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omments+xml" PartName="/xl/comments1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10.xml"/>
  <Override ContentType="application/vnd.openxmlformats-officedocument.spreadsheetml.externalLink+xml" PartName="/xl/externalLinks/externalLink1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4.xml"/>
  <Override ContentType="application/vnd.openxmlformats-officedocument.spreadsheetml.externalLink+xml" PartName="/xl/externalLinks/externalLink5.xml"/>
  <Override ContentType="application/vnd.openxmlformats-officedocument.spreadsheetml.externalLink+xml" PartName="/xl/externalLinks/externalLink6.xml"/>
  <Override ContentType="application/vnd.openxmlformats-officedocument.spreadsheetml.externalLink+xml" PartName="/xl/externalLinks/externalLink7.xml"/>
  <Override ContentType="application/vnd.openxmlformats-officedocument.spreadsheetml.externalLink+xml" PartName="/xl/externalLinks/externalLink8.xml"/>
  <Override ContentType="application/vnd.openxmlformats-officedocument.spreadsheetml.externalLink+xml" PartName="/xl/externalLinks/externalLink9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no" ?>
<Relationships xmlns="http://schemas.openxmlformats.org/package/2006/relationships">
  <Relationship Id="rId1" Target="xl/workbook.xml" Type="http://schemas.openxmlformats.org/officeDocument/2006/relationships/officeDocument"/>
  <Relationship Id="rId2" Target="docProps/app.xml" Type="http://schemas.openxmlformats.org/officeDocument/2006/relationships/extended-properties"/>
  <Relationship Id="rId3" Target="docProps/core.xml" Type="http://schemas.openxmlformats.org/package/2006/relationships/metadata/core-properties"/>
</Relationships>

</file>

<file path=xl/workbook.xml><?xml version="1.0" encoding="utf-8"?>
<workboo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fileVersion appName="xl" lastEdited="4" lowestEdited="4" rupBuild="9302"/>
  <sheets>
    <sheet name="Приложение №1" r:id="rId1" sheetId="1" state="visible"/>
    <sheet name="Приложение №2" r:id="rId2" sheetId="2" state="visible"/>
    <sheet name="Лист1" r:id="rId3" sheetId="3" state="hidden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hidden="false" localSheetId="0" name="_xlnm.Print_Area">'Приложение №1'!$A$1:$BL$831</definedName>
    <definedName hidden="true" localSheetId="0" name="_xlnm._FilterDatabase">'Приложение №1'!$A$12:$BR$856</definedName>
    <definedName hidden="false" localSheetId="1" name="_xlnm.Print_Area">'Приложение №2'!$A$1:$R$831</definedName>
    <definedName hidden="true" localSheetId="1" name="_xlnm._FilterDatabase">'Приложение №2'!$A$12:$BN$862</definedName>
  </definedNames>
  <calcPr calcCompleted="true" calcMode="auto" calcOnSave="true" fullCalcOnLoad="false"/>
</workbook>
</file>

<file path=xl/comments1.xml><?xml version="1.0" encoding="utf-8"?>
<comments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authors>
    <author/>
  </authors>
  <commentList>
    <comment authorId="0" ref="P23">
      <text>
        <r>
          <rPr>
            <rFont val="Tahoma"/>
            <b val="true"/>
            <color rgb="000000" tint="0"/>
            <sz val="9"/>
          </rPr>
          <t>НамыловЮИ:</t>
        </r>
        <r>
          <t xml:space="preserve">
</t>
        </r>
        <r>
          <rPr>
            <rFont val="Tahoma"/>
            <color rgb="000000" tint="0"/>
            <sz val="9"/>
          </rPr>
          <t>убрать полностью</t>
        </r>
        <r>
          <t xml:space="preserve">
</t>
        </r>
      </text>
    </comment>
    <comment authorId="0" ref="P75">
      <text>
        <r>
          <rPr>
            <rFont val="Tahoma"/>
            <b val="true"/>
            <color rgb="000000" tint="0"/>
            <sz val="9"/>
          </rPr>
          <t>НамыловЮИ:</t>
        </r>
        <r>
          <t xml:space="preserve">
</t>
        </r>
        <r>
          <rPr>
            <rFont val="Tahoma"/>
            <color rgb="000000" tint="0"/>
            <sz val="9"/>
          </rPr>
          <t>полностью убрать</t>
        </r>
      </text>
    </comment>
  </commentList>
</comments>
</file>

<file path=xl/sharedStrings.xml><?xml version="1.0" encoding="utf-8"?>
<sst xmlns="http://schemas.openxmlformats.org/spreadsheetml/2006/main" xmlns:a="http://schemas.openxmlformats.org/drawingml/2006/main" xmlns:a15="http://schemas.microsoft.com/office/drawing/2012/main" xmlns:asvg="http://schemas.microsoft.com/office/drawing/2016/SVG/main" xmlns:c="http://schemas.openxmlformats.org/drawingml/2006/chart" xmlns:co="http://ncloudtech.com" xmlns:co-ooxml="http://ncloudtech.com/ooxml" xmlns:m="http://schemas.openxmlformats.org/officeDocument/2006/math" xmlns:mc="http://schemas.openxmlformats.org/markup-compatibility/2006" xmlns:o="urn:schemas-microsoft-com:office:office" xmlns:p="http://schemas.openxmlformats.org/presentationml/2006/main" xmlns:pic="http://schemas.openxmlformats.org/drawingml/2006/picture" xmlns:r="http://schemas.openxmlformats.org/officeDocument/2006/relationships" xmlns:s="http://schemas.openxmlformats.org/officeDocument/2006/sharedTypes" xmlns:sl="http://schemas.openxmlformats.org/schemaLibrary/2006/main" xmlns:v="urn:schemas-microsoft-com:vml" xmlns:w="http://schemas.openxmlformats.org/wordprocessingml/2006/main" xmlns:w10="urn:schemas-microsoft-com:office:word" xmlns:w14="http://schemas.microsoft.com/office/word/2010/wordml" xmlns:w15="http://schemas.microsoft.com/office/word/2012/wordml" xmlns:wp="http://schemas.openxmlformats.org/drawingml/2006/wordprocessingDrawing" xmlns:wpg="http://schemas.microsoft.com/office/word/2010/wordprocessingGroup" xmlns:wps="http://schemas.microsoft.com/office/word/2010/wordprocessingShape" xmlns:x="urn:schemas-microsoft-com:office:excel" xmlns:x12ac="http://schemas.microsoft.com/office/spreadsheetml/2011/1/ac" xmlns:x14="http://schemas.microsoft.com/office/spreadsheetml/2009/9/main" xmlns:xdr="http://schemas.openxmlformats.org/drawingml/2006/spreadsheetDrawing" xmlns:xm="http://schemas.microsoft.com/office/excel/2006/main" mc:Ignorable="co co-ooxml w14 x14 w15">
  <si>
    <t>Приложение № 1 к приказу</t>
  </si>
  <si>
    <t>Министерства ЖКХ и энергетики РС(Я)</t>
  </si>
  <si>
    <t>с гб на иные</t>
  </si>
  <si>
    <t>с иных на гб</t>
  </si>
  <si>
    <t>п. Чульман (г Нерюнгри), ул. Островского, д. 12</t>
  </si>
  <si>
    <t>гб</t>
  </si>
  <si>
    <t>Адресный перечень многоквартирных домов, в отношении которых в 2022-2024 гг. планируется проведение капитального ремонта общего имущества в многоквартирных домах, с разбивкой по источникам финансирования</t>
  </si>
  <si>
    <t>№ п/п</t>
  </si>
  <si>
    <t>Наименование муниципального образования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</si>
  <si>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</si>
  <si>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</si>
  <si>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</si>
  <si>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</si>
  <si>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</si>
  <si>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</si>
  <si>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в МКД</t>
  </si>
  <si>
    <t>Количество жителей</t>
  </si>
  <si>
    <t>Стоимость капитального ремонта с разбивкой по источникам финансирования</t>
  </si>
  <si>
    <t>Удельная стоимость капитального ремонта 1 кв.м. общей площади помещений МКД</t>
  </si>
  <si>
    <t>Предельная стоимость капитального ремонта 1 кв.м. общей площади помещений МКД</t>
  </si>
  <si>
    <t>Сроки проведения работ по капитальному ремонту</t>
  </si>
  <si>
    <t>Стоимость капитального ремонта, всего</t>
  </si>
  <si>
    <t>Виды работ, установленные ч.1 ст.19 Закона Республики Саха (Якутия) от 24.6.213 года 121-З №1329-IV "Об организации проведения капитального ремонта общего имущества в многоквартирных домах на территории Республики Саха (Якутия)"</t>
  </si>
  <si>
    <t>Виды работ, установленные ч. 1 и 2 ст. 19 Закона Республики Саха (Якутия) от 24.06.2013 1201-З № 1329-IV "Об организации проведения капитального ремонта общего имущества в многоквартирных домах на территории Республики Саха (Якутия)"</t>
  </si>
  <si>
    <t>Ввода в эксплуатацию</t>
  </si>
  <si>
    <t>Завершения последнего капитального ремонта</t>
  </si>
  <si>
    <t>в том числе жилых помещений (квартир)</t>
  </si>
  <si>
    <t>в том числе нежилых помещений</t>
  </si>
  <si>
    <t>Всего</t>
  </si>
  <si>
    <t>в том числе</t>
  </si>
  <si>
    <r>
      <t>Ремонт внутридомовых инженерных систем</t>
    </r>
    <r>
      <t xml:space="preserve">
</t>
    </r>
  </si>
  <si>
    <t>Ремонт, замена, модернизация лифтов, ремонт лифтовых шахт, машинных и блочных помещений</t>
  </si>
  <si>
    <t>Ремонт крыши</t>
  </si>
  <si>
    <r>
      <t>Ремонт подвальных помещений, относящихся к общему имуществу в многоквартирном доме</t>
    </r>
    <r>
      <t xml:space="preserve">
</t>
    </r>
  </si>
  <si>
    <r>
      <t>Утепление и ремонт фасада, стыков полносборных зданий, ремонт балконов, лоджий, входных крылец с установкой пандусов (при наличии технической возможности такой установки) и козырьков над входами в подъезды, ремонт или замена входных наружных дверей, окон и балконных дверей в местах общего пользования</t>
    </r>
    <r>
      <t xml:space="preserve">
</t>
    </r>
  </si>
  <si>
    <r>
      <t>Ремонт фундамента многоквартирного дома, цокольных балок и перекрытий, включая утепление цокольного перекрытия</t>
    </r>
    <r>
      <t xml:space="preserve">
</t>
    </r>
  </si>
  <si>
    <t>Разработка проектной документациина проведение капитального ремонта</t>
  </si>
  <si>
    <r>
      <t xml:space="preserve">Проведение экспертизы проектной документациина проведение капитального ремонта, </t>
    </r>
    <r>
      <t xml:space="preserve">
</t>
    </r>
    <r>
      <t>проверки</t>
    </r>
    <r>
      <t xml:space="preserve">
</t>
    </r>
    <r>
      <t>достоверности</t>
    </r>
    <r>
      <t xml:space="preserve">
</t>
    </r>
    <r>
      <t>определения</t>
    </r>
    <r>
      <t xml:space="preserve">
</t>
    </r>
    <r>
      <t>сметной</t>
    </r>
    <r>
      <t xml:space="preserve">
</t>
    </r>
    <r>
      <t>стоимости</t>
    </r>
  </si>
  <si>
    <r>
      <t>Проведение</t>
    </r>
    <r>
      <t xml:space="preserve">
</t>
    </r>
    <r>
      <t>строительного</t>
    </r>
    <r>
      <t xml:space="preserve">
</t>
    </r>
    <r>
      <t>контроля</t>
    </r>
    <r>
      <t xml:space="preserve">
</t>
    </r>
    <r>
      <t>(технического</t>
    </r>
    <r>
      <t xml:space="preserve">
</t>
    </r>
    <r>
      <t>надзора)</t>
    </r>
  </si>
  <si>
    <r>
      <t>Утепление и ремонт фасада, стыков полносборных зданий, ремонт балконов, лоджий, входных крылец с ремонтом пандусов и козырьков над входами в подъезды, ремонт или замена входных наружных дверей, окон и балконных дверей в местах общего пользования</t>
    </r>
    <r>
      <t xml:space="preserve">
</t>
    </r>
  </si>
  <si>
    <t>Разработка проектной документации на проведение капитального ремонта, обследование технического состояния многоквартирного дома</t>
  </si>
  <si>
    <t>За счет федеральных средств</t>
  </si>
  <si>
    <t>За счет средств государственного бюджета Республики Саха (Якутия)</t>
  </si>
  <si>
    <t>За счет средств местного бюджета</t>
  </si>
  <si>
    <t>За счет средств собственников помещений</t>
  </si>
  <si>
    <t>Заимствованные средства</t>
  </si>
  <si>
    <t>Иные источники</t>
  </si>
  <si>
    <t>Теплоснабжение</t>
  </si>
  <si>
    <t>Система водоснабжения</t>
  </si>
  <si>
    <t>Электроснабжение</t>
  </si>
  <si>
    <t>Водоотведение</t>
  </si>
  <si>
    <t>Газоснабжение</t>
  </si>
  <si>
    <t>Вентиляция</t>
  </si>
  <si>
    <t>установка автоматизированных информационно-измерительных систем учета потребления коммунальных ресурсов и коммунальных услуг, установка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</t>
  </si>
  <si>
    <t>СС</t>
  </si>
  <si>
    <t>ССг*0,8</t>
  </si>
  <si>
    <t>ЗС</t>
  </si>
  <si>
    <t>Водоснабжение</t>
  </si>
  <si>
    <t>кв.м</t>
  </si>
  <si>
    <t>чел</t>
  </si>
  <si>
    <t>руб</t>
  </si>
  <si>
    <t>руб/кв.м</t>
  </si>
  <si>
    <t>2022-2024 г.г.</t>
  </si>
  <si>
    <t>2022 год</t>
  </si>
  <si>
    <t>Кредиторская задолженность за 2021 год</t>
  </si>
  <si>
    <t>Авансы северным районам</t>
  </si>
  <si>
    <t>ГП "Поселок Золотинка"</t>
  </si>
  <si>
    <t>п Золотинка, п. Золотинка (г Нерюнгри), ул. Железнодорожная, д. 2</t>
  </si>
  <si>
    <t>Камень</t>
  </si>
  <si>
    <t>п Золотинка, п. Золотинка (г Нерюнгри), ул. Железнодорожная, д. 3</t>
  </si>
  <si>
    <t>п Золотинка, п. Золотинка (г Нерюнгри), ул. Железнодорожная, д. 4</t>
  </si>
  <si>
    <t>ГП "Поселок Серебряный Бор"</t>
  </si>
  <si>
    <t>п. Серебряный Бор, (г Нерюнгри), д. 120</t>
  </si>
  <si>
    <t>п. Серебряный Бор, (г Нерюнгри), д. 14</t>
  </si>
  <si>
    <t>п. Серебряный Бор, (г Нерюнгри), д. 208</t>
  </si>
  <si>
    <t>ГП "Поселок Чульман"</t>
  </si>
  <si>
    <t>п. Чульман (г Нерюнгри), ул. Островского, д. 18б</t>
  </si>
  <si>
    <t>п. Чульман (г Нерюнгри), ул. Островского, д. 6 кор. а</t>
  </si>
  <si>
    <t>МО "Город Нерюнгри"</t>
  </si>
  <si>
    <t>г. Нерюнгри, пр-кт. Геологов, д. 43</t>
  </si>
  <si>
    <t>г. Нерюнгри, пр-кт. Геологов, д. 49 кор. 1</t>
  </si>
  <si>
    <t>МО "Город Нерюнгри" спецсчет</t>
  </si>
  <si>
    <t>г. Нерюнгри, пр-кт. Геологов, д. 81 кор. 2 СПЕЦСЧЕТ</t>
  </si>
  <si>
    <t>г. Нерюнгри, пр-кт. Дружбы Народов, д. 16 кор. 1</t>
  </si>
  <si>
    <t>г. Нерюнгри, пр-кт. Дружбы Народов, д. 20</t>
  </si>
  <si>
    <t>г. Нерюнгри, пр-кт. Дружбы Народов, д. 29 кор. 1</t>
  </si>
  <si>
    <t>г. Нерюнгри, пр-кт. Дружбы Народов, д. 3 кор. 1 СПЕЦСЧЕТ</t>
  </si>
  <si>
    <t>г. Нерюнгри, пр-кт. Ленина, д. 4</t>
  </si>
  <si>
    <t>г. Нерюнгри, пр-кт. Мира, д. 15</t>
  </si>
  <si>
    <t>г. Нерюнгри, пр-кт. Мира, д. 15 кор. 2</t>
  </si>
  <si>
    <t>г. Нерюнгри, пр-кт. Мира, д. 15 кор. 3</t>
  </si>
  <si>
    <t>г. Нерюнгри, пр-кт. Мира, д. 17 кор. 1</t>
  </si>
  <si>
    <t>г. Нерюнгри, пр-кт. Мира, д. 19 кор. 1</t>
  </si>
  <si>
    <t>г. Нерюнгри, пр-кт. Мира, д. 19 кор. 2</t>
  </si>
  <si>
    <t>г. Нерюнгри, пр-кт. Мира, д. 5 СПЕЦСЧЕТ</t>
  </si>
  <si>
    <t>г. Нерюнгри, ул. Аммосова, д. 10 кор. 1</t>
  </si>
  <si>
    <t>г. Нерюнгри, ул. Аммосова, д. 2 СПЕЦСЧЕТ</t>
  </si>
  <si>
    <t>г. Нерюнгри, ул. Аммосова, д. 6 кор. 1</t>
  </si>
  <si>
    <t>г. Нерюнгри, ул. им Кравченко, д. 20 кор. 1</t>
  </si>
  <si>
    <t>г. Нерюнгри, ул. им Кравченко, д. 4</t>
  </si>
  <si>
    <t>г. Нерюнгри, ул. им Кравченко, д. 6</t>
  </si>
  <si>
    <t>г. Нерюнгри, ул. им Кравченко, д. 8</t>
  </si>
  <si>
    <t>г. Нерюнгри, ул. им Кравченко, д. 12</t>
  </si>
  <si>
    <t>1982</t>
  </si>
  <si>
    <t>5</t>
  </si>
  <si>
    <t>2</t>
  </si>
  <si>
    <t>г. Нерюнгри, ул. Карла Маркса, д. 1 кор. 1</t>
  </si>
  <si>
    <t>г. Нерюнгри, ул. Сосновая, д. 4</t>
  </si>
  <si>
    <t>г. Нерюнгри, ул. Тимптонская, д. 3</t>
  </si>
  <si>
    <t>г. Нерюнгри, ул. Южно-Якутская, д. 32</t>
  </si>
  <si>
    <t>г. Нерюнгри, ул. Южно-Якутская, д. 43 кор. 1 СПЕЦСЧЕТ</t>
  </si>
  <si>
    <t>ГО "город Якутск"</t>
  </si>
  <si>
    <t>г. Якутск, мкр. Марха, кв-л. Мелиораторов, д. 9</t>
  </si>
  <si>
    <t>г. Якутск, мкр. Марха, ул. Есенина, д. 5 кор. 1</t>
  </si>
  <si>
    <t>г. Якутск, мкр. Марха, тракт Маганский 2 км, д. 3</t>
  </si>
  <si>
    <t>г. Якутск, мкр. Марха, ул. О.Кошевого, д. 67 кор. 1</t>
  </si>
  <si>
    <t>г. Якутск, мкр. Птицефабрика, д. 7</t>
  </si>
  <si>
    <t>г. Якутск, мкр. Марха, тракт Маганский 2 км, д. 2</t>
  </si>
  <si>
    <t>г. Якутск, с. Кильдямцы, ул. Уваровского, д. 1</t>
  </si>
  <si>
    <t>г. Якутск, с. Кильдямцы, ул. Труда, д. 52</t>
  </si>
  <si>
    <t>г. Якутск, с. Кильдямцы, ул. Труда, д. 54</t>
  </si>
  <si>
    <t>г. Якутск, пр-кт. Ленина, д. 11 кор. 2</t>
  </si>
  <si>
    <t>г. Якутск, пр-кт. Ленина, д. 7</t>
  </si>
  <si>
    <t>г. Якутск, пр-кт. Ленина, д. 9</t>
  </si>
  <si>
    <t>г. Якутск, пр-кт Ленина, д. 25</t>
  </si>
  <si>
    <t>1996</t>
  </si>
  <si>
    <t>9</t>
  </si>
  <si>
    <t>г. Якутск, пр-кт Ленина, д. 29</t>
  </si>
  <si>
    <t>8</t>
  </si>
  <si>
    <t>г. Якутск, пр-кт. Ленина, д. 37</t>
  </si>
  <si>
    <t>г. Якутск, пр-кт. Ленина, д. 38</t>
  </si>
  <si>
    <t>г. Якутск, пр-кт. Ленина, д. 44</t>
  </si>
  <si>
    <t>г. Якутск, пр. Михаила Николаева, д. 40 кор. 5</t>
  </si>
  <si>
    <t>г. Якутск, пр. Михаила Николаева, д. 40 кор. 6</t>
  </si>
  <si>
    <t>г. Якутск, пр. Михаила Николаева, д. 40 кор. 7</t>
  </si>
  <si>
    <t>г. Якутск, ул. Билибина, д. 12</t>
  </si>
  <si>
    <t>г. Якутск, ул. Богатырева, д. 11 кор. 1</t>
  </si>
  <si>
    <t>г. Якутск, ул. Дзержинского, д. 3</t>
  </si>
  <si>
    <t>г. Якутск, ул. Дзержинского, д. 8 кор. 2</t>
  </si>
  <si>
    <t>г. Якутск, ул. Каландаришвили, д. 25 кор. 2</t>
  </si>
  <si>
    <t>г. Якутск, ул. Каландаришвили, д. 38 кор. 2</t>
  </si>
  <si>
    <t>г. Якутск, ул. Каландаришвили, д. 38 кор. 3</t>
  </si>
  <si>
    <t>г. Якутск, ул. Каландаришвили, д. 40</t>
  </si>
  <si>
    <t>г. Якутск, ул. Каландаришвили, д. 40 кор. 1</t>
  </si>
  <si>
    <t>г. Якутск, ул. Каландаришвили, д. 40 кор. 4</t>
  </si>
  <si>
    <t>г. Якутск, ул. Каландаришвили, д. 40 кор. 7</t>
  </si>
  <si>
    <t>г. Якутск, ул. Каландаришвили, д. 40 кор. 8</t>
  </si>
  <si>
    <t>г. Якутск, ул. Кирова, д. 31 кор.1</t>
  </si>
  <si>
    <t>3</t>
  </si>
  <si>
    <t>г. Якутск, ул. Короленко, д. 17</t>
  </si>
  <si>
    <t>г. Якутск, ул. Крупской, д. 21</t>
  </si>
  <si>
    <t>г. Якутск, ул. Космонавтов, д. 17 кор. 1</t>
  </si>
  <si>
    <t>г. Якутск, ул. Кулаковского, д. 4 кор. 1</t>
  </si>
  <si>
    <t>г. Якутск, ул. Кулаковского, д. 4 кор. 2</t>
  </si>
  <si>
    <t>г. Якутск, ул. Кулаковского, д. 4 кор. 3</t>
  </si>
  <si>
    <t>СК за ГБ и ЗС, ПСД СС</t>
  </si>
  <si>
    <t>г. Якутск, ул. Курашова, д. 1 кор. 1</t>
  </si>
  <si>
    <t>г. Якутск, ул. Лермонтова, д. 24</t>
  </si>
  <si>
    <t>г. Якутск, ул. Можайского, д. 17 кор. 5</t>
  </si>
  <si>
    <t>г. Якутск, ул. Можайского, д. 17 кор. 6</t>
  </si>
  <si>
    <t>г. Якутск, ул. Можайского, д. 19 кор. 1</t>
  </si>
  <si>
    <t>г. Якутск, ул. Можайского, д. 21</t>
  </si>
  <si>
    <t>г. Якутск, ул. Можайского, д. 21 кор. 1</t>
  </si>
  <si>
    <t>г. Якутск, ул. Октябрьская, д. 26 кор. 1</t>
  </si>
  <si>
    <t>г. Якутск, ул. Октябрьская, д. 26 кор. 2</t>
  </si>
  <si>
    <t>г. Якутск, ул. Октябрьская, д. 26 кор. 3</t>
  </si>
  <si>
    <t>г. Якутск, ул. Октябрьская, д. 5</t>
  </si>
  <si>
    <t>г. Якутск, ул. Орджоникидзе, д. 33</t>
  </si>
  <si>
    <t>г. Якутск, ул. Орджоникидзе, д. 45</t>
  </si>
  <si>
    <t>г. Якутск, ул. Орджоникидзе, д. 46</t>
  </si>
  <si>
    <t>г. Якутск, ул. Петра Алексеева, д. 21 кор. 5</t>
  </si>
  <si>
    <t>г. Якутск, ул. Петра Алексеева, д. 49 кор. 1</t>
  </si>
  <si>
    <t>г. Якутск, ул. Петра Алексеева, д. 6 кор. 2</t>
  </si>
  <si>
    <t>г. Якутск, ул. Петра Алексеева, д. 8 кор. 1</t>
  </si>
  <si>
    <t>г. Якутск, ул. Петра Алексеева, д. 81 кор. 1</t>
  </si>
  <si>
    <t>г. Якутск, ул. Петра Алексеева, д. 83 кор. 18</t>
  </si>
  <si>
    <t>г. Якутск, ул. Петровского, д. 21 кор. 1</t>
  </si>
  <si>
    <t>г. Якутск, ул. Петровского, д. 23</t>
  </si>
  <si>
    <t>г. Якутск, ул. Петровского, д. 23 кор. 1</t>
  </si>
  <si>
    <t>г. Якутск, ул. Пояркова, д. 10</t>
  </si>
  <si>
    <t>г. Якутск, ул. Сосновая, д. 2</t>
  </si>
  <si>
    <t>г. Якутск, ул. Хабарова, д. 21</t>
  </si>
  <si>
    <t>г. Якутск, ул. Хабарова, д. 27</t>
  </si>
  <si>
    <t>г. Якутск, ул. Халтурина, д. 11 кор. 2</t>
  </si>
  <si>
    <t>ГО "Город Якутск"</t>
  </si>
  <si>
    <t>г. Якутск, ул. Чернышевского, д. 12 кор. 1</t>
  </si>
  <si>
    <t>1975</t>
  </si>
  <si>
    <t>4</t>
  </si>
  <si>
    <t>6</t>
  </si>
  <si>
    <t>г. Якутск, ул. Чернышевского, д. 4 кор. 1</t>
  </si>
  <si>
    <t>г. Якутск, ул. Чернышевского, д. 8</t>
  </si>
  <si>
    <t>г. Якутск, ул. Чернышевского, д. 8 кор. 1</t>
  </si>
  <si>
    <t>г. Якутск, ул. Чиряева, д. 4</t>
  </si>
  <si>
    <t>г. Якутск, ул. Чиряева, д. 8</t>
  </si>
  <si>
    <t>г. Якутск, ул. Ярославского, д. 11</t>
  </si>
  <si>
    <t>г. Якутск, ул. Ярославского, д. 24</t>
  </si>
  <si>
    <t>г. Якутск, ул. Ярославского, д. 30 кор. 1</t>
  </si>
  <si>
    <t>г. Якутск, ул. Ярославского, д. 5 кор. 1</t>
  </si>
  <si>
    <t>г. Якутск, ул. Ярославского, д. 7 кор. 1</t>
  </si>
  <si>
    <t>г. Якутск, ул. Ярославского, д. 9</t>
  </si>
  <si>
    <t>ГО "Жатай"</t>
  </si>
  <si>
    <t>ГО Жатай, п. Жатай, ул. Северная, д. 21/1</t>
  </si>
  <si>
    <t>ГО Жатай, п. Жатай, ул. Северная, д. 33</t>
  </si>
  <si>
    <t>ГО Жатай, п. Жатай, ул. Северная, д. 37</t>
  </si>
  <si>
    <t>проверить заимств Алексеева ЕИ</t>
  </si>
  <si>
    <t>ГО Жатай, п. Жатай, ул. Северная, д. 37/1</t>
  </si>
  <si>
    <t>ГО Жатай, п. Жатай, ул. Северная, д. 54</t>
  </si>
  <si>
    <t>МО "Город Томмот"</t>
  </si>
  <si>
    <t>Алданский у, г. Томмот, ул. Крупской, д. 6</t>
  </si>
  <si>
    <t>МО "Поселок Нижний Куранах"</t>
  </si>
  <si>
    <t>Алданский у, п. Нижний Куранах, ул. Строительная, д. 18</t>
  </si>
  <si>
    <t>Алданский у, п. Нижний Куранах, ул. Строительная, д. 2</t>
  </si>
  <si>
    <t>Алданский у, п. Нижний Куранах, ул. Строительная, д. 20</t>
  </si>
  <si>
    <t>Алданский у, п. Нижний Куранах, ул. Строительная, д. 21</t>
  </si>
  <si>
    <t>Алданский у, п. Нижний Куранах, ул. Строительная, д. 4</t>
  </si>
  <si>
    <t>МО "Поселок Зырянка"</t>
  </si>
  <si>
    <t>Верхнеколымский у, п. Зырянка, ул. Леликова, д. 8</t>
  </si>
  <si>
    <t>МО "Угольнинский наслег"</t>
  </si>
  <si>
    <t>Верхнеколымский у, Угольнинский н-г, с. Угольное, ул. Дорожная, д. 12</t>
  </si>
  <si>
    <t>Верхнеколымский у, Угольнинский н-г, с. Угольное, ул. Дорожная, д. 9</t>
  </si>
  <si>
    <t>Проверить ЗС Алексеева ЕИ</t>
  </si>
  <si>
    <t>МО "Город Ленск"</t>
  </si>
  <si>
    <t>Ленский у, г. Ленск, ул. Дзержинского, д. 15</t>
  </si>
  <si>
    <t>Ленский у, г. Ленск, ул. Дзержинского, д. 27</t>
  </si>
  <si>
    <t>Ленский у, г. Ленск, ул. Ойунского, д. 26</t>
  </si>
  <si>
    <t>Ленский у, г. Ленск, ул. Победы, д. 22</t>
  </si>
  <si>
    <t>Ленский у, г. Ленск, ул. Пролетарская, д. 17</t>
  </si>
  <si>
    <t>МО "Город Мирный"</t>
  </si>
  <si>
    <t>Мирнинский у, г. Мирный, пр-кт. Ленинградский, д. 1 кор. 1</t>
  </si>
  <si>
    <t>проверить СС Алексеева ЕИ</t>
  </si>
  <si>
    <t>Мирнинский у, г. Мирный, ул. Комсомольская, д. 4 кор. а</t>
  </si>
  <si>
    <t>Мирнинский у, г. Мирный, ул. Ойунского, д. 13</t>
  </si>
  <si>
    <t>1</t>
  </si>
  <si>
    <t>Мирнинский у, г. Мирный, ул. Ойунского, д. 15</t>
  </si>
  <si>
    <t>Мирнинский у, г. Мирный, ул. Ойунского, д. 21</t>
  </si>
  <si>
    <t>1994</t>
  </si>
  <si>
    <t>Мирнинский у, г. Мирный, ул. Павлова, д. 10</t>
  </si>
  <si>
    <t>Мирнинский у, г. Мирный, ул. Советская, д. 13 кор. 1</t>
  </si>
  <si>
    <t>Мирнинский у, г. Мирный, ул. Советская, д. 15 кор. 1</t>
  </si>
  <si>
    <t>Мирнинский у, г. Мирный, ул. Советская, д. 19</t>
  </si>
  <si>
    <t>Мирнинский у, г. Мирный, ул. Советская, д. 7</t>
  </si>
  <si>
    <t>Мирнинский у, г. Мирный, ул. Солдатова, д. 6</t>
  </si>
  <si>
    <t>Мирнинский у, г. Мирный, ул. Солдатова, д. 3</t>
  </si>
  <si>
    <t>Мирнинский у, г. Мирный, ул. Тихонова, д. 12 кор. 2</t>
  </si>
  <si>
    <t>Мирнинский у, г. Мирный, ул. Тихонова, д. 8</t>
  </si>
  <si>
    <t>Мирнинский у, г. Мирный, ш. 50 лет Октября, д. 12 кор. 1</t>
  </si>
  <si>
    <t>Мирнинский у, г. Мирный, ш. 50 лет Октября, д. 7</t>
  </si>
  <si>
    <t>МО "Поселок Светлый"</t>
  </si>
  <si>
    <t>Мирнинский у, п. Светлый, ул. Вилюйская, д. 1</t>
  </si>
  <si>
    <t>Мирнинский у, п. Светлый, ул. Вилюйская, д. 2</t>
  </si>
  <si>
    <t>Мирнинский у, п. Светлый, ул. Советская, д. 2</t>
  </si>
  <si>
    <t>МО "Ленский наслег"</t>
  </si>
  <si>
    <t>Намский у, Ленский н-г, с. Намцы, ул. Ржевская, д. 5</t>
  </si>
  <si>
    <t>МО "поселок Черский"</t>
  </si>
  <si>
    <t>Нижнеколымский у, п. Черский, ул. Котельникова, д. 9</t>
  </si>
  <si>
    <t>Нижнеколымский у, п. Черский, ул. Таврата, д. 11</t>
  </si>
  <si>
    <t>Нижнеколымский у, п. Черский, ул. Молодежная, д. 6 кор. 2</t>
  </si>
  <si>
    <t>МО "Город Олекминск"</t>
  </si>
  <si>
    <t>Олекминский у, г. Олёкминск, ул. Калинина, д. 2</t>
  </si>
  <si>
    <t>МО "Поселок Хандыга"</t>
  </si>
  <si>
    <t>Томпонский у, п Хандыга, п. Хандыга, ул. Лесная, д. 16</t>
  </si>
  <si>
    <t>Томпонский у, п Хандыга, п. Хандыга, ул. П.Алексеева, д. 4</t>
  </si>
  <si>
    <t>Томпонский у, п Хандыга, п. Хандыга, ул. П.Алексеева, д. 6</t>
  </si>
  <si>
    <t>МО "Поселок Депутатский" спецсчет</t>
  </si>
  <si>
    <t>Усть-Янский у, п. Депутатский, мкр. Арктика, д. 11</t>
  </si>
  <si>
    <t>МО "поселок Депутатский" спецсчет</t>
  </si>
  <si>
    <t>Усть-Янский у, п. Депутатский, мкр. Арктика, д. 13</t>
  </si>
  <si>
    <t>1990</t>
  </si>
  <si>
    <t>ПСД и СК за ГБ</t>
  </si>
  <si>
    <t>Усть-Янский у, п. Депутатский, мкр. Арктика, д. 15</t>
  </si>
  <si>
    <t>1992</t>
  </si>
  <si>
    <t>ПСД за ГБ</t>
  </si>
  <si>
    <t>Усть-Янский у, п. Депутатский, мкр. Арктика, д. 2</t>
  </si>
  <si>
    <t>Усть-Янский у, п. Депутатский, мкр. Арктика, д. 21</t>
  </si>
  <si>
    <t>1991</t>
  </si>
  <si>
    <t>Усть-Янский у, п. Депутатский, мкр. Арктика, д. 22</t>
  </si>
  <si>
    <t>Усть-Янский у, п. Депутатский, мкр. Арктика, д. 23</t>
  </si>
  <si>
    <t>Усть-Янский у, п. Депутатский, мкр. Арктика, д. 25</t>
  </si>
  <si>
    <t>Усть-Янский у, п. Депутатский, мкр. Арктика, д. 24</t>
  </si>
  <si>
    <t>Усть-Янский у, п. Депутатский, мкр. Арктика, д. 8</t>
  </si>
  <si>
    <t>МО "Город Покровск"</t>
  </si>
  <si>
    <t>Хангаласский у, г. Покровск, ул. Орджоникидзе, д. 18</t>
  </si>
  <si>
    <t>Хангаласский у, г. Покровск, ул. Орджоникидзе, д. 38</t>
  </si>
  <si>
    <t>МО "Поселок Мохсоголлох"</t>
  </si>
  <si>
    <t>Хангаласский у, п. Мохсоголлох, ул. Военный городок, д. 7</t>
  </si>
  <si>
    <t>Хангаласский у, п. Мохсоголлох, ул. Молодежная, д. 18</t>
  </si>
  <si>
    <t>Хангаласский у, п. Мохсоголлох, ул. Соколиная, д. 1</t>
  </si>
  <si>
    <t>Хангаласский у, п. Мохсоголлох, ул. Советская, д. 5</t>
  </si>
  <si>
    <t>Хангаласский у, п. Мохсоголлох, ул. Соколиная, д. 5</t>
  </si>
  <si>
    <t>Хангаласский у, п. Мохсоголлох, ул. Соколиная, д. 7</t>
  </si>
  <si>
    <t>Хангаласский у, п. Мохсоголлох, ул. Соколиная, д. 8</t>
  </si>
  <si>
    <t>Хангаласский у, п. Мохсоголлох, ул. Соколиная, д. 10</t>
  </si>
  <si>
    <t>Хангаласский у, п. Мохсоголлох, ул. Соколиная, д. 17</t>
  </si>
  <si>
    <t>Хангаласский у, п. Мохсоголлох, ул. Соколиная, д. 19</t>
  </si>
  <si>
    <t>Хангаласский у, п. Мохсоголлох, ул. Соколиная, д. 20</t>
  </si>
  <si>
    <t>г. Якутск, ул. Стадухина, д. 84 кор. 1 ЧС</t>
  </si>
  <si>
    <t>все СС сделать!НЮИ</t>
  </si>
  <si>
    <t>г. Якутск, ул. Стадухина, д. 84 кор. 1</t>
  </si>
  <si>
    <t>МО "Мюрюнский наслег"</t>
  </si>
  <si>
    <t>Усть-Алданский у, Мюрюнский н-г, с. Борогонцы, ул. Ленина, д. 34 ЧС</t>
  </si>
  <si>
    <t>2011</t>
  </si>
  <si>
    <t>СП "Мюрюнский наслег"</t>
  </si>
  <si>
    <t>Усть-Алданский у, Мюрюнский н-г, с. Борогонцы, ул. Лонгинова, д. 37 кор.1 ЧС</t>
  </si>
  <si>
    <t>2013</t>
  </si>
  <si>
    <t>Финансово обеспеченные МКД</t>
  </si>
  <si>
    <t>ГП "Поселок Беркакит"</t>
  </si>
  <si>
    <t>п. Беркакит (г Нерюнгри), ул. Бочкарева, д. 4 кор. 1</t>
  </si>
  <si>
    <t>п. Беркакит (г Нерюнгри), ул. Бочкарева, д. 4 кор. 2</t>
  </si>
  <si>
    <t>п. Беркакит (г Нерюнгри), ул. Дорожников, д. 4</t>
  </si>
  <si>
    <t>1981</t>
  </si>
  <si>
    <t>1983</t>
  </si>
  <si>
    <t>п. Чульман (г Нерюнгри), ул. Школьная, д. 12</t>
  </si>
  <si>
    <t>г. Нерюнгри, пр-кт. Дружбы Народов, д. 8 кор. 1</t>
  </si>
  <si>
    <t>г. Нерюнгри, пр-кт. Ленина, д. 1</t>
  </si>
  <si>
    <t>г. Нерюнгри, пр-кт. Мира, д. 21 кор. 1</t>
  </si>
  <si>
    <t>г. Нерюнгри, ул. Тимптонская, д. 7 кор. 1</t>
  </si>
  <si>
    <t>г. Нерюнгри, ул. Тимптонская, д. 7 кор. 2</t>
  </si>
  <si>
    <t>г. Нерюнгри, ул. Чурапчинская, д. 8 кор. 1</t>
  </si>
  <si>
    <t>г. Нерюнгри, ул. Чурапчинская, д. 36</t>
  </si>
  <si>
    <t>г. Нерюнгри, ул. Чурапчинская, д. 38</t>
  </si>
  <si>
    <t>г. Нерюнгри, ул. Чурапчинская, д. 40</t>
  </si>
  <si>
    <t>г. Нерюнгри, ул. Чурапчинская, д. 50</t>
  </si>
  <si>
    <t>г. Нерюнгри, ул. Южно-Якутская, д. 30</t>
  </si>
  <si>
    <t>г. Нерюнгри, ул. Южно-Якутская, д. 34</t>
  </si>
  <si>
    <t>г. Якутск, мкр. Кангалассы, ул. Комсомольская, д. 3А</t>
  </si>
  <si>
    <t>г. Якутск, с. Маган, ул. 40 лет Победы, д. 60</t>
  </si>
  <si>
    <t>г. Якутск, с. Хатассы, ул. Каландарашвили, д. 4</t>
  </si>
  <si>
    <t>г. Якутск, с. Хатассы, ул. Каландарашвили, д. 4 кор. 1</t>
  </si>
  <si>
    <t>г. Якутск, с. Хатассы, ул. Ленина, д. 67</t>
  </si>
  <si>
    <t>г. Якутск, с. Хатассы, ул. Ленина, д. 67 кор. 1</t>
  </si>
  <si>
    <t>г. Якутск, мкр. 202-й, д. 16</t>
  </si>
  <si>
    <t>1997</t>
  </si>
  <si>
    <t>г. Якутск, мкр. 202-й, д. 19</t>
  </si>
  <si>
    <t>г. Якутск, пр-кт. Ленина, д. 11</t>
  </si>
  <si>
    <t>г. Якутск, пр-кт. Ленина, д. 21</t>
  </si>
  <si>
    <t>г. Якутск, пр-кт. Ленина, д. 36</t>
  </si>
  <si>
    <t>г. Якутск, пр. Михаила Николаева, д. 28 кор. 15</t>
  </si>
  <si>
    <t>г. Якутск,пр. Михаила Николаева, д. 40 кор. 7</t>
  </si>
  <si>
    <t>г. Якутск, ул. Билибина, д. 50</t>
  </si>
  <si>
    <t>г. Якутск, ул. Дзержинского, д. 13 кор. 1</t>
  </si>
  <si>
    <t>г. Якутск, ул. Дзержинского, д. 16</t>
  </si>
  <si>
    <t>1963</t>
  </si>
  <si>
    <t>г. Якутск, ул. Дзержинского, д. 19</t>
  </si>
  <si>
    <t>г. Якутск, ул. Дзержинского, д. 22 кор. 6</t>
  </si>
  <si>
    <t>г. Якутск, ул. Дзержинского, д. 40 кор. 1</t>
  </si>
  <si>
    <t>1973</t>
  </si>
  <si>
    <t>г. Якутск, ул. Дзержинского, д. 7</t>
  </si>
  <si>
    <t>1971</t>
  </si>
  <si>
    <t>г. Якутск, ул. Дзержинского, д. 7 кор. 1</t>
  </si>
  <si>
    <t>1562814,89 изм ГБ</t>
  </si>
  <si>
    <t>г. Якутск, ул. Дзержинского, д. 8 кор. 3</t>
  </si>
  <si>
    <t>г. Якутск, ул. Каландаришвили, д. 25 кор. 6</t>
  </si>
  <si>
    <t>г. Якутск, ул. Каландаришвили, д. 40 кор. 5</t>
  </si>
  <si>
    <t>г. Якутск, ул. Каландаришвили, д. 40 кор. 6</t>
  </si>
  <si>
    <t>г. Якутск, ул. Кальвица, д. 5</t>
  </si>
  <si>
    <t>г. Якутск, ул. Кирова, д. 34</t>
  </si>
  <si>
    <t>г. Якутск, ул. Кузьмина, д. 34</t>
  </si>
  <si>
    <t>г. Якутск, ул. Лермонтова, д. 20</t>
  </si>
  <si>
    <t>г. Якутск, ул. Лермонтова, д. 22</t>
  </si>
  <si>
    <t>г. Якутск, ул. Лермонтова, д. 27 кор. 1</t>
  </si>
  <si>
    <t>г. Якутск, ул. Лермонтова, д. 29</t>
  </si>
  <si>
    <t>г. Якутск, ул. Можайского, д. 15</t>
  </si>
  <si>
    <t>г. Якутск, ул. Можайского, д. 17 кор. 1</t>
  </si>
  <si>
    <t>г. Якутск, ул. Можайского, д. 17 кор. 4</t>
  </si>
  <si>
    <t>г. Якутск, ул. Ново-Карьерная, д. 20 кор. 1</t>
  </si>
  <si>
    <t>г. Якутск, ул. Ойунского, д. 41</t>
  </si>
  <si>
    <t>г. Якутск, ул. Орджоникидзе, д. 39</t>
  </si>
  <si>
    <t>1970</t>
  </si>
  <si>
    <t>г. Якутск, ул. Орджоникидзе, д. 7 кор. 2</t>
  </si>
  <si>
    <t>г. Якутск, ул. Петра Алексеева, д. 12</t>
  </si>
  <si>
    <t>г. Якутск, ул. Петра Алексеева, д. 12 кор. 1</t>
  </si>
  <si>
    <t>г. Якутск, ул. Петра Алексеева, д. 12 кор. 2</t>
  </si>
  <si>
    <t>г. Якутск, ул. Петра Алексеева, д. 4 кор. 1</t>
  </si>
  <si>
    <t>г. Якутск, ул. Петра Алексеева, д. 4 кор. 2</t>
  </si>
  <si>
    <t>г. Якутск, ул. Петра Алексеева, д. 4 кор. 3</t>
  </si>
  <si>
    <t>г. Якутск, ул. Петра Алексеева, д. 8</t>
  </si>
  <si>
    <t>г. Якутск, ул. Пояркова, д. 8</t>
  </si>
  <si>
    <t>1976</t>
  </si>
  <si>
    <t>г. Якутск, ул. Семена Данилова, д. 4 кор. 2</t>
  </si>
  <si>
    <t>г. Якутск, ул. Стадухина, д. 80</t>
  </si>
  <si>
    <t>г. Якутск, ул. Федора Попова, д. 14 кор. 1</t>
  </si>
  <si>
    <t>г. Якутск, ул. Хабарова, д. 3</t>
  </si>
  <si>
    <t>г. Якутск, ул. Хабарова, д. 9</t>
  </si>
  <si>
    <t>г. Якутск, ул. Хабарова, д. 19</t>
  </si>
  <si>
    <t>1974</t>
  </si>
  <si>
    <t>г. Якутск, ул. Хабарова, д. 27 кор.3</t>
  </si>
  <si>
    <t>г. Якутск, ул. Халтурина, д. 6</t>
  </si>
  <si>
    <t>г. Якутск, ул. Чернышевского, д. 8 корп.1</t>
  </si>
  <si>
    <t>г. Якутск, ул. Чернышевского, д. 12</t>
  </si>
  <si>
    <t>г. Якутск, ул. Чернышевского, д. 12 кор.1</t>
  </si>
  <si>
    <t>г. Якутск, ул. Чиряева, д. 1</t>
  </si>
  <si>
    <t>г. Якутск, ул. Ярославского, д. 4</t>
  </si>
  <si>
    <t>г. Якутск, ул. Ярославского, д. 7</t>
  </si>
  <si>
    <t>г. Якутск, ул. Ярославского, д. 13</t>
  </si>
  <si>
    <t>г. Якутск, ул. Ярославского, д. 19 кор. 1</t>
  </si>
  <si>
    <t>г. Якутск, ул. Ярославского, д. 32</t>
  </si>
  <si>
    <t>МО "Город Алдан"</t>
  </si>
  <si>
    <t>Алданский у, г. Алдан, ул. Алданская, д. 13</t>
  </si>
  <si>
    <t>Алданский у, г. Алдан, ул. Алданская, д. 20</t>
  </si>
  <si>
    <t>Алданский у, г. Алдан, ул. Гагарина, д. 5</t>
  </si>
  <si>
    <t>1964</t>
  </si>
  <si>
    <t>Алданский у, г. Томмот, ул. Нагорная, д. 19</t>
  </si>
  <si>
    <t>Алданский у, п. Нижний Куранах, мкр. 1-й, д. 10</t>
  </si>
  <si>
    <t>Алданский у, п. Нижний Куранах, ул. Строительная, д. 1-в</t>
  </si>
  <si>
    <t>МО "Поселок Тикси"</t>
  </si>
  <si>
    <t>Булунский у, п. Тикси, ул. Ленинская, д. 17</t>
  </si>
  <si>
    <t>Булунский у, п. Тикси, ул. Трусова, д. 2</t>
  </si>
  <si>
    <t>Верхнеколымский у, п. Зырянка, ул. Леликова, д. 8*</t>
  </si>
  <si>
    <t>Верхнеколымский у, Угольнинский н-г, с. Угольное, ул. Дорожная, д. 12*</t>
  </si>
  <si>
    <t>Ленский у, г. Ленск, ул. Дзержинского, д. 19</t>
  </si>
  <si>
    <t>Ленский у, г. Ленск, ул. Дзержинского, д. 25</t>
  </si>
  <si>
    <t>Ленский у, г. Ленск, ул. Ленина, д. 66</t>
  </si>
  <si>
    <t>Ленский у, г. Ленск, ул. Ленина, д. 71</t>
  </si>
  <si>
    <t>Ленский у, г. Ленск, ул. Ленина, д. 73</t>
  </si>
  <si>
    <t>Ленский у, г. Ленск, ул. Ойунского, д. 23 кор.А</t>
  </si>
  <si>
    <t>перенос на 2023</t>
  </si>
  <si>
    <t>Ленский у, г. Ленск, ул. Ойунского, д. 28</t>
  </si>
  <si>
    <t>Ленский у, г. Ленск, ул. Орджоникидзе, д. 18</t>
  </si>
  <si>
    <t>Ленский у, г. Ленск, ул. Орджоникидзе, д. 20</t>
  </si>
  <si>
    <t>Ленский у, г. Ленск, ул. Первомайская, д. 10</t>
  </si>
  <si>
    <t>Ленский у, г. Ленск, ул. Первомайская, д. 18</t>
  </si>
  <si>
    <t>Ленский у, г. Ленск, ул. Первомайская, д. 20</t>
  </si>
  <si>
    <t>Ленский у, г. Ленск, ул. Пролетарская, д. 3</t>
  </si>
  <si>
    <t>Ленский у, г. Ленск, ул. Пролетарская, д. 5</t>
  </si>
  <si>
    <t>Мирнинский у, г. Мирный, ул. Аммосова, д. 100</t>
  </si>
  <si>
    <t>Мирнинский у, г. Мирный, ул. Советская, д. 13 кор. 4</t>
  </si>
  <si>
    <t>Мирнинский у, г. Мирный, ул. Солдатова, д. 12</t>
  </si>
  <si>
    <t>Мирнинский у, п. Светлый, ул. Молодежная, д. 11</t>
  </si>
  <si>
    <t>МО "Город Нюрба"</t>
  </si>
  <si>
    <t>Нюрбинский у, г. Нюрба, кв-л. Энергетик, д. 71</t>
  </si>
  <si>
    <t>МО "Поселок Усть-Нера"</t>
  </si>
  <si>
    <t>Оймяконский у, п Усть-Нера, ул. Андрианова, д. 2</t>
  </si>
  <si>
    <t>1989</t>
  </si>
  <si>
    <t>Оймяконский у, п Усть-Нера, ул. Андрианова, д. 6</t>
  </si>
  <si>
    <t>Оймяконский у, п Усть-Нера, ул. Ленина, д. 27</t>
  </si>
  <si>
    <t>Оймяконский у, п Усть-Нера, ул. Мацкепладзе, д. 20</t>
  </si>
  <si>
    <t>1987</t>
  </si>
  <si>
    <t>Оймяконский у, п Усть-Нера, ул. Молодежная, д. 2</t>
  </si>
  <si>
    <t>1988</t>
  </si>
  <si>
    <t>Оймяконский у, п Усть-Нера, ул. Молодежная, д. 3</t>
  </si>
  <si>
    <t>1985</t>
  </si>
  <si>
    <t>Томпонский у, п Хандыга, п. Хандыга, ул. Геолога Кудрявого, д. 32</t>
  </si>
  <si>
    <t>ГП "Поселок Хандыга"</t>
  </si>
  <si>
    <t>Томпонский у, п Хандыга, п. Хандыга, ул. Магаданская, д. 30</t>
  </si>
  <si>
    <t>Томпонский у, п Хандыга, п. Хандыга, ул. П.Алексеева, д. 2</t>
  </si>
  <si>
    <t>МО "Поселок Эльдикан"</t>
  </si>
  <si>
    <t>Усть-Майский у, п. Эльдикан, ул. Победы, д. 1</t>
  </si>
  <si>
    <t>Дерево</t>
  </si>
  <si>
    <t>Хангаласский у, г. Покровск, ул. Братьев Ксенофонтовых, д. 10</t>
  </si>
  <si>
    <t>ГП "Город Покровск"</t>
  </si>
  <si>
    <t>Хангаласский у, г. Покровск, ул. Орджоникидзе, д. 22</t>
  </si>
  <si>
    <t>Хангаласский у, г. Покровск, ул. Таежная, д. 2</t>
  </si>
  <si>
    <t>Хангаласский у, г. Покровск, ул. Таежная, д. 3</t>
  </si>
  <si>
    <t>Хангаласский у, г. Покровск, ул. Таежная, д. 5</t>
  </si>
  <si>
    <t>Хангаласский у, п. Мохсоголлох, ул. Соколиная, д. 13</t>
  </si>
  <si>
    <t>СП "Немюгюнский наслег"</t>
  </si>
  <si>
    <t>Хангаласский у, Немюгинский н-г, с. Ой, ул. Горького, д. 22</t>
  </si>
  <si>
    <t>1986</t>
  </si>
  <si>
    <t>г. Якутск, ул. Сергеляхское ш. 12 км., д. 9 ЧС</t>
  </si>
  <si>
    <t>2016</t>
  </si>
  <si>
    <t>г. Якутск, пр-кт. Ленина, д. 25 ЧС</t>
  </si>
  <si>
    <t>г. Якутск, ул. Кузьмина, д. 29, кор. 4 ЧС</t>
  </si>
  <si>
    <t>Финансово необеспеченные МКД</t>
  </si>
  <si>
    <t>*</t>
  </si>
  <si>
    <t>п. Чульман (г Нерюнгри), ул. Новая, д. 2</t>
  </si>
  <si>
    <t>п. Чульман (г Нерюнгри), ул. Первомайская, д. 11</t>
  </si>
  <si>
    <t>г. Нерюнгри, пр-кт. Дружбы Народов, д. 5</t>
  </si>
  <si>
    <t>г. Нерюнгри, пр-кт. Дружбы Народов, д. 10 кор. 1</t>
  </si>
  <si>
    <t>г. Нерюнгри, пр-кт. Дружбы Народов, д. 29 кор. 2</t>
  </si>
  <si>
    <t>г. Нерюнгри, пр-кт. Мира, д. 31</t>
  </si>
  <si>
    <t>г. Нерюнгри, ул. Аммосова, д. 12</t>
  </si>
  <si>
    <t>г. Нерюнгри, ул. Карла Маркса, д. 25</t>
  </si>
  <si>
    <t>г. Нерюнгри, ул. Карла Маркса, д. 27</t>
  </si>
  <si>
    <t>г. Нерюнгри, ул. Лужников, д. 3</t>
  </si>
  <si>
    <t>г. Нерюнгри, ул. Лужников, д. 3 кор. 1</t>
  </si>
  <si>
    <t>г. Нерюнгри, ул. Новостроевская, д. 3</t>
  </si>
  <si>
    <t>г. Нерюнгри, ул. Тимптонская, д. 1</t>
  </si>
  <si>
    <t>г. Нерюнгри, ул. Чурапчинская, д. 39</t>
  </si>
  <si>
    <t>г. Нерюнгри, ул. Южно-Якутская, д. 40</t>
  </si>
  <si>
    <t>г. Якутск, мкр. Кангалассы, ул. 26 партсъезда, д. 2</t>
  </si>
  <si>
    <t>г. Якутск, ул. Воинская, д. 9</t>
  </si>
  <si>
    <t>г. Якутск, ул. Горького, д. 94</t>
  </si>
  <si>
    <t>г. Якутск, ул. Лермонтова, д. 29 кор. 1</t>
  </si>
  <si>
    <t>г. Якутск, ул. Октябрьская, д. 18</t>
  </si>
  <si>
    <t>г. Якутск, ул. Орджоникидзе, д. 46 кор. 1</t>
  </si>
  <si>
    <t>г. Якутск, ул. Хабарова, д. 7</t>
  </si>
  <si>
    <t>Алданский у, г. Алдан, ул. Гагарина, д. 13</t>
  </si>
  <si>
    <t>1967</t>
  </si>
  <si>
    <t>Алданский у, г. Алдан, ул. Гагарина, д. 15</t>
  </si>
  <si>
    <t>Алданский у, г. Алдан, ул. Гагарина, д. 19</t>
  </si>
  <si>
    <t>1969</t>
  </si>
  <si>
    <t>Алданский у, г. Алдан, ул. Гагарина, д. 21</t>
  </si>
  <si>
    <t>Алданский у, г. Алдан, ул. Гагарина, д. 23</t>
  </si>
  <si>
    <t>1968</t>
  </si>
  <si>
    <t>Алданский у, г. Алдан, ул. Стрельцова, д. 2</t>
  </si>
  <si>
    <t>Алданский у, г. Томмот, ул. Крупской, д. 8</t>
  </si>
  <si>
    <t>Алданский у, г. Томмот, ул. Нагорная, д. 15</t>
  </si>
  <si>
    <t>Алданский у, п. Нижний Куранах, ул. Строительная, д. 6</t>
  </si>
  <si>
    <t>Алданский у, п. Нижний Куранах, ул. Строительная, д. 7</t>
  </si>
  <si>
    <t>Булунский у, п. Тикси, ул. 50 лет Севморпути, д. 6</t>
  </si>
  <si>
    <t>Булунский у, п. Тикси, ул. Ленинская, д. 27</t>
  </si>
  <si>
    <t>Булунский у, п. Тикси, ул. Трусова, д. 2а</t>
  </si>
  <si>
    <t>Мирнинский у, г. Мирный, ул. Ленина, д. 22 кор.А</t>
  </si>
  <si>
    <t>Мирнинский у, г. Мирный, ул. Московская, д. 12</t>
  </si>
  <si>
    <t>Мирнинский у, г. Мирный, ул. Тихонова, д. 12</t>
  </si>
  <si>
    <t>Нижнеколымский у, п. Черский, ул. Пушкина, д. 9</t>
  </si>
  <si>
    <t>Нижнеколымский у, п. Черский, ул. Таврата, д. 12</t>
  </si>
  <si>
    <t>Нижнеколымский у, п. Черский, ул. Таврата, д. 13</t>
  </si>
  <si>
    <t>Нижнеколымский у, п. Черский, ул. Таврата, д. 15</t>
  </si>
  <si>
    <t>Нюрбинский у, г. Нюрба, кв-л. Энергетик, д. 67</t>
  </si>
  <si>
    <t>Нюрбинский у, г. Нюрба, кв-л. Энергетик, д. 9</t>
  </si>
  <si>
    <t>Хангаласский у, г. Покровск, ул. Орджоникидзе, д. 20</t>
  </si>
  <si>
    <t>Хангаласский у, п. Мохсоголлох, ул. Соколиная, д. 9</t>
  </si>
  <si>
    <t>п. Беркакит (г Нерюнгри), ул. Башарина, д. 3</t>
  </si>
  <si>
    <t>1999</t>
  </si>
  <si>
    <t>п. Беркакит (г Нерюнгри), ул. Бочкарева, д. 6</t>
  </si>
  <si>
    <t>п. Беркакит (г Нерюнгри), ул. Бочкарева, д. 7</t>
  </si>
  <si>
    <t>п. Беркакит (г Нерюнгри), ул. Мусы Джалиля, д. 3</t>
  </si>
  <si>
    <t>1978</t>
  </si>
  <si>
    <t>п. Беркакит (г Нерюнгри), ул. Мусы Джалиля, д. 5</t>
  </si>
  <si>
    <t>1979</t>
  </si>
  <si>
    <t>п. Беркакит (г Нерюнгри), ул. Школьная, д. 7</t>
  </si>
  <si>
    <t>1980</t>
  </si>
  <si>
    <t>п Золотинка, п. Золотинка (г Нерюнгри), ул. Железнодорожная, д. 1</t>
  </si>
  <si>
    <t>ГП "Поселок Чульман" спецсчет</t>
  </si>
  <si>
    <t>п. Чульман (г Нерюнгри), ул. Советская, д. 79 СПЕЦСЧЕТ</t>
  </si>
  <si>
    <t>ГП "Поселок Хани""</t>
  </si>
  <si>
    <t>п. Хани (г Нерюнгри), ул. 70 лет Октября, д. 1</t>
  </si>
  <si>
    <t>ГП "Поселок Хани"</t>
  </si>
  <si>
    <t>п. Хани (г Нерюнгри), ул. 70 лет Октября, д. 2</t>
  </si>
  <si>
    <t>п. Хани (г Нерюнгри), ул. 70 лет Октября, д. 3</t>
  </si>
  <si>
    <t>п. Хани (г Нерюнгри), ул. 70 лет Октября, д. 4</t>
  </si>
  <si>
    <t>п. Хани (г Нерюнгри), ул. 70 лет Октября, д. 5</t>
  </si>
  <si>
    <t>п. Хани (г Нерюнгри), ул. 70 лет Октября, д. 6</t>
  </si>
  <si>
    <t>1993</t>
  </si>
  <si>
    <t>г. Нерюнгри, пр-кт. Геологов, д. 55 кор. 2</t>
  </si>
  <si>
    <t>г. Нерюнгри, пр-кт. Геологов, д. 59</t>
  </si>
  <si>
    <t>г. Нерюнгри, пр-кт. Геологов, д. 61</t>
  </si>
  <si>
    <t>г. Нерюнгри, пр-кт. Геологов, д. 61 кор. 2</t>
  </si>
  <si>
    <t>г. Нерюнгри, пр-кт. Геологов, д. 75 кор. 2</t>
  </si>
  <si>
    <t>г. Нерюнгри, пр-кт. Дружбы Народов, д. 8</t>
  </si>
  <si>
    <t>г. Нерюнгри, пр-кт. Дружбы Народов, д. 9</t>
  </si>
  <si>
    <t>г. Нерюнгри, пр-кт. Дружбы Народов, д. 10</t>
  </si>
  <si>
    <t>г. Нерюнгри, пр-кт. Дружбы Народов, д. 10 кор. 2</t>
  </si>
  <si>
    <t>г. Нерюнгри, пр-кт. Дружбы Народов, д. 14 кор. 1</t>
  </si>
  <si>
    <t>г. Нерюнгри, пр-кт. Дружбы Народов, д. 17</t>
  </si>
  <si>
    <t>г. Нерюнгри, пр-кт. Дружбы Народов, д. 20 кор. 1</t>
  </si>
  <si>
    <t>г. Нерюнгри, пр-кт. Дружбы Народов, д. 25 кор. 2</t>
  </si>
  <si>
    <t>г. Нерюнгри, пр-кт. Дружбы Народов, д. 27 кор. 2</t>
  </si>
  <si>
    <t>г. Нерюнгри, пр-кт. Дружбы Народов, д. 29</t>
  </si>
  <si>
    <t>г. Нерюнгри, пр-кт. Дружбы Народов, д. 29 кор. 3</t>
  </si>
  <si>
    <t>г. Нерюнгри, пр-кт. Дружбы Народов, д. 33</t>
  </si>
  <si>
    <t>г. Нерюнгри, пр-кт. Ленина, д. 7</t>
  </si>
  <si>
    <t>г. Нерюнгри, пр-кт. Ленина, д. 15</t>
  </si>
  <si>
    <t>г. Нерюнгри, пр-кт. Ленина, д. 16 кор. 2</t>
  </si>
  <si>
    <t>г. Нерюнгри, пр-кт. Ленина, д. 21 кор. 1 СПЕЦСЧЕТ</t>
  </si>
  <si>
    <t>г. Нерюнгри, пр-кт. Ленина, д. 25 кор. 1 СПЕЦСЧЕТ</t>
  </si>
  <si>
    <t>г. Нерюнгри, пр-кт. Мира, д. 3</t>
  </si>
  <si>
    <t>г. Нерюнгри, пр-кт. Мира, д. 3 кор. 1</t>
  </si>
  <si>
    <t>г. Нерюнгри, пр-кт. Мира, д. 21 кор. 2</t>
  </si>
  <si>
    <t>г. Нерюнгри, пр-кт. Мира, д. 25 кор. 1</t>
  </si>
  <si>
    <t>МО "Город Нерюнгри" спецчсет</t>
  </si>
  <si>
    <t>г. Нерюнгри, ул. Аммосова, д. 10 СПЕЦСЧЕТ</t>
  </si>
  <si>
    <t>г. Нерюнгри, ул. Аммосова, д. 14</t>
  </si>
  <si>
    <t>г. Нерюнгри, ул. Аммосова, д. 14 кор. 1</t>
  </si>
  <si>
    <t>г. Нерюнгри, ул. Аммосова, д. 4</t>
  </si>
  <si>
    <t>г. Нерюнгри, ул. Аммосова, д. 8 кор. 2 СПЕЦСЧЕТ</t>
  </si>
  <si>
    <t>г. Нерюнгри, ул. им Кравченко, д. 3</t>
  </si>
  <si>
    <t>г. Нерюнгри, ул. им Кравченко, д. 9 кор. 1</t>
  </si>
  <si>
    <t>г. Нерюнгри, ул. им Кравченко, д. 17 кор. 2</t>
  </si>
  <si>
    <t>г. Нерюнгри, ул. им Кравченко, д. 18</t>
  </si>
  <si>
    <t>г. Нерюнгри, ул. им Кравченко, д. 19 кор. 3</t>
  </si>
  <si>
    <t>г. Нерюнгри, ул. им Кравченко, д. 25</t>
  </si>
  <si>
    <t>г. Нерюнгри, ул. Карла Маркса, д. 14 СПЕЦСЧЕТ</t>
  </si>
  <si>
    <t>г. Нерюнгри, ул. Карла Маркса, д. 16</t>
  </si>
  <si>
    <t>г. Нерюнгри, ул. Карла Маркса, д. 19 кор. 1</t>
  </si>
  <si>
    <t>г. Нерюнгри, ул. Карла Маркса, д. 20</t>
  </si>
  <si>
    <t>г. Нерюнгри, ул. Карла Маркса, д. 25 кор. 1</t>
  </si>
  <si>
    <t>г. Нерюнгри, ул. Карла Маркса, д. 27 кор. 2</t>
  </si>
  <si>
    <t>г. Нерюнгри, ул. Новостроевская, д. 5</t>
  </si>
  <si>
    <t>г. Нерюнгри, ул. Строителей, д. 3</t>
  </si>
  <si>
    <t>г. Нерюнгри, ул. Платона Ойунского, д. 2</t>
  </si>
  <si>
    <t>г. Нерюнгри, ул. Платона Ойунского, д. 3</t>
  </si>
  <si>
    <t>г. Нерюнгри, ул. Тимптонская, д. 3 кор. 1</t>
  </si>
  <si>
    <t>г. Нерюнгри, ул. Чурапчинская, д. 37 кор. 2</t>
  </si>
  <si>
    <t>г. Нерюнгри, ул. Чурапчинская, д. 46</t>
  </si>
  <si>
    <t>г. Нерюнгри, ул. Чурапчинская, д. 54</t>
  </si>
  <si>
    <t>г. Нерюнгри, ул. Южно-Якутская, д. 25 кор. 1</t>
  </si>
  <si>
    <t>г. Нерюнгри, ул. Южно-Якутская, д. 31</t>
  </si>
  <si>
    <t>г. Нерюнгри, ул. Южно-Якутская, д. 31 кор. 1</t>
  </si>
  <si>
    <t>ГП "Город Нерюнгри" спецсчет</t>
  </si>
  <si>
    <t>г. Нерюнгри, ул. Южно-Якутская, д. 35 СПЕЦСЧЕТ</t>
  </si>
  <si>
    <t>-</t>
  </si>
  <si>
    <t>г. Нерюнгри, ул. Южно-Якутская, д. 36 кор. 3</t>
  </si>
  <si>
    <t>г. Нерюнгри, ул. Южно-Якутская, д. 41 СПЕЦСЧЕТ</t>
  </si>
  <si>
    <t>г. Нерюнгри, ул. Южно-Якутская, д. 42</t>
  </si>
  <si>
    <t>г. Нерюнгри, ул. Южно-Якутская, д. 43 СПЕЦСЧЕТ</t>
  </si>
  <si>
    <t>п. Серебряный Бор, (г Нерюнгри), д. 118</t>
  </si>
  <si>
    <t>г. Якутск, мкр. 202-й, д. 18</t>
  </si>
  <si>
    <t>1998</t>
  </si>
  <si>
    <t>7</t>
  </si>
  <si>
    <t>г. Якутск, мкр. Кангалассы, ул. 26 партсъезда, д. 4</t>
  </si>
  <si>
    <t>г. Якутск, ул. Дзержинского, д. 8</t>
  </si>
  <si>
    <t>г. Якутск, ул. Дзержинского, д. 12 кор. 3</t>
  </si>
  <si>
    <t>г. Якутск, ул. Дзержинского, д. 15</t>
  </si>
  <si>
    <t>г. Якутск, ул. Дзержинского, д. 15 кор.1</t>
  </si>
  <si>
    <t>г. Якутск, ул. Дзержинского, д. 20 кор. 1</t>
  </si>
  <si>
    <t>г. Якутск, ул. Дзержинского, д. 20 кор. 2</t>
  </si>
  <si>
    <t>г. Якутск, ул. Дзержинского, д. 40</t>
  </si>
  <si>
    <r>
      <rPr>
        <rFont val="Times New Roman"/>
        <color theme="1" tint="0"/>
        <sz val="11"/>
      </rPr>
      <t>г. Якутск, ул. Каландаришвили, д. 40 кор. 8</t>
    </r>
  </si>
  <si>
    <t>г. Якутск, ул. Короленко, д. 7</t>
  </si>
  <si>
    <t>г. Якутск, ул. Кузьмина, д. 10</t>
  </si>
  <si>
    <t>г. Якутск, ул. Кузьмина, д. 14</t>
  </si>
  <si>
    <t>г. Якутск, ул. Кузьмина, д. 16 кор. 1</t>
  </si>
  <si>
    <t>г. Якутск, ул. Кулаковского, д. 30</t>
  </si>
  <si>
    <t>г. Якутск, ул. Лермонтова, д. 58 кор. 2</t>
  </si>
  <si>
    <t>г. Якутск, ул. Лермонтова, д. 92 кор. 2</t>
  </si>
  <si>
    <t>г. Якутск, ул. Лермонтова, д. 94 кор.3</t>
  </si>
  <si>
    <t>г. Якутск, ул. Лермонтова, д. 138 кор.2</t>
  </si>
  <si>
    <t>г. Якутск, ул. Лермонтова, д. 138 кор.3</t>
  </si>
  <si>
    <t>г. Якутск, ул. Лермонтова, д. 138 кор.4</t>
  </si>
  <si>
    <t>г. Якутск, ул. Маяковского, д. 98</t>
  </si>
  <si>
    <t>г. Якутск, ул. Можайского, д. 19</t>
  </si>
  <si>
    <t>г. Якутск, ул. Можайского, д. 19 кор. 3</t>
  </si>
  <si>
    <t>г. Якутск, ул. Ново-Карьерная, д. 20 кор. 2</t>
  </si>
  <si>
    <t>г. Якутск, ул. Ойунского, д. 20 кор. 1</t>
  </si>
  <si>
    <t>г. Якутск, ул. Орджоникидзе, д. 44</t>
  </si>
  <si>
    <t>г. Якутск, ул. Орджоникидзе, д. 44 кор. 1</t>
  </si>
  <si>
    <t>г. Якутск, ул. Петра Алексеева, д. 10</t>
  </si>
  <si>
    <t>проверить СС Алекесеева ЕИ</t>
  </si>
  <si>
    <t>г. Якутск, ул. Петра Алексеева, д. 73 кор. 2</t>
  </si>
  <si>
    <t>г. Якутск, ул. Стадухина, д. 86</t>
  </si>
  <si>
    <t>г. Якутск, ул. Федора Попова, д. 10 кор. 1</t>
  </si>
  <si>
    <t>г. Якутск, ул. Федора Попова, д. 14 кор. 4</t>
  </si>
  <si>
    <t>г. Якутск, ул. Хабарова, д. 23 кор.1</t>
  </si>
  <si>
    <t>г. Якутск, ул. Хабарова, д. 27 кор.1</t>
  </si>
  <si>
    <t>1972</t>
  </si>
  <si>
    <t>г. Якутск, ул. Халтурина, д. 2</t>
  </si>
  <si>
    <t>1977</t>
  </si>
  <si>
    <t>г. Якутск, ул. Халтурина, д. 6 кор. 1</t>
  </si>
  <si>
    <t>г. Якутск, ул. Чернышевского, д. 8 корп. 1</t>
  </si>
  <si>
    <t>ГО "город Якутск" спецсчет</t>
  </si>
  <si>
    <t>г. Якутск, ул. Чернышевского, д. 22 кор. 3 СПЕЦСЧЕТ</t>
  </si>
  <si>
    <t>ГО "Город Якутск" спецсчет</t>
  </si>
  <si>
    <t>г. Якутск, ул. Якова Потапова, д. 6</t>
  </si>
  <si>
    <t>г. Якутск, ул. Якова Потапова, д. 6 корп.1</t>
  </si>
  <si>
    <t>г. Якутск, ш. Сергеляхское 13 км, д. 1</t>
  </si>
  <si>
    <t>МО "Поселок Белая Гора"</t>
  </si>
  <si>
    <t>Абыйский у, п. Белая Гора, ул. Строителей, д. 11 кор.1</t>
  </si>
  <si>
    <t>Абыйский у, п. Белая Гора, ул. Строителей, д. 11 кор.2</t>
  </si>
  <si>
    <t>Абыйский у, п. Белая Гора, ул. Строителей, д. 14</t>
  </si>
  <si>
    <t>Алданский у, г. Алдан, ул. Пролетарская, д. 49</t>
  </si>
  <si>
    <t>Алданский у, г. Томмот, пер. Якутский, д. 13</t>
  </si>
  <si>
    <t>МО "Поселок Ленинский"</t>
  </si>
  <si>
    <t>Алданский у, п. Лебединый, ул. Карла Маркса, д. 20 кор. А</t>
  </si>
  <si>
    <t>Алданский у, п. Лебединый, ул. Октябрьская, д. 36</t>
  </si>
  <si>
    <t>Алданский у, п. Ленинский, ул. Карла Маркса, д. 16</t>
  </si>
  <si>
    <t>Алданский у, п. Нижний Куранах, пер. Школьный, д. 4</t>
  </si>
  <si>
    <t>Алданский у, п. Нижний Куранах, пер. Школьный, д. 6</t>
  </si>
  <si>
    <t>Алданский у, п. Нижний Куранах, ул. Строительная, д. 9</t>
  </si>
  <si>
    <t>Алданский у, п. Нижний Куранах, ул. Строительная, д. 10</t>
  </si>
  <si>
    <t>Алданский у, п. Нижний Куранах, ул. Строительная, д. 12</t>
  </si>
  <si>
    <t>Алданский у, п. Нижний Куранах, ул. Строительная, д. 16</t>
  </si>
  <si>
    <t>Алданский у, п. Нижний Куранах, ул. Школьная, д. 15</t>
  </si>
  <si>
    <t>Алданский у, п. Нижний Куранах, ул. Школьная, д. 21</t>
  </si>
  <si>
    <t>Алданский у, п. Нижний Куранах, ул. Школьная, д. 23</t>
  </si>
  <si>
    <t>Булунский у, п. Тикси 3-й, ул. Полярной Авиации, д. 8</t>
  </si>
  <si>
    <t>Булунский у, п. Тикси, ул. Академика Федорова, д. 28а</t>
  </si>
  <si>
    <t>Булунский у, п. Тикси, ул. Академика Федорова, д. 38</t>
  </si>
  <si>
    <t>Булунский у, п. Тикси, ул. Гагарина, д. 3</t>
  </si>
  <si>
    <t>Булунский у, п. Тикси, ул. Гагарина, д. 8а</t>
  </si>
  <si>
    <t>Булунский у, п. Тикси, ул. Ленинская, д. 2а</t>
  </si>
  <si>
    <t>Булунский у, п. Тикси, ул. Ленинская, д. 21</t>
  </si>
  <si>
    <t>Булунский у, п. Тикси, ул. Морская, д. 18</t>
  </si>
  <si>
    <t>Булунский у, п. Тикси, ул. Морская, д. 32</t>
  </si>
  <si>
    <t>Булунский у, п. Тикси, ул. Морская, д. 33а</t>
  </si>
  <si>
    <t>Булунский у, п. Тикси, ул. Трусова, д. 3</t>
  </si>
  <si>
    <t>Булунский у, п. Тикси, ул. Трусова, д. 5</t>
  </si>
  <si>
    <t>Булунский у, п. Тикси, ул. Трусова, д. 9</t>
  </si>
  <si>
    <t>Булунский у, п. Тикси, ул. Трусова, д. 11</t>
  </si>
  <si>
    <t>Булунский у, п. Тикси, ул. Трусова, д. 14</t>
  </si>
  <si>
    <t>Верхнеколымский у, п. Зырянка, ул. Победы, д. 20</t>
  </si>
  <si>
    <t>Верхнеколымский у, п. Зырянка, ул. Прокопьева А.Е., д. 3</t>
  </si>
  <si>
    <t>2010</t>
  </si>
  <si>
    <t>Верхнеколымский у, п. Зырянка, ул. Стадухина, д. 7</t>
  </si>
  <si>
    <t>Ленский у, г. Ленск, ул. Дзержинского, д. 21</t>
  </si>
  <si>
    <t>Ленский у, г. Ленск, ул. Первомайская, д. 5</t>
  </si>
  <si>
    <t>Ленский у, г. Ленск, ул. Первомайская, д. 9</t>
  </si>
  <si>
    <t>Ленский у, г. Ленск, ул. Победы, д. 19 кор.А</t>
  </si>
  <si>
    <t>2008</t>
  </si>
  <si>
    <t>Ленский у, г. Ленск, ул. Портовская, д. 24</t>
  </si>
  <si>
    <t>Мирнинский у, г. Мирный, пр-кт. Ленинградский, д. 19</t>
  </si>
  <si>
    <t>Мирнинский у, г. Мирный, пр-кт. Ленинградский, д. 21 кор. 1</t>
  </si>
  <si>
    <t>Мирнинский у, г. Мирный, ул. Аммосова, д. 96 кор. 1</t>
  </si>
  <si>
    <t>Мирнинский у, г. Мирный, ул. Аммосова, д. 98 кор. 1</t>
  </si>
  <si>
    <t>Мирнинский у, г. Мирный, ул. Комсомольская, д. 25</t>
  </si>
  <si>
    <t>Мирнинский у, г. Мирный, ул. Комсомольская, д. 25 кор. а</t>
  </si>
  <si>
    <t>Мирнинский у, г. Мирный, ул. Комсомольская, д. 29</t>
  </si>
  <si>
    <t>Мирнинский у, г. Мирный, ул. Ленина, д. 4 кор. 2</t>
  </si>
  <si>
    <t>Мирнинский у, г. Мирный, ул. Ленина, д. 10</t>
  </si>
  <si>
    <t>Мирнинский у, г. Мирный, ул. Ленина, д. 10 кор. а</t>
  </si>
  <si>
    <t>Мирнинский у, г. Мирный, ул. Ленина, д. 11</t>
  </si>
  <si>
    <t>Мирнинский у, г. Мирный, ул. Ленина, д. 12</t>
  </si>
  <si>
    <t>Мирнинский у, г. Мирный, ул. Ленина, д. 21</t>
  </si>
  <si>
    <t>Мирнинский у, г. Мирный, ул. Ленина, д. 23</t>
  </si>
  <si>
    <t>Мирнинский у, г. Мирный, ул. Ленина, д. 34</t>
  </si>
  <si>
    <t>Мирнинский у, г. Мирный, ул. Ленина, д. 35</t>
  </si>
  <si>
    <t>Мирнинский у, г. Мирный, ул. Ленина, д. 38</t>
  </si>
  <si>
    <t>Мирнинский у, г. Мирный, ул. Московская, д. 2</t>
  </si>
  <si>
    <t>Мирнинский у, г. Мирный, ул. Московская, д. 4</t>
  </si>
  <si>
    <t>Мирнинский у, г. Мирный, ул. Московская, д. 6</t>
  </si>
  <si>
    <t>Мирнинский у, г. Мирный, ул. Московская, д. 8</t>
  </si>
  <si>
    <t>Мирнинский у, г. Мирный, ул. Московская, д. 10</t>
  </si>
  <si>
    <t>Мирнинский у, г. Мирный, ул. Ойунского, д. 36</t>
  </si>
  <si>
    <t>Мирнинский у, г. Мирный, ул. Ойунского, д. 41</t>
  </si>
  <si>
    <t>Мирнинский у, г. Мирный, ул. Советская, д. 3</t>
  </si>
  <si>
    <t>Мирнинский у, г. Мирный, ул. Советская, д. 5</t>
  </si>
  <si>
    <t>Мирнинский у, г. Мирный, ул. Советская, д. 8</t>
  </si>
  <si>
    <t>Мирнинский у, г. Мирный, ул. Советская, д. 11 кор. 2</t>
  </si>
  <si>
    <t>Мирнинский у, г. Мирный, ул. Советская, д. 14</t>
  </si>
  <si>
    <t>Мирнинский у, г. Мирный, ул. Советская, д. 15 кор. 2</t>
  </si>
  <si>
    <t>Мирнинский у, г. Мирный, ул. Советская, д. 21</t>
  </si>
  <si>
    <t>Мирнинский у, г. Мирный, ул. Солдатова, д. 2</t>
  </si>
  <si>
    <t>Мирнинский у, г. Мирный, ул. Солдатова, д. 2 кор. 1</t>
  </si>
  <si>
    <t>Мирнинский у, г. Мирный, ул. Солдатова, д. 16</t>
  </si>
  <si>
    <t>Мирнинский у, г. Мирный, ул. Тихонова, д. 3 кор. 2</t>
  </si>
  <si>
    <t>Мирнинский у, г. Мирный, ул. Тихонова, д. 14</t>
  </si>
  <si>
    <t>Мирнинский у, г. Мирный, ул. Тихонова, д. 29 кор. 1</t>
  </si>
  <si>
    <t>Мирнинский у, г. Мирный, ул. Тихонова, д. 29 кор. 2</t>
  </si>
  <si>
    <t>Мирнинский у, г. Мирный, ул. Тихонова, д. 29 кор. 3</t>
  </si>
  <si>
    <t>Мирнинский у, г. Мирный, ул. Тихонова, д. 29/4</t>
  </si>
  <si>
    <t>Мирнинский у, г. Мирный, ш. 50 лет Октября, д. 1</t>
  </si>
  <si>
    <t>Мирнинский у, г. Мирный, ш. 50 лет Октября, д. 14 кор.1</t>
  </si>
  <si>
    <t>1995</t>
  </si>
  <si>
    <t>Мирнинский у, г. Мирный, ш. 50 лет Октября, д. 16 кор. 1</t>
  </si>
  <si>
    <t>МО "Поселок Айхал"</t>
  </si>
  <si>
    <t>Мирнинский у, п. Айхал, ул. Советская, д. 15</t>
  </si>
  <si>
    <t>Мирнинский у, п. Светлый, ул. Гидростроителей, д. 1</t>
  </si>
  <si>
    <t>Мирнинский у, п. Светлый, ул. Гидростроителей, д. 2</t>
  </si>
  <si>
    <t>Мирнинский у, п. Светлый, ул. Гидростроителей, д. 3</t>
  </si>
  <si>
    <t>МО "Поселок Чернышевский"</t>
  </si>
  <si>
    <t>Мирнинский у, п. Чернышевский, ул. Гидростроителей, д. 20</t>
  </si>
  <si>
    <t>Мирнинский у, п. Чернышевский, ул. Гидростроителей, д. 24</t>
  </si>
  <si>
    <t>Мирнинский у, п. Чернышевский, ул. Космонавтов, д. 10/2</t>
  </si>
  <si>
    <t>Нижнеколымский у, п. Черский, ул. Пушкина, д. 15</t>
  </si>
  <si>
    <t>Нюрбинский у, г. Нюрба, кв-л. Энергетик, д. 7</t>
  </si>
  <si>
    <t>Нюрбинский у, г. Нюрба, кв-л. Энергетик, д. 67 кор. 1</t>
  </si>
  <si>
    <t>Нюрбинский у, г. Нюрба, кв-л. Энергетик, д. 73</t>
  </si>
  <si>
    <t>Нюрбинский у, г. Нюрба, кв-л. Энергетик, д. 75</t>
  </si>
  <si>
    <t>МО "Поселок Солнечный"</t>
  </si>
  <si>
    <t>Усть-Майский у, п. Солнечный, ул. Профсоюзов, д. 6</t>
  </si>
  <si>
    <t>Усть-Майский у, п. Эльдикан, ул. Алданская, д. 81</t>
  </si>
  <si>
    <t>Усть-Майский у, п. Эльдикан, ул. Куйбышева, д. 30</t>
  </si>
  <si>
    <t>Усть-Майский у, п. Эльдикан, ул. Куйбышева, д. 34</t>
  </si>
  <si>
    <t>Усть-Майский у, п. Эльдикан, ул. Рабочая, д. 8</t>
  </si>
  <si>
    <t>Усть-Майский у, п. Эльдикан, ул. Рабочая, д. 12</t>
  </si>
  <si>
    <t>МО "Петропавловский национальный наслег"</t>
  </si>
  <si>
    <t>Усть-Майский у, с. Петропавловск, ул. Строда, д. 21</t>
  </si>
  <si>
    <t>Хангаласский у, п. Мохсоголлох, ул. Заводская, д. 1</t>
  </si>
  <si>
    <t>Хангаласский у, п. Мохсоголлох, ул. Молодежная, д. 20</t>
  </si>
  <si>
    <t>Хангаласский у, п. Мохсоголлох, ул. Молодежная, д. 20 кор. а</t>
  </si>
  <si>
    <t>Хангаласский у, п. Мохсоголлох, ул. Молодежная, д. 22</t>
  </si>
  <si>
    <t>Хангаласский у, п. Мохсоголлох, ул. Соколиная, д. 2</t>
  </si>
  <si>
    <t>Хангаласский у, п. Мохсоголлох, ул. Соколиная, д. 12</t>
  </si>
  <si>
    <t>Хангаласский у, п. Мохсоголлох, ул. Соколиная, д. 16</t>
  </si>
  <si>
    <t>Хангаласский у, п. Мохсоголлох, ул. Соколиная, д. 22</t>
  </si>
  <si>
    <t>МО "Чурапчинский наслег"</t>
  </si>
  <si>
    <t>Чурапчинский у, Чурапчинский н-г, с. Чурапча, ул. Ленина, д. 39</t>
  </si>
  <si>
    <r>
      <rPr>
        <rFont val="XO Thames"/>
        <b val="true"/>
        <color theme="1" tint="0"/>
        <sz val="11"/>
      </rPr>
      <t xml:space="preserve">К VIII летним Международным спортивным играм «Дети Азии» </t>
    </r>
    <r>
      <t xml:space="preserve">
</t>
    </r>
  </si>
  <si>
    <t>г. Якутск, пр-кт. Ленина, д. 10</t>
  </si>
  <si>
    <t>г. Якутск, пр-кт, Ленина, д. 21</t>
  </si>
  <si>
    <t>г. Якутск, пр-кт. Ленина, д. 23</t>
  </si>
  <si>
    <t>г. Якутск, пр-кт. Ленина, д. 27/1</t>
  </si>
  <si>
    <t>г. Якутск, пр-кт. Ленина, д. 29</t>
  </si>
  <si>
    <t>г. Якутск, пр-кт. Ленина, д. 34</t>
  </si>
  <si>
    <t>г. Якутск, пр-кт. Ленина, д. 35</t>
  </si>
  <si>
    <t>г. Якутск, пр-кт. Ленина, д. 46</t>
  </si>
  <si>
    <t>г. Якутск, ул. Губина, д. 37</t>
  </si>
  <si>
    <t>г. Якутск, ул. Лермонтова, д. 52</t>
  </si>
  <si>
    <t xml:space="preserve">г. Якутск, ул. Можайского, д. 15/2 </t>
  </si>
  <si>
    <t>г. Якутск, ул. Можайского, д. 17</t>
  </si>
  <si>
    <t>г. Якутск, ул. Ойунского, д. 6/1</t>
  </si>
  <si>
    <t>г. Якутск, ул. Петра Алексеева, д. 73/1</t>
  </si>
  <si>
    <t>г. Якутск, ш. Сергеляхское 12 км., д. 3</t>
  </si>
  <si>
    <t>г. Якутск, ш. Сергеляхское 12 км., д. 7</t>
  </si>
  <si>
    <t>г. Якутск, ш. Сергеляхское 12 км., д. 7/1</t>
  </si>
  <si>
    <t xml:space="preserve">* - 2023 г. по средствам из гос.бюджета отражено с учетом выплаченного аванса в 2022 г. на сумму 4 547 441,60 руб. по следующим МКД: </t>
  </si>
  <si>
    <t>Верхнеколымский у, п. Зырянка, ул. Леликова, д. 8 - 4 292 023,99 руб.</t>
  </si>
  <si>
    <t>Верхнеколымский у, Угольнинский н-г, с. Угольное, ул. Дорожная, д. 12 - 255 417,61 руб.</t>
  </si>
  <si>
    <r>
      <rPr>
        <rFont val="Times New Roman"/>
        <i val="true"/>
        <sz val="11"/>
      </rPr>
      <t>* - повторяющиеся многоквартирные дома, отраженные в финансово-обеспеченных в 2023 г.</t>
    </r>
  </si>
  <si>
    <t>Приложение № 2 к приказу</t>
  </si>
  <si>
    <t>Адресный перечень многоквартирных домов, в отношении которых в 2022-2024 гг. планируется проведение капитального ремонта общего имущества в многоквартирных домах, с разбивкой по видам работ</t>
  </si>
  <si/>
  <si>
    <r>
      <t xml:space="preserve">ГО "город Якутск" </t>
    </r>
    <r>
      <rPr>
        <rFont val="Times New Roman"/>
        <color rgb="FF0000" tint="0"/>
        <sz val="11"/>
      </rPr>
      <t>(не считается как дом)</t>
    </r>
  </si>
  <si>
    <t>МО "ГП "Поселок Хани""</t>
  </si>
</sst>
</file>

<file path=xl/styles.xml><?xml version="1.0" encoding="utf-8"?>
<style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numFmts>
    <numFmt co:extendedFormatCode="General" formatCode="General" numFmtId="1000"/>
    <numFmt co:extendedFormatCode="#,##0.00" formatCode="#,##0.00" numFmtId="1001"/>
    <numFmt co:extendedFormatCode="#,##0.00_ ;[red]-#,##0.00 " formatCode="#,##0.00_ ;[red]-#,##0.00 " numFmtId="1002"/>
    <numFmt co:extendedFormatCode="0.00_ ;[red]-0.00 " formatCode="0.00_ ;[red]-0.00 " numFmtId="1003"/>
    <numFmt co:extendedFormatCode="#,##0" formatCode="#,##0" numFmtId="1004"/>
    <numFmt co:extendedFormatCode="#,##0.0" formatCode="#,##0.0" numFmtId="1005"/>
    <numFmt co:extendedFormatCode="#,##0.0000000000" formatCode="#,##0.0000000000" numFmtId="1006"/>
    <numFmt co:extendedFormatCode="#,##0_ ;[red]-#,##0 " formatCode="#,##0_ ;[red]-#,##0 " numFmtId="1007"/>
    <numFmt co:extendedFormatCode="#,##0.0000_ ;[red]-#,##0.0000 " formatCode="#,##0.0000_ ;[red]-#,##0.0000 " numFmtId="1008"/>
    <numFmt co:extendedFormatCode="_-* #,##0.00_-;-* #,##0.00_-;_-* -??_-;_-@_-" formatCode="_-* #,##0.00_-;-* #,##0.00_-;_-* -??_-;_-@_-" numFmtId="1009"/>
    <numFmt co:extendedFormatCode="# ##0.00_ ;[red]-# ##0.00 " formatCode="# ##0.00_ ;[red]-# ##0.00 " numFmtId="1010"/>
    <numFmt co:extendedFormatCode="_-* #,##0.00_р_._-;-* #,##0.00_р_._-;_-* -??_р_._-;_-@_-" formatCode="_-* #,##0.00_р_._-;-* #,##0.00_р_._-;_-* -??_р_._-;_-@_-" numFmtId="1011"/>
    <numFmt co:extendedFormatCode="0" formatCode="0" numFmtId="1012"/>
  </numFmts>
  <fonts count="19">
    <font>
      <name val="Calibri"/>
      <color theme="1" tint="0"/>
      <sz val="11"/>
    </font>
    <font>
      <color theme="1" tint="0"/>
      <sz val="11"/>
      <scheme val="minor"/>
    </font>
    <font>
      <name val="Times New Roman"/>
      <sz val="11"/>
    </font>
    <font>
      <name val="Times New Roman"/>
      <sz val="12"/>
    </font>
    <font>
      <name val="Times New Roman"/>
      <b val="true"/>
      <sz val="11"/>
    </font>
    <font>
      <name val="Times New Roman"/>
      <color theme="1" tint="0"/>
      <sz val="13"/>
    </font>
    <font>
      <name val="Times New Roman"/>
      <sz val="14"/>
    </font>
    <font>
      <name val="Times New Roman"/>
      <color rgb="FF0000" tint="0"/>
      <sz val="11"/>
    </font>
    <font>
      <name val="Times New Roman"/>
      <color theme="1" tint="0"/>
      <sz val="11"/>
    </font>
    <font>
      <name val="Times New Roman"/>
      <b val="true"/>
      <sz val="16"/>
    </font>
    <font>
      <name val="Times New Roman"/>
      <b val="true"/>
      <sz val="13"/>
    </font>
    <font>
      <name val="Arial"/>
      <sz val="10"/>
    </font>
    <font>
      <name val="Times New Roman"/>
      <sz val="10"/>
    </font>
    <font>
      <name val="Times New Roman"/>
      <b val="true"/>
      <color theme="1" tint="0"/>
      <sz val="11"/>
    </font>
    <font>
      <name val="Times New Roman"/>
      <color rgb="000000" tint="0"/>
      <sz val="11"/>
    </font>
    <font>
      <name val="Times New Roman"/>
      <b val="true"/>
      <color rgb="C00000" tint="0"/>
      <sz val="11"/>
    </font>
    <font>
      <name val="XO Thames"/>
      <b val="true"/>
      <color theme="1" tint="0"/>
      <sz val="11"/>
    </font>
    <font>
      <name val="Times New Roman"/>
      <i val="true"/>
      <sz val="11"/>
    </font>
    <font>
      <name val="Times New Roman"/>
      <color rgb="C00000" tint="0"/>
      <sz val="11"/>
    </font>
  </fonts>
  <fills count="15">
    <fill>
      <patternFill patternType="none"/>
    </fill>
    <fill>
      <patternFill patternType="gray125"/>
    </fill>
    <fill>
      <patternFill patternType="solid">
        <fgColor theme="9" tint="0.599993896298105"/>
      </patternFill>
    </fill>
    <fill>
      <patternFill patternType="solid">
        <fgColor theme="4" tint="0.599993896298105"/>
      </patternFill>
    </fill>
    <fill>
      <patternFill patternType="solid">
        <fgColor rgb="7030A0" tint="0"/>
      </patternFill>
    </fill>
    <fill>
      <patternFill patternType="solid">
        <fgColor rgb="FFC000" tint="0"/>
      </patternFill>
    </fill>
    <fill>
      <patternFill patternType="solid">
        <fgColor rgb="FFFF00" tint="0"/>
      </patternFill>
    </fill>
    <fill>
      <patternFill patternType="solid">
        <fgColor rgb="00FF99" tint="0"/>
      </patternFill>
    </fill>
    <fill>
      <patternFill patternType="solid">
        <fgColor rgb="C00000" tint="0"/>
      </patternFill>
    </fill>
    <fill>
      <patternFill patternType="solid">
        <fgColor rgb="663300" tint="0"/>
      </patternFill>
    </fill>
    <fill>
      <patternFill patternType="solid">
        <fgColor rgb="FFFFFF" tint="0"/>
      </patternFill>
    </fill>
    <fill>
      <patternFill patternType="solid">
        <fgColor theme="4" tint="0.399884029663991"/>
      </patternFill>
    </fill>
    <fill>
      <patternFill patternType="solid">
        <fgColor theme="4" tint="0.399975585192419"/>
      </patternFill>
    </fill>
    <fill>
      <patternFill patternType="solid">
        <fgColor theme="4" tint="0.399914548173467"/>
      </patternFill>
    </fill>
    <fill>
      <patternFill patternType="solid">
        <fgColor theme="0" tint="0"/>
      </patternFill>
    </fill>
  </fills>
  <borders count="38">
    <border>
      <left style="none"/>
      <right style="none"/>
      <top style="none"/>
      <bottom style="none"/>
      <diagonal style="none"/>
    </border>
    <border>
      <left style="dotted">
        <color rgb="000000" tint="0"/>
      </left>
      <right style="dotted">
        <color rgb="000000" tint="0"/>
      </right>
      <top style="dotted">
        <color rgb="000000" tint="0"/>
      </top>
      <bottom style="dotted">
        <color rgb="000000" tint="0"/>
      </bottom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none"/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  <border>
      <right style="thin">
        <color rgb="000000" tint="0"/>
      </right>
      <top style="thin">
        <color rgb="000000" tint="0"/>
      </top>
      <bottom style="thin">
        <color rgb="000000" tint="0"/>
      </bottom>
    </border>
    <border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none"/>
      <top style="thin">
        <color rgb="000000" tint="0"/>
      </top>
      <bottom style="thin">
        <color rgb="000000" tint="0"/>
      </bottom>
    </border>
    <border>
      <left style="none"/>
      <right style="none"/>
      <top style="thin">
        <color rgb="000000" tint="0"/>
      </top>
      <bottom style="thin">
        <color rgb="000000" tint="0"/>
      </bottom>
    </border>
    <border>
      <left style="none"/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</border>
    <border>
      <left style="thin">
        <color rgb="000000" tint="0"/>
      </left>
      <right style="thin">
        <color rgb="000000" tint="0"/>
      </right>
      <top style="none"/>
      <bottom style="thin">
        <color rgb="000000" tint="0"/>
      </bottom>
    </border>
    <border>
      <top style="none"/>
      <bottom style="thin">
        <color rgb="000000" tint="0"/>
      </bottom>
    </border>
    <border>
      <right style="thin">
        <color rgb="000000" tint="0"/>
      </right>
      <top style="none"/>
      <bottom style="thin">
        <color rgb="000000" tint="0"/>
      </bottom>
    </border>
    <border>
      <left style="thin">
        <color rgb="000000" tint="0"/>
      </left>
      <right style="thin">
        <color rgb="000000" tint="0"/>
      </right>
      <bottom style="thin">
        <color rgb="000000" tint="0"/>
      </bottom>
    </border>
    <border>
      <left style="thin">
        <color rgb="000000" tint="0"/>
      </left>
      <right style="thin">
        <color rgb="000000" tint="0"/>
      </right>
      <bottom style="none"/>
    </border>
    <border>
      <left style="thin">
        <color rgb="000000" tint="0"/>
      </left>
      <right style="none"/>
      <top style="none"/>
      <bottom style="none"/>
    </border>
    <border>
      <left style="dotted">
        <color rgb="000000" tint="0"/>
      </left>
      <right style="dotted">
        <color rgb="000000" tint="0"/>
      </right>
      <top style="none"/>
      <bottom style="dotted">
        <color rgb="000000" tint="0"/>
      </bottom>
    </border>
    <border>
      <left style="none"/>
      <right style="dotted">
        <color rgb="000000" tint="0"/>
      </right>
      <top style="none"/>
      <bottom style="dotted">
        <color rgb="000000" tint="0"/>
      </bottom>
    </border>
    <border>
      <left style="dotted">
        <color rgb="000000" tint="0"/>
      </left>
      <right style="none"/>
      <top style="none"/>
      <bottom style="dotted">
        <color rgb="000000" tint="0"/>
      </bottom>
    </border>
    <border>
      <left style="thin">
        <color rgb="000000" tint="0"/>
      </left>
      <right style="dotted">
        <color rgb="000000" tint="0"/>
      </right>
      <top style="dotted">
        <color rgb="000000" tint="0"/>
      </top>
      <bottom style="dotted">
        <color rgb="000000" tint="0"/>
      </bottom>
    </border>
    <border>
      <left style="dotted">
        <color rgb="000000" tint="0"/>
      </left>
      <right style="none"/>
      <top style="dotted">
        <color rgb="000000" tint="0"/>
      </top>
      <bottom style="dotted">
        <color rgb="000000" tint="0"/>
      </bottom>
    </border>
    <border>
      <left style="none"/>
      <right style="dotted">
        <color rgb="000000" tint="0"/>
      </right>
      <top style="dotted">
        <color rgb="000000" tint="0"/>
      </top>
      <bottom style="dotted">
        <color rgb="000000" tint="0"/>
      </bottom>
    </border>
    <border>
      <left style="dotted">
        <color rgb="000000" tint="0"/>
      </left>
      <right style="thin">
        <color rgb="000000" tint="0"/>
      </right>
      <top style="dotted">
        <color rgb="000000" tint="0"/>
      </top>
      <bottom style="dotted">
        <color rgb="000000" tint="0"/>
      </bottom>
    </border>
    <border>
      <left style="dotted">
        <color rgb="000000" tint="0"/>
      </left>
      <right style="dotted">
        <color rgb="000000" tint="0"/>
      </right>
      <top style="dotted">
        <color rgb="000000" tint="0"/>
      </top>
      <bottom style="none"/>
    </border>
    <border>
      <left style="dotted">
        <color rgb="000000" tint="0"/>
      </left>
      <right style="none"/>
      <top style="dotted">
        <color rgb="000000" tint="0"/>
      </top>
      <bottom style="none"/>
    </border>
    <border>
      <left style="thin">
        <color rgb="000000" tint="0"/>
      </left>
      <right style="dotted">
        <color rgb="000000" tint="0"/>
      </right>
      <top style="dotted">
        <color rgb="000000" tint="0"/>
      </top>
      <bottom style="none"/>
    </border>
    <border>
      <left style="none"/>
      <right style="dotted">
        <color rgb="000000" tint="0"/>
      </right>
      <top style="dotted">
        <color rgb="000000" tint="0"/>
      </top>
      <bottom style="none"/>
    </border>
    <border>
      <left style="dotted">
        <color rgb="000000" tint="0"/>
      </left>
      <right style="thin">
        <color rgb="000000" tint="0"/>
      </right>
      <top style="dotted">
        <color rgb="000000" tint="0"/>
      </top>
      <bottom style="none"/>
    </border>
    <border>
      <left style="dotted">
        <color rgb="000000" tint="0"/>
      </left>
      <right style="thin">
        <color rgb="000000" tint="0"/>
      </right>
      <top style="none"/>
      <bottom style="dotted">
        <color rgb="000000" tint="0"/>
      </bottom>
    </border>
    <border diagonalDown="true" diagonalUp="true">
      <left style="dotted">
        <color rgb="000000" tint="0"/>
      </left>
      <right style="dotted">
        <color rgb="000000" tint="0"/>
      </right>
      <top style="dotted">
        <color rgb="000000" tint="0"/>
      </top>
      <bottom style="dotted">
        <color rgb="000000" tint="0"/>
      </bottom>
      <diagonal style="none"/>
    </border>
    <border>
      <left style="none"/>
      <right style="none"/>
      <top style="none"/>
      <bottom style="dotted">
        <color rgb="000000" tint="0"/>
      </bottom>
    </border>
    <border>
      <left style="none"/>
      <right style="none"/>
      <top style="dotted">
        <color rgb="000000" tint="0"/>
      </top>
      <bottom style="dotted">
        <color rgb="000000" tint="0"/>
      </bottom>
    </border>
    <border>
      <left style="none"/>
      <right style="none"/>
      <top style="dotted">
        <color rgb="000000" tint="0"/>
      </top>
      <bottom style="none"/>
    </border>
    <border>
      <left style="thin">
        <color rgb="000000" tint="0"/>
      </left>
      <right style="dotted">
        <color rgb="000000" tint="0"/>
      </right>
      <top style="dotted">
        <color rgb="000000" tint="0"/>
      </top>
      <bottom style="thin">
        <color rgb="000000" tint="0"/>
      </bottom>
    </border>
    <border>
      <left style="dotted">
        <color rgb="000000" tint="0"/>
      </left>
      <right style="dotted">
        <color rgb="000000" tint="0"/>
      </right>
      <top style="dotted">
        <color rgb="000000" tint="0"/>
      </top>
      <bottom style="thin">
        <color rgb="000000" tint="0"/>
      </bottom>
    </border>
    <border>
      <left style="dotted">
        <color rgb="000000" tint="0"/>
      </left>
      <right style="none"/>
      <top style="dotted">
        <color rgb="000000" tint="0"/>
      </top>
      <bottom style="thin">
        <color rgb="000000" tint="0"/>
      </bottom>
    </border>
    <border>
      <left style="dotted">
        <color rgb="000000" tint="0"/>
      </left>
      <right style="thin">
        <color rgb="000000" tint="0"/>
      </right>
      <top style="dotted">
        <color rgb="000000" tint="0"/>
      </top>
      <bottom style="thin">
        <color rgb="000000" tint="0"/>
      </bottom>
    </border>
    <border>
      <right style="none"/>
      <top style="thin">
        <color rgb="000000" tint="0"/>
      </top>
      <bottom style="thin">
        <color rgb="000000" tint="0"/>
      </bottom>
    </border>
  </borders>
  <cellStyleXfs count="1">
    <xf applyFont="true" applyNumberFormat="true" borderId="0" fillId="0" fontId="1" numFmtId="1000" quotePrefix="false"/>
  </cellStyleXfs>
  <cellXfs count="314">
    <xf applyFont="true" applyNumberFormat="true" borderId="0" fillId="0" fontId="1" numFmtId="1000" quotePrefix="false"/>
    <xf applyAlignment="true" applyFont="true" applyNumberFormat="true" borderId="0" fillId="0" fontId="2" numFmtId="1000" quotePrefix="false">
      <alignment vertical="center"/>
    </xf>
    <xf applyAlignment="true" applyFont="true" applyNumberFormat="true" borderId="0" fillId="0" fontId="2" numFmtId="1000" quotePrefix="false">
      <alignment horizontal="center" vertical="center"/>
    </xf>
    <xf applyAlignment="true" applyFont="true" applyNumberFormat="true" borderId="0" fillId="0" fontId="2" numFmtId="1001" quotePrefix="false">
      <alignment vertical="center"/>
    </xf>
    <xf applyAlignment="true" applyFill="true" applyFont="true" applyNumberFormat="true" borderId="0" fillId="2" fontId="2" numFmtId="1000" quotePrefix="false">
      <alignment vertical="center"/>
    </xf>
    <xf applyAlignment="true" applyFill="true" applyFont="true" applyNumberFormat="true" borderId="0" fillId="3" fontId="2" numFmtId="1000" quotePrefix="false">
      <alignment vertical="center"/>
    </xf>
    <xf applyAlignment="true" applyFont="true" applyNumberFormat="true" borderId="0" fillId="0" fontId="3" numFmtId="1000" quotePrefix="false">
      <alignment horizontal="right" vertical="center"/>
    </xf>
    <xf applyAlignment="true" applyFont="true" applyNumberFormat="true" borderId="0" fillId="0" fontId="4" numFmtId="1001" quotePrefix="false">
      <alignment horizontal="center" vertical="center" wrapText="true"/>
    </xf>
    <xf applyFont="true" applyNumberFormat="true" borderId="0" fillId="0" fontId="1" numFmtId="1001" quotePrefix="false"/>
    <xf applyAlignment="true" applyFont="true" applyNumberFormat="true" borderId="0" fillId="0" fontId="2" numFmtId="1002" quotePrefix="false">
      <alignment vertical="center"/>
    </xf>
    <xf applyAlignment="true" applyFont="true" applyNumberFormat="true" borderId="0" fillId="0" fontId="5" numFmtId="1001" quotePrefix="false">
      <alignment horizontal="center" vertical="center"/>
    </xf>
    <xf applyAlignment="true" applyFont="true" applyNumberFormat="true" borderId="0" fillId="0" fontId="6" numFmtId="1001" quotePrefix="false">
      <alignment horizontal="center" vertical="center"/>
    </xf>
    <xf applyAlignment="true" applyFill="true" applyFont="true" applyNumberFormat="true" borderId="0" fillId="4" fontId="2" numFmtId="1001" quotePrefix="false">
      <alignment vertical="center"/>
    </xf>
    <xf applyAlignment="true" applyBorder="true" applyFont="true" applyNumberFormat="true" borderId="1" fillId="0" fontId="7" numFmtId="1002" quotePrefix="false">
      <alignment vertical="center"/>
    </xf>
    <xf applyAlignment="true" applyBorder="true" applyFill="true" applyFont="true" applyNumberFormat="true" borderId="1" fillId="2" fontId="8" numFmtId="1001" quotePrefix="false">
      <alignment vertical="center"/>
    </xf>
    <xf applyAlignment="true" applyBorder="true" applyFill="true" applyFont="true" applyNumberFormat="true" borderId="1" fillId="5" fontId="2" numFmtId="1000" quotePrefix="false">
      <alignment vertical="center"/>
    </xf>
    <xf applyAlignment="true" applyFont="true" applyNumberFormat="true" borderId="0" fillId="0" fontId="9" numFmtId="1000" quotePrefix="false">
      <alignment horizontal="center" vertical="center"/>
    </xf>
    <xf applyAlignment="true" applyFont="true" applyNumberFormat="true" borderId="0" fillId="0" fontId="2" numFmtId="1003" quotePrefix="false">
      <alignment vertical="center"/>
    </xf>
    <xf applyAlignment="true" applyFont="true" applyNumberFormat="true" borderId="0" fillId="0" fontId="10" numFmtId="1000" quotePrefix="false">
      <alignment horizontal="center" vertical="center"/>
    </xf>
    <xf applyAlignment="true" applyFont="true" applyNumberFormat="true" borderId="0" fillId="0" fontId="10" numFmtId="1001" quotePrefix="false">
      <alignment horizontal="center" vertical="center"/>
    </xf>
    <xf applyAlignment="true" applyFont="true" applyNumberFormat="true" borderId="0" fillId="0" fontId="2" numFmtId="1000" quotePrefix="false">
      <alignment horizontal="left" vertical="center"/>
    </xf>
    <xf applyAlignment="true" applyFont="true" applyNumberFormat="true" borderId="0" fillId="0" fontId="2" numFmtId="1004" quotePrefix="false">
      <alignment horizontal="center" vertical="center"/>
    </xf>
    <xf applyAlignment="true" applyFont="true" applyNumberFormat="true" borderId="0" fillId="0" fontId="2" numFmtId="1005" quotePrefix="false">
      <alignment horizontal="right" vertical="center"/>
    </xf>
    <xf applyAlignment="true" applyFont="true" applyNumberFormat="true" borderId="0" fillId="0" fontId="2" numFmtId="1004" quotePrefix="false">
      <alignment horizontal="right" vertical="center"/>
    </xf>
    <xf applyAlignment="true" applyFont="true" applyNumberFormat="true" borderId="0" fillId="0" fontId="2" numFmtId="1001" quotePrefix="false">
      <alignment horizontal="right" vertical="center"/>
    </xf>
    <xf applyAlignment="true" applyFont="true" applyNumberFormat="true" borderId="0" fillId="0" fontId="2" numFmtId="1001" quotePrefix="false">
      <alignment horizontal="left" vertical="center"/>
    </xf>
    <xf applyAlignment="true" applyFont="true" applyNumberFormat="true" borderId="0" fillId="0" fontId="4" numFmtId="1000" quotePrefix="false">
      <alignment horizontal="center" vertical="center"/>
    </xf>
    <xf applyAlignment="true" applyBorder="true" applyFont="true" applyNumberFormat="true" borderId="2" fillId="0" fontId="4" numFmtId="1000" quotePrefix="false">
      <alignment horizontal="center" vertical="center"/>
    </xf>
    <xf applyAlignment="true" applyBorder="true" applyFont="true" applyNumberFormat="true" borderId="2" fillId="0" fontId="4" numFmtId="1000" quotePrefix="false">
      <alignment horizontal="center" vertical="center" wrapText="true"/>
    </xf>
    <xf applyAlignment="true" applyBorder="true" applyFont="true" applyNumberFormat="true" borderId="3" fillId="0" fontId="4" numFmtId="1000" quotePrefix="false">
      <alignment horizontal="center" vertical="center" wrapText="true"/>
    </xf>
    <xf applyAlignment="true" applyBorder="true" applyFont="true" applyNumberFormat="true" borderId="4" fillId="0" fontId="4" numFmtId="1000" quotePrefix="false">
      <alignment horizontal="center" vertical="center" wrapText="true"/>
    </xf>
    <xf applyAlignment="true" applyBorder="true" applyFont="true" applyNumberFormat="true" borderId="2" fillId="0" fontId="4" numFmtId="1004" quotePrefix="false">
      <alignment horizontal="center" vertical="center" wrapText="true"/>
    </xf>
    <xf applyAlignment="true" applyBorder="true" applyFont="true" applyNumberFormat="true" borderId="3" fillId="0" fontId="4" numFmtId="1005" quotePrefix="false">
      <alignment horizontal="center" vertical="center" wrapText="true"/>
    </xf>
    <xf applyAlignment="true" applyBorder="true" applyFont="true" applyNumberFormat="true" borderId="4" fillId="0" fontId="4" numFmtId="1005" quotePrefix="false">
      <alignment horizontal="center" vertical="center" wrapText="true"/>
    </xf>
    <xf applyAlignment="true" applyBorder="true" applyFont="true" applyNumberFormat="true" borderId="3" fillId="0" fontId="4" numFmtId="1004" quotePrefix="false">
      <alignment horizontal="center" vertical="center" wrapText="true"/>
    </xf>
    <xf applyAlignment="true" applyBorder="true" applyFont="true" applyNumberFormat="true" borderId="3" fillId="0" fontId="4" numFmtId="1001" quotePrefix="false">
      <alignment horizontal="center" vertical="center" wrapText="true"/>
    </xf>
    <xf applyAlignment="true" applyBorder="true" applyFont="true" applyNumberFormat="true" borderId="5" fillId="0" fontId="4" numFmtId="1001" quotePrefix="false">
      <alignment horizontal="center" vertical="center" wrapText="true"/>
    </xf>
    <xf applyAlignment="true" applyBorder="true" applyFont="true" applyNumberFormat="true" borderId="4" fillId="0" fontId="4" numFmtId="1001" quotePrefix="false">
      <alignment horizontal="center" vertical="center" wrapText="true"/>
    </xf>
    <xf applyAlignment="true" applyFont="true" applyNumberFormat="true" borderId="0" fillId="0" fontId="4" numFmtId="1003" quotePrefix="false">
      <alignment horizontal="center" vertical="center"/>
    </xf>
    <xf applyAlignment="true" applyFont="true" applyNumberFormat="true" borderId="0" fillId="0" fontId="4" numFmtId="1001" quotePrefix="false">
      <alignment horizontal="center" vertical="center"/>
    </xf>
    <xf applyAlignment="true" applyBorder="true" applyFill="true" applyFont="true" applyNumberFormat="true" borderId="3" fillId="2" fontId="4" numFmtId="1001" quotePrefix="false">
      <alignment horizontal="center" vertical="center" wrapText="true"/>
    </xf>
    <xf applyAlignment="true" applyBorder="true" applyFont="true" applyNumberFormat="true" borderId="3" fillId="0" fontId="4" numFmtId="1000" quotePrefix="false">
      <alignment horizontal="center" vertical="center"/>
    </xf>
    <xf applyAlignment="true" applyBorder="true" applyFill="true" applyFont="true" applyNumberFormat="true" borderId="3" fillId="3" fontId="4" numFmtId="1001" quotePrefix="false">
      <alignment horizontal="center" vertical="center" wrapText="true"/>
    </xf>
    <xf applyAlignment="true" applyBorder="true" applyFont="true" applyNumberFormat="true" borderId="6" fillId="0" fontId="4" numFmtId="1001" quotePrefix="false">
      <alignment vertical="center" wrapText="true"/>
    </xf>
    <xf applyAlignment="true" applyBorder="true" applyFont="true" applyNumberFormat="true" borderId="7" fillId="0" fontId="4" numFmtId="1001" quotePrefix="false">
      <alignment vertical="center" wrapText="true"/>
    </xf>
    <xf applyAlignment="true" applyBorder="true" applyFont="true" applyNumberFormat="true" borderId="8" fillId="0" fontId="4" numFmtId="1001" quotePrefix="false">
      <alignment vertical="center" wrapText="true"/>
    </xf>
    <xf applyAlignment="true" applyBorder="true" applyFont="true" applyNumberFormat="true" borderId="9" fillId="0" fontId="4" numFmtId="1000" quotePrefix="false">
      <alignment horizontal="center" vertical="center"/>
    </xf>
    <xf applyAlignment="true" applyBorder="true" applyFont="true" applyNumberFormat="true" borderId="9" fillId="0" fontId="4" numFmtId="1000" quotePrefix="false">
      <alignment horizontal="center" vertical="center" wrapText="true"/>
    </xf>
    <xf applyAlignment="true" applyBorder="true" applyFont="true" applyNumberFormat="true" borderId="9" fillId="0" fontId="4" numFmtId="1004" quotePrefix="false">
      <alignment horizontal="center" vertical="center" wrapText="true"/>
    </xf>
    <xf applyAlignment="true" applyBorder="true" applyFont="true" applyNumberFormat="true" borderId="9" fillId="0" fontId="4" numFmtId="1005" quotePrefix="false">
      <alignment horizontal="center" vertical="center" wrapText="true"/>
    </xf>
    <xf applyAlignment="true" applyBorder="true" applyFont="true" applyNumberFormat="true" borderId="10" fillId="0" fontId="4" numFmtId="1001" quotePrefix="false">
      <alignment horizontal="center" vertical="center" wrapText="true"/>
    </xf>
    <xf applyAlignment="true" applyBorder="true" applyFont="true" applyNumberFormat="true" borderId="11" fillId="0" fontId="4" numFmtId="1001" quotePrefix="false">
      <alignment horizontal="center" vertical="center" wrapText="true"/>
    </xf>
    <xf applyAlignment="true" applyBorder="true" applyFont="true" applyNumberFormat="true" borderId="12" fillId="0" fontId="4" numFmtId="1001" quotePrefix="false">
      <alignment horizontal="center" vertical="center" wrapText="true"/>
    </xf>
    <xf applyAlignment="true" applyBorder="true" applyFont="true" applyNumberFormat="true" borderId="9" fillId="0" fontId="4" numFmtId="1001" quotePrefix="false">
      <alignment horizontal="center" vertical="center" wrapText="true"/>
    </xf>
    <xf applyAlignment="true" applyBorder="true" applyFill="true" applyFont="true" applyNumberFormat="true" borderId="9" fillId="2" fontId="4" numFmtId="1001" quotePrefix="false">
      <alignment horizontal="center" vertical="center" wrapText="true"/>
    </xf>
    <xf applyAlignment="true" applyBorder="true" applyFill="true" applyFont="true" applyNumberFormat="true" borderId="3" fillId="2" fontId="4" numFmtId="1001" quotePrefix="false">
      <alignment horizontal="center" vertical="center"/>
    </xf>
    <xf applyAlignment="true" applyBorder="true" applyFill="true" applyFont="true" applyNumberFormat="true" borderId="5" fillId="2" fontId="4" numFmtId="1001" quotePrefix="false">
      <alignment horizontal="center" vertical="center"/>
    </xf>
    <xf applyAlignment="true" applyBorder="true" applyFill="true" applyFont="true" applyNumberFormat="true" borderId="4" fillId="2" fontId="4" numFmtId="1001" quotePrefix="false">
      <alignment horizontal="center" vertical="center"/>
    </xf>
    <xf applyAlignment="true" applyBorder="true" applyFill="true" applyFont="true" applyNumberFormat="true" borderId="9" fillId="3" fontId="4" numFmtId="1001" quotePrefix="false">
      <alignment horizontal="center" vertical="center" wrapText="true"/>
    </xf>
    <xf applyAlignment="true" applyBorder="true" applyFont="true" applyNumberFormat="true" borderId="3" fillId="0" fontId="4" numFmtId="1001" quotePrefix="false">
      <alignment horizontal="center" vertical="center"/>
    </xf>
    <xf applyAlignment="true" applyBorder="true" applyFont="true" applyNumberFormat="true" borderId="5" fillId="0" fontId="4" numFmtId="1001" quotePrefix="false">
      <alignment horizontal="center" vertical="center"/>
    </xf>
    <xf applyAlignment="true" applyBorder="true" applyFont="true" applyNumberFormat="true" borderId="4" fillId="0" fontId="4" numFmtId="1001" quotePrefix="false">
      <alignment horizontal="center" vertical="center"/>
    </xf>
    <xf applyAlignment="true" applyBorder="true" applyFont="true" applyNumberFormat="true" borderId="13" fillId="0" fontId="4" numFmtId="1005" quotePrefix="false">
      <alignment horizontal="center" vertical="center" wrapText="true"/>
    </xf>
    <xf applyAlignment="true" applyBorder="true" applyFont="true" applyNumberFormat="true" borderId="13" fillId="0" fontId="4" numFmtId="1004" quotePrefix="false">
      <alignment horizontal="center" vertical="center" wrapText="true"/>
    </xf>
    <xf applyAlignment="true" applyBorder="true" applyFont="true" applyNumberFormat="true" borderId="13" fillId="0" fontId="4" numFmtId="1001" quotePrefix="false">
      <alignment horizontal="center" vertical="center" wrapText="true"/>
    </xf>
    <xf applyAlignment="true" applyBorder="true" applyFill="true" applyFont="true" applyNumberFormat="true" borderId="13" fillId="2" fontId="4" numFmtId="1001" quotePrefix="false">
      <alignment horizontal="center" vertical="center" wrapText="true"/>
    </xf>
    <xf applyAlignment="true" applyBorder="true" applyFill="true" applyFont="true" applyNumberFormat="true" borderId="13" fillId="3" fontId="4" numFmtId="1001" quotePrefix="false">
      <alignment horizontal="center" vertical="center" wrapText="true"/>
    </xf>
    <xf applyAlignment="true" applyBorder="true" applyFont="true" applyNumberFormat="true" borderId="14" fillId="0" fontId="4" numFmtId="1000" quotePrefix="false">
      <alignment horizontal="center" vertical="center"/>
    </xf>
    <xf applyAlignment="true" applyBorder="true" applyFont="true" applyNumberFormat="true" borderId="14" fillId="0" fontId="4" numFmtId="1000" quotePrefix="false">
      <alignment horizontal="center" vertical="center" wrapText="true"/>
    </xf>
    <xf applyAlignment="true" applyBorder="true" applyFont="true" applyNumberFormat="true" borderId="14" fillId="0" fontId="4" numFmtId="1004" quotePrefix="false">
      <alignment horizontal="center" vertical="center" wrapText="true"/>
    </xf>
    <xf applyAlignment="true" applyBorder="true" applyFont="true" applyNumberFormat="true" borderId="2" fillId="0" fontId="4" numFmtId="1005" quotePrefix="false">
      <alignment horizontal="center" vertical="center" wrapText="true"/>
    </xf>
    <xf applyAlignment="true" applyBorder="true" applyFont="true" applyNumberFormat="true" borderId="2" fillId="0" fontId="4" numFmtId="1001" quotePrefix="false">
      <alignment horizontal="center" vertical="center" wrapText="true"/>
    </xf>
    <xf applyAlignment="true" applyBorder="true" applyFont="true" applyNumberFormat="true" borderId="13" fillId="0" fontId="4" numFmtId="1000" quotePrefix="false">
      <alignment horizontal="center" vertical="center"/>
    </xf>
    <xf applyAlignment="true" applyBorder="true" applyFont="true" applyNumberFormat="true" borderId="13" fillId="0" fontId="4" numFmtId="1000" quotePrefix="false">
      <alignment horizontal="center" vertical="center" wrapText="true"/>
    </xf>
    <xf applyAlignment="true" applyFill="true" applyFont="true" applyNumberFormat="true" borderId="0" fillId="6" fontId="4" numFmtId="1000" quotePrefix="false">
      <alignment horizontal="center" vertical="center"/>
    </xf>
    <xf applyAlignment="true" applyBorder="true" applyFill="true" applyFont="true" applyNumberFormat="true" borderId="15" fillId="6" fontId="4" numFmtId="1000" quotePrefix="false">
      <alignment horizontal="center" vertical="center"/>
    </xf>
    <xf applyAlignment="true" applyBorder="true" applyFill="true" applyFont="true" applyNumberFormat="true" borderId="16" fillId="6" fontId="4" numFmtId="1000" quotePrefix="false">
      <alignment horizontal="center" vertical="center"/>
    </xf>
    <xf applyAlignment="true" applyBorder="true" applyFill="true" applyFont="true" applyNumberFormat="true" borderId="16" fillId="6" fontId="4" numFmtId="1000" quotePrefix="false">
      <alignment horizontal="center" vertical="center" wrapText="true"/>
    </xf>
    <xf applyAlignment="true" applyFill="true" applyFont="true" applyNumberFormat="true" borderId="0" fillId="6" fontId="4" numFmtId="1000" quotePrefix="false">
      <alignment horizontal="center" vertical="center" wrapText="true"/>
    </xf>
    <xf applyAlignment="true" applyBorder="true" applyFill="true" applyFont="true" applyNumberFormat="true" borderId="17" fillId="6" fontId="4" numFmtId="1000" quotePrefix="false">
      <alignment horizontal="center" vertical="center" wrapText="true"/>
    </xf>
    <xf applyAlignment="true" applyBorder="true" applyFill="true" applyFont="true" applyNumberFormat="true" borderId="18" fillId="6" fontId="4" numFmtId="1000" quotePrefix="false">
      <alignment horizontal="center" vertical="center" wrapText="true"/>
    </xf>
    <xf applyAlignment="true" applyBorder="true" applyFill="true" applyFont="true" applyNumberFormat="true" borderId="18" fillId="6" fontId="4" numFmtId="1004" quotePrefix="false">
      <alignment horizontal="center" vertical="center" wrapText="true"/>
    </xf>
    <xf applyAlignment="true" applyBorder="true" applyFill="true" applyFont="true" applyNumberFormat="true" borderId="16" fillId="6" fontId="4" numFmtId="1005" quotePrefix="false">
      <alignment horizontal="center" vertical="center" wrapText="true"/>
    </xf>
    <xf applyAlignment="true" applyBorder="true" applyFill="true" applyFont="true" applyNumberFormat="true" borderId="1" fillId="6" fontId="4" numFmtId="1005" quotePrefix="false">
      <alignment horizontal="center" vertical="center" wrapText="true"/>
    </xf>
    <xf applyAlignment="true" applyBorder="true" applyFill="true" applyFont="true" applyNumberFormat="true" borderId="1" fillId="6" fontId="4" numFmtId="1004" quotePrefix="false">
      <alignment horizontal="center" vertical="center" wrapText="true"/>
    </xf>
    <xf applyAlignment="true" applyBorder="true" applyFill="true" applyFont="true" applyNumberFormat="true" borderId="1" fillId="6" fontId="4" numFmtId="1001" quotePrefix="false">
      <alignment horizontal="center" vertical="center" wrapText="true"/>
    </xf>
    <xf applyAlignment="true" applyFill="true" applyFont="true" applyNumberFormat="true" borderId="0" fillId="6" fontId="4" numFmtId="1001" quotePrefix="false">
      <alignment horizontal="center" vertical="center" wrapText="true"/>
    </xf>
    <xf applyAlignment="true" applyFill="true" applyFont="true" applyNumberFormat="true" borderId="0" fillId="6" fontId="4" numFmtId="1001" quotePrefix="false">
      <alignment horizontal="center" vertical="center"/>
    </xf>
    <xf applyAlignment="true" applyBorder="true" applyFill="true" applyFont="true" applyNumberFormat="true" borderId="16" fillId="6" fontId="4" numFmtId="1001" quotePrefix="false">
      <alignment horizontal="center" vertical="center" wrapText="true"/>
    </xf>
    <xf applyAlignment="true" applyBorder="true" applyFill="true" applyFont="true" applyNumberFormat="true" borderId="16" fillId="2" fontId="4" numFmtId="1001" quotePrefix="false">
      <alignment horizontal="center" vertical="center" wrapText="true"/>
    </xf>
    <xf applyAlignment="true" applyBorder="true" applyFill="true" applyFont="true" applyNumberFormat="true" borderId="16" fillId="3" fontId="4" numFmtId="1001" quotePrefix="false">
      <alignment horizontal="center" vertical="center" wrapText="true"/>
    </xf>
    <xf applyAlignment="true" applyFill="true" applyFont="true" applyNumberFormat="true" borderId="0" fillId="6" fontId="2" numFmtId="1000" quotePrefix="false">
      <alignment horizontal="center" vertical="center" wrapText="true"/>
    </xf>
    <xf applyAlignment="true" applyBorder="true" applyFill="true" applyFont="true" applyNumberFormat="true" borderId="19" fillId="6" fontId="4" numFmtId="1000" quotePrefix="false">
      <alignment horizontal="center" vertical="center" wrapText="true"/>
    </xf>
    <xf applyAlignment="true" applyBorder="true" applyFill="true" applyFont="true" applyNumberFormat="true" borderId="1" fillId="6" fontId="4" numFmtId="1000" quotePrefix="false">
      <alignment horizontal="center" vertical="center" wrapText="true"/>
    </xf>
    <xf applyAlignment="true" applyBorder="true" applyFill="true" applyFont="true" applyNumberFormat="true" borderId="1" fillId="6" fontId="4" numFmtId="1001" quotePrefix="false">
      <alignment vertical="center" wrapText="true"/>
    </xf>
    <xf applyAlignment="true" applyFill="true" applyFont="true" applyNumberFormat="true" borderId="0" fillId="6" fontId="2" numFmtId="1006" quotePrefix="false">
      <alignment horizontal="center" vertical="center" wrapText="true"/>
    </xf>
    <xf applyAlignment="true" applyFill="true" applyFont="true" applyNumberFormat="true" borderId="0" fillId="6" fontId="2" numFmtId="1001" quotePrefix="false">
      <alignment horizontal="center" vertical="center" wrapText="true"/>
    </xf>
    <xf applyAlignment="true" applyBorder="true" applyFill="true" applyFont="true" applyNumberFormat="true" borderId="1" fillId="2" fontId="4" numFmtId="1001" quotePrefix="false">
      <alignment vertical="center" wrapText="true"/>
    </xf>
    <xf applyAlignment="true" applyFont="true" applyNumberFormat="true" borderId="0" fillId="0" fontId="2" numFmtId="1000" quotePrefix="false">
      <alignment horizontal="center" vertical="center" wrapText="true"/>
    </xf>
    <xf applyAlignment="true" applyBorder="true" applyFill="true" applyFont="true" applyNumberFormat="true" borderId="1" fillId="3" fontId="4" numFmtId="1001" quotePrefix="false">
      <alignment vertical="center" wrapText="true"/>
    </xf>
    <xf applyAlignment="true" applyBorder="true" applyFill="true" applyFont="true" applyNumberFormat="true" borderId="20" fillId="6" fontId="4" numFmtId="1001" quotePrefix="false">
      <alignment vertical="center" wrapText="true"/>
    </xf>
    <xf applyAlignment="true" applyFill="true" applyFont="true" applyNumberFormat="true" borderId="0" fillId="6" fontId="4" numFmtId="1001" quotePrefix="false">
      <alignment vertical="center" wrapText="true"/>
    </xf>
    <xf applyAlignment="true" applyBorder="true" applyFill="true" applyFont="true" applyNumberFormat="true" borderId="21" fillId="6" fontId="4" numFmtId="1000" quotePrefix="false">
      <alignment horizontal="center" vertical="center" wrapText="true"/>
    </xf>
    <xf applyAlignment="true" applyBorder="true" applyFont="true" applyNumberFormat="true" borderId="19" fillId="0" fontId="2" numFmtId="1000" quotePrefix="false">
      <alignment vertical="center"/>
    </xf>
    <xf applyAlignment="true" applyBorder="true" applyFont="true" applyNumberFormat="true" borderId="1" fillId="0" fontId="2" numFmtId="1000" quotePrefix="false">
      <alignment vertical="center"/>
    </xf>
    <xf applyAlignment="true" applyBorder="true" applyFont="true" applyNumberFormat="true" borderId="1" fillId="0" fontId="2" numFmtId="1000" quotePrefix="false">
      <alignment horizontal="center" vertical="center"/>
    </xf>
    <xf applyAlignment="true" applyBorder="true" applyFont="true" applyNumberFormat="true" borderId="1" fillId="0" fontId="2" numFmtId="1002" quotePrefix="false">
      <alignment vertical="center"/>
    </xf>
    <xf applyAlignment="true" applyBorder="true" applyFont="true" applyNumberFormat="true" borderId="1" fillId="0" fontId="2" numFmtId="1007" quotePrefix="false">
      <alignment vertical="center"/>
    </xf>
    <xf applyAlignment="true" applyBorder="true" applyFont="true" applyNumberFormat="true" borderId="1" fillId="0" fontId="2" numFmtId="1001" quotePrefix="false">
      <alignment vertical="center"/>
    </xf>
    <xf applyAlignment="true" applyBorder="true" applyFont="true" applyNumberFormat="true" borderId="1" fillId="0" fontId="2" numFmtId="1008" quotePrefix="false">
      <alignment vertical="center"/>
    </xf>
    <xf applyAlignment="true" applyBorder="true" applyFont="true" applyNumberFormat="true" borderId="22" fillId="0" fontId="2" numFmtId="1000" quotePrefix="false">
      <alignment horizontal="center" vertical="center"/>
    </xf>
    <xf applyAlignment="true" applyBorder="true" applyFont="true" applyNumberFormat="true" borderId="22" fillId="0" fontId="2" numFmtId="1002" quotePrefix="false">
      <alignment vertical="center"/>
    </xf>
    <xf applyAlignment="true" applyFont="true" applyNumberFormat="true" borderId="0" fillId="0" fontId="2" numFmtId="1006" quotePrefix="false">
      <alignment horizontal="center" vertical="center" wrapText="true"/>
    </xf>
    <xf applyAlignment="true" applyBorder="true" applyFont="true" applyNumberFormat="true" borderId="1" fillId="0" fontId="8" numFmtId="1001" quotePrefix="false">
      <alignment vertical="center"/>
    </xf>
    <xf applyAlignment="true" applyBorder="true" applyFont="true" applyNumberFormat="true" borderId="1" fillId="0" fontId="8" numFmtId="1002" quotePrefix="false">
      <alignment vertical="center"/>
    </xf>
    <xf applyAlignment="true" applyBorder="true" applyFont="true" applyNumberFormat="true" borderId="22" fillId="0" fontId="8" numFmtId="1002" quotePrefix="false">
      <alignment vertical="center"/>
    </xf>
    <xf applyAlignment="true" applyBorder="true" applyFont="true" applyNumberFormat="true" borderId="19" fillId="0" fontId="8" numFmtId="1000" quotePrefix="false">
      <alignment vertical="center"/>
    </xf>
    <xf applyAlignment="true" applyBorder="true" applyFont="true" applyNumberFormat="true" borderId="1" fillId="0" fontId="8" numFmtId="1000" quotePrefix="false">
      <alignment vertical="center"/>
    </xf>
    <xf applyAlignment="true" applyBorder="true" applyFill="true" applyFont="true" applyNumberFormat="true" borderId="1" fillId="3" fontId="2" numFmtId="1001" quotePrefix="false">
      <alignment vertical="center"/>
    </xf>
    <xf applyAlignment="true" applyBorder="true" applyFill="true" applyFont="true" applyNumberFormat="true" borderId="1" fillId="3" fontId="8" numFmtId="1001" quotePrefix="false">
      <alignment vertical="center"/>
    </xf>
    <xf applyAlignment="true" applyBorder="true" applyFill="true" applyFont="true" applyNumberFormat="true" borderId="22" fillId="7" fontId="8" numFmtId="1002" quotePrefix="false">
      <alignment vertical="center"/>
    </xf>
    <xf applyAlignment="true" applyBorder="true" applyFont="true" applyNumberFormat="true" borderId="3" fillId="0" fontId="11" numFmtId="1001" quotePrefix="false">
      <alignment horizontal="right" vertical="center" wrapText="true"/>
    </xf>
    <xf applyAlignment="true" applyBorder="true" applyFill="true" applyFont="true" applyNumberFormat="true" borderId="22" fillId="8" fontId="8" numFmtId="1002" quotePrefix="false">
      <alignment vertical="center"/>
    </xf>
    <xf applyAlignment="true" applyBorder="true" applyFont="true" applyNumberFormat="true" borderId="1" fillId="0" fontId="8" numFmtId="1009" quotePrefix="false">
      <alignment vertical="center"/>
    </xf>
    <xf applyAlignment="true" applyBorder="true" applyFont="true" applyNumberFormat="true" borderId="1" fillId="0" fontId="8" numFmtId="1010" quotePrefix="false">
      <alignment vertical="center"/>
    </xf>
    <xf applyAlignment="true" applyBorder="true" applyFont="true" applyNumberFormat="true" borderId="1" fillId="0" fontId="2" numFmtId="1010" quotePrefix="false">
      <alignment vertical="center"/>
    </xf>
    <xf applyAlignment="true" applyBorder="true" applyFont="true" applyNumberFormat="true" borderId="22" fillId="0" fontId="8" numFmtId="1010" quotePrefix="false">
      <alignment vertical="center"/>
    </xf>
    <xf applyAlignment="true" applyBorder="true" applyFill="true" applyFont="true" applyNumberFormat="true" borderId="22" fillId="8" fontId="8" numFmtId="1010" quotePrefix="false">
      <alignment vertical="center"/>
    </xf>
    <xf applyAlignment="true" applyBorder="true" applyFill="true" applyFont="true" applyNumberFormat="true" borderId="22" fillId="9" fontId="8" numFmtId="1002" quotePrefix="false">
      <alignment vertical="center"/>
    </xf>
    <xf applyAlignment="true" applyFont="true" applyNumberFormat="true" borderId="0" fillId="0" fontId="12" numFmtId="1000" quotePrefix="false">
      <alignment vertical="center"/>
    </xf>
    <xf applyAlignment="true" applyFont="true" applyNumberFormat="true" borderId="0" fillId="0" fontId="12" numFmtId="1001" quotePrefix="false">
      <alignment vertical="center"/>
    </xf>
    <xf applyAlignment="true" applyBorder="true" applyFill="true" applyFont="true" applyNumberFormat="true" borderId="1" fillId="8" fontId="8" numFmtId="1001" quotePrefix="false">
      <alignment vertical="center"/>
    </xf>
    <xf applyAlignment="true" applyFont="true" applyNumberFormat="true" borderId="0" fillId="0" fontId="12" numFmtId="1002" quotePrefix="false">
      <alignment vertical="center"/>
    </xf>
    <xf applyAlignment="true" applyBorder="true" applyFill="true" applyFont="true" applyNumberFormat="true" borderId="1" fillId="10" fontId="2" numFmtId="1002" quotePrefix="false">
      <alignment vertical="center"/>
    </xf>
    <xf applyAlignment="true" applyFill="true" applyFont="true" applyNumberFormat="true" borderId="0" fillId="10" fontId="2" numFmtId="1000" quotePrefix="false">
      <alignment vertical="center"/>
    </xf>
    <xf applyAlignment="true" applyFont="true" applyNumberFormat="true" borderId="0" fillId="0" fontId="2" numFmtId="1001" quotePrefix="false">
      <alignment horizontal="center" vertical="center" wrapText="true"/>
    </xf>
    <xf applyAlignment="true" applyFont="true" applyNumberFormat="true" borderId="0" fillId="0" fontId="8" numFmtId="1001" quotePrefix="false">
      <alignment vertical="center"/>
    </xf>
    <xf applyAlignment="true" applyFont="true" applyNumberFormat="true" borderId="0" fillId="0" fontId="8" numFmtId="1002" quotePrefix="false">
      <alignment vertical="center"/>
    </xf>
    <xf applyAlignment="true" applyBorder="true" applyFont="true" applyNumberFormat="true" borderId="20" fillId="0" fontId="2" numFmtId="1002" quotePrefix="false">
      <alignment vertical="center"/>
    </xf>
    <xf applyAlignment="true" applyBorder="true" applyFont="true" applyNumberFormat="true" borderId="23" fillId="0" fontId="8" numFmtId="1001" quotePrefix="false">
      <alignment vertical="center"/>
    </xf>
    <xf applyAlignment="true" applyBorder="true" applyFont="true" applyNumberFormat="true" borderId="23" fillId="0" fontId="2" numFmtId="1002" quotePrefix="false">
      <alignment vertical="center"/>
    </xf>
    <xf applyAlignment="true" applyBorder="true" applyFont="true" applyNumberFormat="true" borderId="24" fillId="0" fontId="2" numFmtId="1002" quotePrefix="false">
      <alignment vertical="center"/>
    </xf>
    <xf applyAlignment="true" applyBorder="true" applyFill="true" applyFont="true" applyNumberFormat="true" borderId="23" fillId="2" fontId="8" numFmtId="1001" quotePrefix="false">
      <alignment vertical="center"/>
    </xf>
    <xf applyAlignment="true" applyBorder="true" applyFill="true" applyFont="true" applyNumberFormat="true" borderId="23" fillId="10" fontId="2" numFmtId="1002" quotePrefix="false">
      <alignment vertical="center"/>
    </xf>
    <xf applyAlignment="true" applyBorder="true" applyFont="true" applyNumberFormat="true" borderId="25" fillId="0" fontId="8" numFmtId="1000" quotePrefix="false">
      <alignment vertical="center"/>
    </xf>
    <xf applyAlignment="true" applyBorder="true" applyFont="true" applyNumberFormat="true" borderId="23" fillId="0" fontId="8" numFmtId="1000" quotePrefix="false">
      <alignment vertical="center"/>
    </xf>
    <xf applyAlignment="true" applyBorder="true" applyFont="true" applyNumberFormat="true" borderId="23" fillId="0" fontId="2" numFmtId="1000" quotePrefix="false">
      <alignment vertical="center"/>
    </xf>
    <xf applyAlignment="true" applyBorder="true" applyFill="true" applyFont="true" applyNumberFormat="true" borderId="23" fillId="3" fontId="2" numFmtId="1001" quotePrefix="false">
      <alignment vertical="center"/>
    </xf>
    <xf applyAlignment="true" applyBorder="true" applyFill="true" applyFont="true" applyNumberFormat="true" borderId="23" fillId="3" fontId="8" numFmtId="1001" quotePrefix="false">
      <alignment vertical="center"/>
    </xf>
    <xf applyAlignment="true" applyFill="true" applyFont="true" applyNumberFormat="true" borderId="0" fillId="6" fontId="2" numFmtId="1000" quotePrefix="false">
      <alignment vertical="center"/>
    </xf>
    <xf applyAlignment="true" applyBorder="true" applyFill="true" applyFont="true" applyNumberFormat="true" borderId="1" fillId="6" fontId="2" numFmtId="1000" quotePrefix="false">
      <alignment horizontal="center" vertical="center"/>
    </xf>
    <xf applyAlignment="true" applyBorder="true" applyFill="true" applyFont="true" applyNumberFormat="true" borderId="1" fillId="6" fontId="4" numFmtId="1001" quotePrefix="false">
      <alignment vertical="center"/>
    </xf>
    <xf applyAlignment="true" applyBorder="true" applyFill="true" applyFont="true" applyNumberFormat="true" borderId="1" fillId="6" fontId="4" numFmtId="1002" quotePrefix="false">
      <alignment vertical="center"/>
    </xf>
    <xf applyAlignment="true" applyBorder="true" applyFill="true" applyFont="true" applyNumberFormat="true" borderId="1" fillId="6" fontId="8" numFmtId="1002" quotePrefix="false">
      <alignment vertical="center"/>
    </xf>
    <xf applyAlignment="true" applyBorder="true" applyFill="true" applyFont="true" applyNumberFormat="true" borderId="22" fillId="6" fontId="2" numFmtId="1000" quotePrefix="false">
      <alignment horizontal="center" vertical="center"/>
    </xf>
    <xf applyAlignment="true" applyBorder="true" applyFill="true" applyFont="true" applyNumberFormat="true" borderId="26" fillId="6" fontId="8" numFmtId="1000" quotePrefix="false">
      <alignment vertical="center"/>
    </xf>
    <xf applyAlignment="true" applyBorder="true" applyFill="true" applyFont="true" applyNumberFormat="true" borderId="23" fillId="6" fontId="8" numFmtId="1000" quotePrefix="false">
      <alignment vertical="center"/>
    </xf>
    <xf applyAlignment="true" applyBorder="true" applyFill="true" applyFont="true" applyNumberFormat="true" borderId="23" fillId="6" fontId="4" numFmtId="1000" quotePrefix="false">
      <alignment horizontal="center" vertical="center"/>
    </xf>
    <xf applyAlignment="true" applyBorder="true" applyFill="true" applyFont="true" applyNumberFormat="true" borderId="23" fillId="3" fontId="4" numFmtId="1001" quotePrefix="false">
      <alignment vertical="center"/>
    </xf>
    <xf applyAlignment="true" applyBorder="true" applyFill="true" applyFont="true" applyNumberFormat="true" borderId="23" fillId="6" fontId="13" numFmtId="1001" quotePrefix="false">
      <alignment vertical="center"/>
    </xf>
    <xf applyAlignment="true" applyBorder="true" applyFill="true" applyFont="true" applyNumberFormat="true" borderId="23" fillId="3" fontId="13" numFmtId="1001" quotePrefix="false">
      <alignment vertical="center"/>
    </xf>
    <xf applyAlignment="true" applyFill="true" applyFont="true" applyNumberFormat="true" borderId="0" fillId="11" fontId="8" numFmtId="1000" quotePrefix="false">
      <alignment vertical="center"/>
    </xf>
    <xf applyAlignment="true" applyFill="true" applyFont="true" applyNumberFormat="true" borderId="0" fillId="11" fontId="2" numFmtId="1000" quotePrefix="false">
      <alignment vertical="center"/>
    </xf>
    <xf applyAlignment="true" applyFill="true" applyFont="true" applyNumberFormat="true" borderId="0" fillId="11" fontId="4" numFmtId="1000" quotePrefix="false">
      <alignment horizontal="center" vertical="center"/>
    </xf>
    <xf applyAlignment="true" applyBorder="true" applyFill="true" applyFont="true" applyNumberFormat="true" borderId="1" fillId="11" fontId="2" numFmtId="1000" quotePrefix="false">
      <alignment horizontal="center" vertical="center"/>
    </xf>
    <xf applyAlignment="true" applyBorder="true" applyFill="true" applyFont="true" applyNumberFormat="true" borderId="1" fillId="11" fontId="4" numFmtId="1002" quotePrefix="false">
      <alignment vertical="center"/>
    </xf>
    <xf applyAlignment="true" applyFill="true" applyFont="true" applyNumberFormat="true" borderId="0" fillId="12" fontId="4" numFmtId="1009" quotePrefix="false">
      <alignment horizontal="right" vertical="center"/>
    </xf>
    <xf applyAlignment="true" applyBorder="true" applyFill="true" applyFont="true" applyNumberFormat="true" borderId="1" fillId="13" fontId="4" numFmtId="1001" quotePrefix="false">
      <alignment vertical="center"/>
    </xf>
    <xf applyAlignment="true" applyBorder="true" applyFill="true" applyFont="true" applyNumberFormat="true" borderId="1" fillId="13" fontId="4" numFmtId="1002" quotePrefix="false">
      <alignment vertical="center"/>
    </xf>
    <xf applyAlignment="true" applyBorder="true" applyFill="true" applyFont="true" applyNumberFormat="true" borderId="1" fillId="11" fontId="8" numFmtId="1002" quotePrefix="false">
      <alignment vertical="center"/>
    </xf>
    <xf applyAlignment="true" applyBorder="true" applyFill="true" applyFont="true" applyNumberFormat="true" borderId="22" fillId="11" fontId="2" numFmtId="1000" quotePrefix="false">
      <alignment horizontal="center" vertical="center"/>
    </xf>
    <xf applyAlignment="true" applyFill="true" applyFont="true" applyNumberFormat="true" borderId="0" fillId="6" fontId="2" numFmtId="1002" quotePrefix="false">
      <alignment vertical="center"/>
    </xf>
    <xf applyAlignment="true" applyFill="true" applyFont="true" applyNumberFormat="true" borderId="0" fillId="6" fontId="8" numFmtId="1001" quotePrefix="false">
      <alignment vertical="center"/>
    </xf>
    <xf applyAlignment="true" applyFill="true" applyFont="true" applyNumberFormat="true" borderId="0" fillId="6" fontId="8" numFmtId="1002" quotePrefix="false">
      <alignment vertical="center"/>
    </xf>
    <xf applyAlignment="true" applyFill="true" applyFont="true" applyNumberFormat="true" borderId="0" fillId="6" fontId="2" numFmtId="1004" quotePrefix="false">
      <alignment horizontal="center" vertical="center" wrapText="true"/>
    </xf>
    <xf applyAlignment="true" applyFill="true" applyFont="true" applyNumberFormat="true" borderId="0" fillId="6" fontId="2" numFmtId="1001" quotePrefix="false">
      <alignment vertical="center"/>
    </xf>
    <xf applyAlignment="true" applyBorder="true" applyFill="true" applyFont="true" applyNumberFormat="true" borderId="1" fillId="6" fontId="13" numFmtId="1001" quotePrefix="false">
      <alignment vertical="center"/>
    </xf>
    <xf applyAlignment="true" applyBorder="true" applyFill="true" applyFont="true" applyNumberFormat="true" borderId="20" fillId="6" fontId="4" numFmtId="1002" quotePrefix="false">
      <alignment vertical="center"/>
    </xf>
    <xf applyAlignment="true" applyBorder="true" applyFill="true" applyFont="true" applyNumberFormat="true" borderId="1" fillId="2" fontId="13" numFmtId="1001" quotePrefix="false">
      <alignment vertical="center"/>
    </xf>
    <xf applyAlignment="true" applyBorder="true" applyFill="true" applyFont="true" applyNumberFormat="true" borderId="1" fillId="11" fontId="8" numFmtId="1000" quotePrefix="false">
      <alignment vertical="center"/>
    </xf>
    <xf applyAlignment="true" applyBorder="true" applyFill="true" applyFont="true" applyNumberFormat="true" borderId="1" fillId="11" fontId="2" numFmtId="1000" quotePrefix="false">
      <alignment vertical="center"/>
    </xf>
    <xf applyAlignment="true" applyBorder="true" applyFill="true" applyFont="true" applyNumberFormat="true" borderId="1" fillId="3" fontId="4" numFmtId="1001" quotePrefix="false">
      <alignment vertical="center"/>
    </xf>
    <xf applyAlignment="true" applyBorder="true" applyFill="true" applyFont="true" applyNumberFormat="true" borderId="1" fillId="3" fontId="13" numFmtId="1001" quotePrefix="false">
      <alignment vertical="center"/>
    </xf>
    <xf applyAlignment="true" applyBorder="true" applyFont="true" applyNumberFormat="true" borderId="19" fillId="0" fontId="8" numFmtId="1004" quotePrefix="false">
      <alignment vertical="center"/>
    </xf>
    <xf applyAlignment="true" applyBorder="true" applyFont="true" applyNumberFormat="true" borderId="1" fillId="0" fontId="8" numFmtId="1004" quotePrefix="false">
      <alignment vertical="center"/>
    </xf>
    <xf applyAlignment="true" applyBorder="true" applyFont="true" applyNumberFormat="true" borderId="22" fillId="0" fontId="8" numFmtId="1000" quotePrefix="false">
      <alignment horizontal="center" vertical="center"/>
    </xf>
    <xf applyAlignment="true" applyBorder="true" applyFont="true" applyNumberFormat="true" borderId="16" fillId="0" fontId="8" numFmtId="1001" quotePrefix="false">
      <alignment vertical="center"/>
    </xf>
    <xf applyAlignment="true" applyBorder="true" applyFont="true" applyNumberFormat="true" borderId="20" fillId="0" fontId="8" numFmtId="1002" quotePrefix="false">
      <alignment vertical="center"/>
    </xf>
    <xf applyAlignment="true" applyBorder="true" applyFill="true" applyFont="true" applyNumberFormat="true" borderId="16" fillId="3" fontId="2" numFmtId="1001" quotePrefix="false">
      <alignment vertical="center"/>
    </xf>
    <xf applyAlignment="true" applyBorder="true" applyFill="true" applyFont="true" applyNumberFormat="true" borderId="16" fillId="3" fontId="8" numFmtId="1001" quotePrefix="false">
      <alignment vertical="center"/>
    </xf>
    <xf applyBorder="true" applyFont="true" applyNumberFormat="true" borderId="1" fillId="0" fontId="8" numFmtId="1002" quotePrefix="false"/>
    <xf applyAlignment="true" applyFont="true" applyNumberFormat="true" borderId="0" fillId="0" fontId="8" numFmtId="1000" quotePrefix="false">
      <alignment vertical="center"/>
    </xf>
    <xf applyAlignment="true" applyBorder="true" applyFont="true" applyNumberFormat="true" borderId="1" fillId="0" fontId="4" numFmtId="1002" quotePrefix="false">
      <alignment vertical="center"/>
    </xf>
    <xf applyAlignment="true" applyBorder="true" applyFont="true" applyNumberFormat="true" borderId="23" fillId="0" fontId="8" numFmtId="1002" quotePrefix="false">
      <alignment vertical="center"/>
    </xf>
    <xf applyAlignment="true" applyBorder="true" applyFont="true" applyNumberFormat="true" borderId="27" fillId="0" fontId="8" numFmtId="1002" quotePrefix="false">
      <alignment vertical="center"/>
    </xf>
    <xf applyAlignment="true" applyBorder="true" applyFont="true" applyNumberFormat="true" borderId="24" fillId="0" fontId="8" numFmtId="1002" quotePrefix="false">
      <alignment vertical="center"/>
    </xf>
    <xf applyAlignment="true" applyBorder="true" applyFont="true" applyNumberFormat="true" borderId="16" fillId="0" fontId="2" numFmtId="1002" quotePrefix="false">
      <alignment vertical="center"/>
    </xf>
    <xf applyAlignment="true" applyBorder="true" applyFont="true" applyNumberFormat="true" borderId="16" fillId="0" fontId="8" numFmtId="1002" quotePrefix="false">
      <alignment vertical="center"/>
    </xf>
    <xf applyAlignment="true" applyBorder="true" applyFont="true" applyNumberFormat="true" borderId="28" fillId="0" fontId="8" numFmtId="1002" quotePrefix="false">
      <alignment vertical="center"/>
    </xf>
    <xf applyAlignment="true" applyBorder="true" applyFont="true" applyNumberFormat="true" borderId="18" fillId="0" fontId="8" numFmtId="1002" quotePrefix="false">
      <alignment vertical="center"/>
    </xf>
    <xf applyAlignment="true" applyBorder="true" applyFont="true" applyNumberFormat="true" borderId="20" fillId="0" fontId="8" numFmtId="1001" quotePrefix="false">
      <alignment vertical="center"/>
    </xf>
    <xf applyAlignment="true" applyBorder="true" applyFont="true" applyNumberFormat="true" borderId="1" fillId="0" fontId="8" numFmtId="1000" quotePrefix="false">
      <alignment horizontal="center" vertical="center"/>
    </xf>
    <xf applyAlignment="true" applyBorder="true" applyFont="true" applyNumberFormat="true" borderId="1" fillId="0" fontId="8" numFmtId="1007" quotePrefix="false">
      <alignment vertical="center"/>
    </xf>
    <xf applyAlignment="true" applyBorder="true" applyFont="true" applyNumberFormat="true" borderId="21" fillId="0" fontId="8" numFmtId="1002" quotePrefix="false">
      <alignment vertical="center"/>
    </xf>
    <xf applyAlignment="true" applyFont="true" applyNumberFormat="true" borderId="0" fillId="0" fontId="7" numFmtId="1006" quotePrefix="false">
      <alignment horizontal="center" vertical="center" wrapText="true"/>
    </xf>
    <xf applyAlignment="true" applyFont="true" applyNumberFormat="true" borderId="0" fillId="0" fontId="4" numFmtId="1001" quotePrefix="false">
      <alignment vertical="center"/>
    </xf>
    <xf applyAlignment="true" applyFont="true" applyNumberFormat="true" borderId="0" fillId="0" fontId="7" numFmtId="1000" quotePrefix="false">
      <alignment vertical="center"/>
    </xf>
    <xf applyAlignment="true" applyBorder="true" applyFont="true" applyNumberFormat="true" borderId="29" fillId="0" fontId="8" numFmtId="1004" quotePrefix="false">
      <alignment vertical="center"/>
    </xf>
    <xf applyAlignment="true" applyBorder="true" applyFont="true" applyNumberFormat="true" borderId="29" fillId="0" fontId="8" numFmtId="1000" quotePrefix="false">
      <alignment vertical="center"/>
    </xf>
    <xf applyAlignment="true" applyBorder="true" applyFont="true" applyNumberFormat="true" borderId="29" fillId="0" fontId="2" numFmtId="1000" quotePrefix="false">
      <alignment horizontal="center" vertical="center"/>
    </xf>
    <xf applyAlignment="true" applyBorder="true" applyFont="true" applyNumberFormat="true" borderId="29" fillId="0" fontId="2" numFmtId="1000" quotePrefix="false">
      <alignment vertical="center"/>
    </xf>
    <xf applyAlignment="true" applyBorder="true" applyFont="true" applyNumberFormat="true" borderId="29" fillId="0" fontId="8" numFmtId="1002" quotePrefix="false">
      <alignment vertical="center"/>
    </xf>
    <xf applyAlignment="true" applyBorder="true" applyFont="true" applyNumberFormat="true" borderId="29" fillId="0" fontId="2" numFmtId="1002" quotePrefix="false">
      <alignment vertical="center"/>
    </xf>
    <xf applyAlignment="true" applyBorder="true" applyFont="true" applyNumberFormat="true" borderId="29" fillId="0" fontId="2" numFmtId="1007" quotePrefix="false">
      <alignment vertical="center"/>
    </xf>
    <xf applyBorder="true" applyFont="true" applyNumberFormat="true" borderId="1" fillId="0" fontId="2" numFmtId="1002" quotePrefix="false"/>
    <xf applyAlignment="true" applyBorder="true" applyFont="true" applyNumberFormat="true" borderId="1" fillId="0" fontId="14" numFmtId="1002" quotePrefix="false">
      <alignment vertical="center"/>
    </xf>
    <xf applyAlignment="true" applyBorder="true" applyFont="true" applyNumberFormat="true" borderId="1" fillId="0" fontId="2" numFmtId="1011" quotePrefix="false">
      <alignment vertical="center"/>
    </xf>
    <xf applyAlignment="true" applyFill="true" applyFont="true" applyNumberFormat="true" borderId="0" fillId="11" fontId="12" numFmtId="1000" quotePrefix="false">
      <alignment vertical="center"/>
    </xf>
    <xf applyAlignment="true" applyFill="true" applyFont="true" applyNumberFormat="true" borderId="0" fillId="11" fontId="8" numFmtId="1004" quotePrefix="false">
      <alignment vertical="center"/>
    </xf>
    <xf applyAlignment="true" applyFill="true" applyFont="true" applyNumberFormat="true" borderId="0" fillId="11" fontId="4" numFmtId="1009" quotePrefix="false">
      <alignment horizontal="right" vertical="center"/>
    </xf>
    <xf applyAlignment="true" applyBorder="true" applyFill="true" applyFont="true" applyNumberFormat="true" borderId="1" fillId="11" fontId="13" numFmtId="1002" quotePrefix="false">
      <alignment vertical="center"/>
    </xf>
    <xf applyAlignment="true" applyBorder="true" applyFill="true" applyFont="true" applyNumberFormat="true" borderId="22" fillId="11" fontId="8" numFmtId="1000" quotePrefix="false">
      <alignment horizontal="center" vertical="center"/>
    </xf>
    <xf applyAlignment="true" applyFill="true" applyFont="true" applyNumberFormat="true" borderId="0" fillId="11" fontId="12" numFmtId="1001" quotePrefix="false">
      <alignment vertical="center"/>
    </xf>
    <xf applyAlignment="true" applyFill="true" applyFont="true" applyNumberFormat="true" borderId="0" fillId="11" fontId="2" numFmtId="1006" quotePrefix="false">
      <alignment horizontal="center" vertical="center" wrapText="true"/>
    </xf>
    <xf applyAlignment="true" applyFill="true" applyFont="true" applyNumberFormat="true" borderId="0" fillId="11" fontId="11" numFmtId="1001" quotePrefix="false">
      <alignment horizontal="right" vertical="center" wrapText="true"/>
    </xf>
    <xf applyAlignment="true" applyFill="true" applyFont="true" applyNumberFormat="true" borderId="0" fillId="11" fontId="2" numFmtId="1001" quotePrefix="false">
      <alignment vertical="center"/>
    </xf>
    <xf applyAlignment="true" applyFill="true" applyFont="true" applyNumberFormat="true" borderId="0" fillId="11" fontId="2" numFmtId="1002" quotePrefix="false">
      <alignment vertical="center"/>
    </xf>
    <xf applyAlignment="true" applyBorder="true" applyFill="true" applyFont="true" applyNumberFormat="true" borderId="16" fillId="11" fontId="8" numFmtId="1001" quotePrefix="false">
      <alignment vertical="center"/>
    </xf>
    <xf applyAlignment="true" applyBorder="true" applyFill="true" applyFont="true" applyNumberFormat="true" borderId="1" fillId="11" fontId="2" numFmtId="1002" quotePrefix="false">
      <alignment vertical="center"/>
    </xf>
    <xf applyAlignment="true" applyBorder="true" applyFill="true" applyFont="true" applyNumberFormat="true" borderId="20" fillId="11" fontId="8" numFmtId="1002" quotePrefix="false">
      <alignment vertical="center"/>
    </xf>
    <xf applyAlignment="true" applyBorder="true" applyFill="true" applyFont="true" applyNumberFormat="true" borderId="19" fillId="3" fontId="8" numFmtId="1000" quotePrefix="false">
      <alignment vertical="center"/>
    </xf>
    <xf applyAlignment="true" applyBorder="true" applyFill="true" applyFont="true" applyNumberFormat="true" borderId="1" fillId="3" fontId="4" numFmtId="1002" quotePrefix="false">
      <alignment vertical="center"/>
    </xf>
    <xf applyAlignment="true" applyBorder="true" applyFont="true" applyNumberFormat="true" borderId="16" fillId="0" fontId="2" numFmtId="1001" quotePrefix="false">
      <alignment vertical="center"/>
    </xf>
    <xf applyAlignment="true" applyBorder="true" applyFill="true" applyFont="true" applyNumberFormat="true" borderId="1" fillId="6" fontId="2" numFmtId="1002" quotePrefix="false">
      <alignment vertical="center"/>
    </xf>
    <xf applyAlignment="true" applyBorder="true" applyFill="true" applyFont="true" applyNumberFormat="true" borderId="20" fillId="6" fontId="4" numFmtId="1001" quotePrefix="false">
      <alignment vertical="center"/>
    </xf>
    <xf applyAlignment="true" applyBorder="true" applyFill="true" applyFont="true" applyNumberFormat="true" borderId="1" fillId="2" fontId="4" numFmtId="1001" quotePrefix="false">
      <alignment vertical="center"/>
    </xf>
    <xf applyAlignment="true" applyBorder="true" applyFill="true" applyFont="true" applyNumberFormat="true" borderId="19" fillId="6" fontId="8" numFmtId="1000" quotePrefix="false">
      <alignment vertical="center"/>
    </xf>
    <xf applyAlignment="true" applyBorder="true" applyFill="true" applyFont="true" applyNumberFormat="true" borderId="1" fillId="6" fontId="2" numFmtId="1000" quotePrefix="false">
      <alignment vertical="center"/>
    </xf>
    <xf applyAlignment="true" applyBorder="true" applyFill="true" applyFont="true" applyNumberFormat="true" borderId="1" fillId="6" fontId="4" numFmtId="1000" quotePrefix="false">
      <alignment horizontal="center" vertical="center"/>
    </xf>
    <xf applyAlignment="true" applyBorder="true" applyFill="true" applyFont="true" applyNumberFormat="true" borderId="22" fillId="6" fontId="4" numFmtId="1001" quotePrefix="false">
      <alignment vertical="center"/>
    </xf>
    <xf applyAlignment="true" applyBorder="true" applyFont="true" applyNumberFormat="true" borderId="22" fillId="0" fontId="15" numFmtId="1002" quotePrefix="false">
      <alignment vertical="center"/>
    </xf>
    <xf applyAlignment="true" applyBorder="true" applyFont="true" applyNumberFormat="true" borderId="1" fillId="0" fontId="15" numFmtId="1002" quotePrefix="false">
      <alignment vertical="center"/>
    </xf>
    <xf applyAlignment="true" applyFont="true" applyNumberFormat="true" borderId="0" fillId="0" fontId="11" numFmtId="1001" quotePrefix="false">
      <alignment horizontal="right" vertical="center" wrapText="true"/>
    </xf>
    <xf applyAlignment="true" applyBorder="true" applyFont="true" applyNumberFormat="true" borderId="1" fillId="0" fontId="13" numFmtId="1002" quotePrefix="false">
      <alignment vertical="center"/>
    </xf>
    <xf applyBorder="true" applyFont="true" applyNumberFormat="true" borderId="1" fillId="0" fontId="8" numFmtId="1001" quotePrefix="false"/>
    <xf applyAlignment="true" applyBorder="true" applyFont="true" applyNumberFormat="true" borderId="22" fillId="0" fontId="4" numFmtId="1002" quotePrefix="false">
      <alignment vertical="center"/>
    </xf>
    <xf applyAlignment="true" applyBorder="true" applyFont="true" applyNumberFormat="true" borderId="16" fillId="0" fontId="2" numFmtId="1000" quotePrefix="false">
      <alignment vertical="center"/>
    </xf>
    <xf applyAlignment="true" applyBorder="true" applyFont="true" applyNumberFormat="true" borderId="16" fillId="0" fontId="2" numFmtId="1000" quotePrefix="false">
      <alignment horizontal="center" vertical="center"/>
    </xf>
    <xf applyAlignment="true" applyBorder="true" applyFont="true" applyNumberFormat="true" borderId="16" fillId="0" fontId="2" numFmtId="1007" quotePrefix="false">
      <alignment vertical="center"/>
    </xf>
    <xf applyAlignment="true" applyBorder="true" applyFont="true" applyNumberFormat="true" borderId="20" fillId="0" fontId="2" numFmtId="1000" quotePrefix="false">
      <alignment vertical="center"/>
    </xf>
    <xf applyAlignment="true" applyBorder="true" applyFont="true" applyNumberFormat="true" borderId="22" fillId="0" fontId="2" numFmtId="1000" quotePrefix="false">
      <alignment vertical="center"/>
    </xf>
    <xf applyAlignment="true" applyBorder="true" applyFont="true" applyNumberFormat="true" borderId="1" fillId="0" fontId="8" numFmtId="1002" quotePrefix="false">
      <alignment horizontal="center" vertical="center"/>
    </xf>
    <xf applyAlignment="true" applyBorder="true" applyFont="true" applyNumberFormat="true" borderId="30" fillId="0" fontId="2" numFmtId="1000" quotePrefix="false">
      <alignment vertical="center"/>
    </xf>
    <xf applyAlignment="true" applyBorder="true" applyFont="true" applyNumberFormat="true" borderId="29" fillId="0" fontId="2" numFmtId="1002" quotePrefix="false">
      <alignment horizontal="center" vertical="center"/>
    </xf>
    <xf applyAlignment="true" applyBorder="true" applyFont="true" applyNumberFormat="true" borderId="29" fillId="0" fontId="2" numFmtId="1001" quotePrefix="false">
      <alignment vertical="center"/>
    </xf>
    <xf applyAlignment="true" applyBorder="true" applyFont="true" applyNumberFormat="true" borderId="31" fillId="0" fontId="2" numFmtId="1000" quotePrefix="false">
      <alignment vertical="center"/>
    </xf>
    <xf applyAlignment="true" applyFont="true" applyNumberFormat="true" borderId="0" fillId="0" fontId="8" numFmtId="1000" quotePrefix="false">
      <alignment horizontal="center" vertical="center"/>
    </xf>
    <xf applyAlignment="true" applyBorder="true" applyFont="true" applyNumberFormat="true" borderId="32" fillId="0" fontId="2" numFmtId="1000" quotePrefix="false">
      <alignment vertical="center"/>
    </xf>
    <xf applyAlignment="true" applyBorder="true" applyFont="true" applyNumberFormat="true" borderId="29" fillId="0" fontId="8" numFmtId="1001" quotePrefix="false">
      <alignment vertical="center"/>
    </xf>
    <xf applyAlignment="true" applyBorder="true" applyFont="true" applyNumberFormat="true" borderId="1" fillId="0" fontId="7" numFmtId="1001" quotePrefix="false">
      <alignment vertical="center"/>
    </xf>
    <xf applyAlignment="true" applyBorder="true" applyFont="true" applyNumberFormat="true" borderId="25" fillId="0" fontId="8" numFmtId="1004" quotePrefix="false">
      <alignment vertical="center"/>
    </xf>
    <xf applyAlignment="true" applyBorder="true" applyFont="true" applyNumberFormat="true" borderId="23" fillId="0" fontId="2" numFmtId="1000" quotePrefix="false">
      <alignment horizontal="center" vertical="center"/>
    </xf>
    <xf applyAlignment="true" applyBorder="true" applyFont="true" applyNumberFormat="true" borderId="23" fillId="0" fontId="2" numFmtId="1007" quotePrefix="false">
      <alignment vertical="center"/>
    </xf>
    <xf applyAlignment="true" applyBorder="true" applyFont="true" applyNumberFormat="true" borderId="23" fillId="0" fontId="2" numFmtId="1001" quotePrefix="false">
      <alignment vertical="center"/>
    </xf>
    <xf applyAlignment="true" applyBorder="true" applyFont="true" applyNumberFormat="true" borderId="27" fillId="0" fontId="2" numFmtId="1000" quotePrefix="false">
      <alignment horizontal="center" vertical="center"/>
    </xf>
    <xf applyAlignment="true" applyBorder="true" applyFill="true" applyFont="true" applyNumberFormat="true" borderId="19" fillId="6" fontId="8" numFmtId="1004" quotePrefix="false">
      <alignment vertical="center"/>
    </xf>
    <xf applyAlignment="true" applyBorder="true" applyFill="true" applyFont="true" applyNumberFormat="true" borderId="1" fillId="6" fontId="8" numFmtId="1000" quotePrefix="false">
      <alignment vertical="center"/>
    </xf>
    <xf applyAlignment="true" applyBorder="true" applyFill="true" applyFont="true" applyNumberFormat="true" borderId="1" fillId="6" fontId="16" numFmtId="1000" quotePrefix="false">
      <alignment horizontal="center" vertical="bottom"/>
    </xf>
    <xf applyAlignment="true" applyBorder="true" applyFill="true" applyFont="true" applyNumberFormat="true" borderId="1" fillId="6" fontId="8" numFmtId="1000" quotePrefix="false">
      <alignment horizontal="center" vertical="center"/>
    </xf>
    <xf applyAlignment="true" applyBorder="true" applyFill="true" applyFont="true" applyNumberFormat="true" borderId="1" fillId="6" fontId="8" numFmtId="1007" quotePrefix="false">
      <alignment vertical="center"/>
    </xf>
    <xf applyAlignment="true" applyBorder="true" applyFill="true" applyFont="true" applyNumberFormat="true" borderId="23" fillId="6" fontId="4" numFmtId="1001" quotePrefix="false">
      <alignment vertical="center"/>
    </xf>
    <xf applyAlignment="true" applyFill="true" applyFont="true" applyNumberFormat="true" borderId="0" fillId="3" fontId="2" numFmtId="1001" quotePrefix="false">
      <alignment vertical="center"/>
    </xf>
    <xf applyAlignment="true" applyFill="true" applyFont="true" applyNumberFormat="true" borderId="0" fillId="8" fontId="8" numFmtId="1002" quotePrefix="false">
      <alignment vertical="center"/>
    </xf>
    <xf applyAlignment="true" applyFill="true" applyFont="true" applyNumberFormat="true" borderId="0" fillId="3" fontId="8" numFmtId="1001" quotePrefix="false">
      <alignment vertical="center"/>
    </xf>
    <xf applyAlignment="true" applyFill="true" applyFont="true" applyNumberFormat="true" borderId="0" fillId="8" fontId="15" numFmtId="1002" quotePrefix="false">
      <alignment vertical="center"/>
    </xf>
    <xf applyAlignment="true" applyBorder="true" applyFont="true" applyNumberFormat="true" borderId="33" fillId="0" fontId="8" numFmtId="1004" quotePrefix="false">
      <alignment vertical="center"/>
    </xf>
    <xf applyAlignment="true" applyBorder="true" applyFont="true" applyNumberFormat="true" borderId="34" fillId="0" fontId="8" numFmtId="1000" quotePrefix="false">
      <alignment vertical="center"/>
    </xf>
    <xf applyAlignment="true" applyBorder="true" applyFont="true" applyNumberFormat="true" borderId="34" fillId="0" fontId="2" numFmtId="1000" quotePrefix="false">
      <alignment horizontal="center" vertical="center"/>
    </xf>
    <xf applyAlignment="true" applyBorder="true" applyFont="true" applyNumberFormat="true" borderId="34" fillId="0" fontId="2" numFmtId="1002" quotePrefix="false">
      <alignment vertical="center"/>
    </xf>
    <xf applyAlignment="true" applyBorder="true" applyFont="true" applyNumberFormat="true" borderId="34" fillId="0" fontId="2" numFmtId="1007" quotePrefix="false">
      <alignment vertical="center"/>
    </xf>
    <xf applyAlignment="true" applyBorder="true" applyFont="true" applyNumberFormat="true" borderId="34" fillId="0" fontId="2" numFmtId="1001" quotePrefix="false">
      <alignment vertical="center"/>
    </xf>
    <xf applyAlignment="true" applyBorder="true" applyFont="true" applyNumberFormat="true" borderId="34" fillId="0" fontId="8" numFmtId="1002" quotePrefix="false">
      <alignment vertical="center"/>
    </xf>
    <xf applyAlignment="true" applyBorder="true" applyFont="true" applyNumberFormat="true" borderId="34" fillId="0" fontId="8" numFmtId="1001" quotePrefix="false">
      <alignment vertical="center"/>
    </xf>
    <xf applyAlignment="true" applyBorder="true" applyFont="true" applyNumberFormat="true" borderId="35" fillId="0" fontId="8" numFmtId="1002" quotePrefix="false">
      <alignment vertical="center"/>
    </xf>
    <xf applyAlignment="true" applyBorder="true" applyFont="true" applyNumberFormat="true" borderId="36" fillId="0" fontId="2" numFmtId="1000" quotePrefix="false">
      <alignment horizontal="center" vertical="center"/>
    </xf>
    <xf applyAlignment="true" applyFont="true" applyNumberFormat="true" borderId="0" fillId="0" fontId="17" numFmtId="1000" quotePrefix="false">
      <alignment vertical="center"/>
    </xf>
    <xf applyAlignment="true" applyFont="true" applyNumberFormat="true" borderId="0" fillId="0" fontId="2" numFmtId="1000" quotePrefix="false">
      <alignment horizontal="right" vertical="center"/>
    </xf>
    <xf applyAlignment="true" applyFont="true" applyNumberFormat="true" borderId="0" fillId="0" fontId="2" numFmtId="1001" quotePrefix="false">
      <alignment horizontal="center" vertical="center"/>
    </xf>
    <xf applyAlignment="true" applyFont="true" applyNumberFormat="true" borderId="0" fillId="0" fontId="4" numFmtId="1000" quotePrefix="false">
      <alignment vertical="center"/>
    </xf>
    <xf applyAlignment="true" applyFont="true" applyNumberFormat="true" borderId="0" fillId="0" fontId="2" numFmtId="1000" quotePrefix="false">
      <alignment horizontal="right"/>
    </xf>
    <xf applyAlignment="true" applyFill="true" applyFont="true" applyNumberFormat="true" borderId="0" fillId="14" fontId="2" numFmtId="1000" quotePrefix="false">
      <alignment horizontal="right"/>
    </xf>
    <xf applyAlignment="true" applyBorder="true" applyFont="true" applyNumberFormat="true" borderId="6" fillId="0" fontId="4" numFmtId="1001" quotePrefix="false">
      <alignment horizontal="center" vertical="center" wrapText="true"/>
    </xf>
    <xf applyAlignment="true" applyBorder="true" applyFont="true" applyNumberFormat="true" borderId="5" fillId="0" fontId="4" numFmtId="1001" quotePrefix="false">
      <alignment horizontal="center" vertical="center" wrapText="true"/>
    </xf>
    <xf applyAlignment="true" applyBorder="true" applyFont="true" applyNumberFormat="true" borderId="37" fillId="0" fontId="4" numFmtId="1001" quotePrefix="false">
      <alignment horizontal="center" vertical="center" wrapText="true"/>
    </xf>
    <xf applyAlignment="true" applyBorder="true" applyFont="true" applyNumberFormat="true" borderId="3" fillId="0" fontId="4" numFmtId="1001" quotePrefix="false">
      <alignment horizontal="center" vertical="bottom"/>
    </xf>
    <xf applyAlignment="true" applyBorder="true" applyFont="true" applyNumberFormat="true" borderId="5" fillId="0" fontId="4" numFmtId="1001" quotePrefix="false">
      <alignment horizontal="center" vertical="bottom"/>
    </xf>
    <xf applyAlignment="true" applyBorder="true" applyFont="true" applyNumberFormat="true" borderId="4" fillId="0" fontId="4" numFmtId="1001" quotePrefix="false">
      <alignment horizontal="center" vertical="bottom"/>
    </xf>
    <xf applyAlignment="true" applyFill="true" applyFont="true" applyNumberFormat="true" borderId="0" fillId="10" fontId="4" numFmtId="1000" quotePrefix="false">
      <alignment horizontal="center" vertical="center"/>
    </xf>
    <xf applyAlignment="true" applyBorder="true" applyFill="true" applyFont="true" applyNumberFormat="true" borderId="16" fillId="6" fontId="4" numFmtId="1001" quotePrefix="false">
      <alignment horizontal="right" vertical="center" wrapText="true"/>
    </xf>
    <xf applyAlignment="true" applyBorder="true" applyFill="true" applyFont="true" applyNumberFormat="true" borderId="1" fillId="6" fontId="4" numFmtId="1001" quotePrefix="false">
      <alignment horizontal="right" vertical="center" wrapText="true"/>
    </xf>
    <xf applyAlignment="true" applyFill="true" applyFont="true" applyNumberFormat="true" borderId="0" fillId="10" fontId="2" numFmtId="1000" quotePrefix="false">
      <alignment horizontal="center" vertical="center" wrapText="true"/>
    </xf>
    <xf applyAlignment="true" applyBorder="true" applyFill="true" applyFont="true" applyNumberFormat="true" borderId="20" fillId="6" fontId="4" numFmtId="1001" quotePrefix="false">
      <alignment horizontal="right" vertical="center" wrapText="true"/>
    </xf>
    <xf applyAlignment="true" applyBorder="true" applyFill="true" applyFont="true" applyNumberFormat="true" borderId="1" fillId="11" fontId="13" numFmtId="1001" quotePrefix="false">
      <alignment vertical="center"/>
    </xf>
    <xf applyAlignment="true" applyBorder="true" applyFont="true" applyNumberFormat="true" borderId="22" fillId="0" fontId="18" numFmtId="1002" quotePrefix="false">
      <alignment vertical="center"/>
    </xf>
    <xf applyAlignment="true" applyBorder="true" applyFont="true" applyNumberFormat="true" borderId="1" fillId="0" fontId="18" numFmtId="1002" quotePrefix="false">
      <alignment vertical="center"/>
    </xf>
    <xf applyAlignment="true" applyBorder="true" applyFill="true" applyFont="true" applyNumberFormat="true" borderId="16" fillId="6" fontId="13" numFmtId="1001" quotePrefix="false">
      <alignment vertical="center"/>
    </xf>
    <xf applyAlignment="true" applyBorder="true" applyFill="true" applyFont="true" applyNumberFormat="true" borderId="22" fillId="6" fontId="13" numFmtId="1001" quotePrefix="false">
      <alignment vertical="center"/>
    </xf>
    <xf applyAlignment="true" applyBorder="true" applyFont="true" applyNumberFormat="true" borderId="36" fillId="0" fontId="2" numFmtId="1002" quotePrefix="false">
      <alignment vertical="center"/>
    </xf>
    <xf applyAlignment="true" applyFont="true" applyNumberFormat="true" borderId="0" fillId="0" fontId="15" numFmtId="1002" quotePrefix="false">
      <alignment vertical="center"/>
    </xf>
    <xf applyFont="true" applyNumberFormat="true" borderId="0" fillId="0" fontId="0" numFmtId="1012" quotePrefix="false"/>
    <xf applyAlignment="true" applyFont="true" applyNumberFormat="true" borderId="0" fillId="0" fontId="2" numFmtId="1012" quotePrefix="false">
      <alignment vertical="center"/>
    </xf>
    <xf applyAlignment="true" applyFont="true" applyNumberFormat="true" borderId="0" fillId="0" fontId="2" numFmtId="1004" quotePrefix="false">
      <alignment horizontal="center" vertical="center" wrapText="true"/>
    </xf>
    <xf applyAlignment="true" applyFont="true" applyNumberFormat="true" borderId="0" fillId="0" fontId="2" numFmtId="1004" quotePrefix="false">
      <alignment vertical="center"/>
    </xf>
    <xf applyBorder="true" applyFont="true" applyNumberFormat="true" borderId="1" fillId="0" fontId="2" numFmtId="1000" quotePrefix="false"/>
  </cellXfs>
  <cellStyles count="1">
    <cellStyle builtinId="0" name="Normal" xfId="0"/>
  </cellStyles>
  <dxfs count="1">
    <dxf>
      <font>
        <color rgb="9C0006" tint="0"/>
      </font>
      <fill>
        <patternFill patternType="solid">
          <bgColor rgb="FFC7CE" tint="0"/>
        </patternFill>
      </fill>
    </dxf>
  </dxfs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17" Target="theme/theme1.xml" Type="http://schemas.openxmlformats.org/officeDocument/2006/relationships/theme"/>
  <Relationship Id="rId7" Target="externalLinks/externalLink4.xml" Type="http://schemas.openxmlformats.org/officeDocument/2006/relationships/externalLink"/>
  <Relationship Id="rId6" Target="externalLinks/externalLink3.xml" Type="http://schemas.openxmlformats.org/officeDocument/2006/relationships/externalLink"/>
  <Relationship Id="rId14" Target="externalLinks/externalLink11.xml" Type="http://schemas.openxmlformats.org/officeDocument/2006/relationships/externalLink"/>
  <Relationship Id="rId13" Target="externalLinks/externalLink10.xml" Type="http://schemas.openxmlformats.org/officeDocument/2006/relationships/externalLink"/>
  <Relationship Id="rId4" Target="externalLinks/externalLink1.xml" Type="http://schemas.openxmlformats.org/officeDocument/2006/relationships/externalLink"/>
  <Relationship Id="rId3" Target="worksheets/sheet3.xml" Type="http://schemas.openxmlformats.org/officeDocument/2006/relationships/worksheet"/>
  <Relationship Id="rId12" Target="externalLinks/externalLink9.xml" Type="http://schemas.openxmlformats.org/officeDocument/2006/relationships/externalLink"/>
  <Relationship Id="rId10" Target="externalLinks/externalLink7.xml" Type="http://schemas.openxmlformats.org/officeDocument/2006/relationships/externalLink"/>
  <Relationship Id="rId5" Target="externalLinks/externalLink2.xml" Type="http://schemas.openxmlformats.org/officeDocument/2006/relationships/externalLink"/>
  <Relationship Id="rId11" Target="externalLinks/externalLink8.xml" Type="http://schemas.openxmlformats.org/officeDocument/2006/relationships/externalLink"/>
  <Relationship Id="rId8" Target="externalLinks/externalLink5.xml" Type="http://schemas.openxmlformats.org/officeDocument/2006/relationships/externalLink"/>
  <Relationship Id="rId16" Target="styles.xml" Type="http://schemas.openxmlformats.org/officeDocument/2006/relationships/styles"/>
  <Relationship Id="rId2" Target="worksheets/sheet2.xml" Type="http://schemas.openxmlformats.org/officeDocument/2006/relationships/worksheet"/>
  <Relationship Id="rId9" Target="externalLinks/externalLink6.xml" Type="http://schemas.openxmlformats.org/officeDocument/2006/relationships/externalLink"/>
  <Relationship Id="rId15" Target="sharedStrings.xml" Type="http://schemas.openxmlformats.org/officeDocument/2006/relationships/sharedStrings"/>
  <Relationship Id="rId1" Target="worksheets/sheet1.xml" Type="http://schemas.openxmlformats.org/officeDocument/2006/relationships/worksheet"/>
</Relationships>

</file>

<file path=xl/externalLinks/_rels/externalLink1.xml.rels><?xml version="1.0" encoding="UTF-8" standalone="no" ?>
<Relationships xmlns="http://schemas.openxmlformats.org/package/2006/relationships">
  <Relationship Id="rId1" Target="../../../../Fkrserver/f/&#1059;&#1090;&#1074;&#1077;&#1088;&#1078;&#1076;&#1077;&#1085;&#1085;&#1099;&#1081; &#1050;&#1055;&#1050;&#1056;/5. &#1055;&#1088;&#1080;&#1082;&#1072;&#1079; &#8470;405&#1054;&#1044; &#1086;&#1090; 31.08.2022 (&#1089; &#1087;&#1077;&#1088;&#1080;&#1086;&#1076;&#1086;&#1084; 2022-2024)/12. &#1055;&#1088;&#1080;&#1082;&#1072;&#1079; &#1052;&#1046;&#1050;&#1061; 224-&#1054;&#1044; &#1086;&#1090; 24.05.2024&#1075; 2022-2024&#1075;&#1075;/&#1050;&#1055;&#1050;&#1056; 2022-2024 &#1088;&#1077;&#1076;. &#1086;&#1090; 20.05.2024 (1).xlsx" TargetMode="External" Type="http://schemas.openxmlformats.org/officeDocument/2006/relationships/externalLinkPath"/>
</Relationships>

</file>

<file path=xl/externalLinks/_rels/externalLink10.xml.rels><?xml version="1.0" encoding="UTF-8" standalone="no" ?>
<Relationships xmlns="http://schemas.openxmlformats.org/package/2006/relationships">
  <Relationship Id="rId1" Target="file:///C:/Users/&#1042;&#1080;&#1085;&#1086;&#1082;&#1091;&#1088;&#1086;&#1074;&#1072;_&#1042;&#1042;/AppData/Local/Microsoft/fkrserver2/&#1054;&#1040;&#1055;/Users/&#1042;&#1072;&#1089;&#1080;&#1083;&#1080;&#1081;/Desktop/&#1059;&#1078;&#1080;&#1085;&#1089;&#1082;&#1072;&#1103;/&#1056;&#1055;&#1050;&#1056; &#1050;&#1055;&#1050;&#1056;/&#1055;&#1088;&#1080;&#1082;&#1072;&#1079; 67&#1086;&#1076;/&#1042;&#1085;&#1077;&#1089; &#1080;&#1079;&#1084;/&#1055;&#1088;&#1086;&#1077;&#1082;&#1090; &#1050;&#1055;&#1050;&#1056; 2019-2021 &#1074; &#1052;&#1046;&#1050;&#1061;.xlsx" TargetMode="External" Type="http://schemas.openxmlformats.org/officeDocument/2006/relationships/externalLinkPath"/>
</Relationships>

</file>

<file path=xl/externalLinks/_rels/externalLink11.xml.rels><?xml version="1.0" encoding="UTF-8" standalone="no" ?>
<Relationships xmlns="http://schemas.openxmlformats.org/package/2006/relationships">
  <Relationship Id="rId1" Target="file:///C:/Users/&#1042;&#1080;&#1085;&#1086;&#1082;&#1091;&#1088;&#1086;&#1074;&#1072;_&#1042;&#1042;/AppData/Local/Microsoft/fkrserver2/&#1054;&#1040;&#1055;/Users/&#1042;&#1072;&#1089;&#1080;&#1083;&#1080;&#1081;/Desktop/&#1059;&#1078;&#1080;&#1085;&#1089;&#1082;&#1072;&#1103;/&#1056;&#1055;&#1050;&#1056; &#1050;&#1055;&#1050;&#1056;/&#1055;&#1088;&#1080;&#1082;&#1072;&#1079; 67&#1086;&#1076;/&#1055;&#1088;&#1086;&#1077;&#1082;&#1090; &#1050;&#1055;&#1050;&#1056; 2019-2021 04.02.22_&#1087;&#1086;&#1089;&#1083;&#1077;&#1076;&#1085;&#1080;&#1081;.xlsx" TargetMode="External" Type="http://schemas.openxmlformats.org/officeDocument/2006/relationships/externalLinkPath"/>
</Relationships>

</file>

<file path=xl/externalLinks/_rels/externalLink2.xml.rels><?xml version="1.0" encoding="UTF-8" standalone="no" ?>
<Relationships xmlns="http://schemas.openxmlformats.org/package/2006/relationships">
  <Relationship Id="rId1" Target="../../../../fkrserver2/&#1054;&#1040;&#1055;/Users/&#1042;&#1080;&#1085;&#1086;&#1082;&#1091;&#1088;&#1086;&#1074;&#1072;_&#1042;&#1042;/AppData/Local/Microsoft/fkrserver2/&#1054;&#1040;&#1055;/Users/1/Desktop/&#1059;&#1078;&#1080;&#1085;&#1089;&#1082;&#1072;&#1103;/&#1059;&#1078;&#1080;&#1085;&#1089;&#1082;&#1072;&#1103;/&#1056;&#1055;&#1050;&#1056; &#1050;&#1055;&#1050;&#1056;/499&#1054;&#1044; &#1087;&#1088;&#1080;&#1082;&#1072;&#1079; &#1050;&#1055;&#1050;&#1056;/&#1042;&#1085;&#1077;&#1089; &#1080;&#1079;&#1084;/&#1055;&#1088;&#1086;&#1077;&#1082;&#1090; &#1050;&#1055;&#1050;&#1056; 2022-2024 &#1074; &#1052;&#1046;&#1050;&#1061; &#1088;&#1077;&#1076; &#1080;&#1089;&#1087;&#1088;..xlsx" TargetMode="External" Type="http://schemas.openxmlformats.org/officeDocument/2006/relationships/externalLinkPath"/>
</Relationships>

</file>

<file path=xl/externalLinks/_rels/externalLink3.xml.rels><?xml version="1.0" encoding="UTF-8" standalone="no" ?>
<Relationships xmlns="http://schemas.openxmlformats.org/package/2006/relationships">
  <Relationship Id="rId1" Target="../../../../fkrserver2/&#1054;&#1040;&#1055;/Users/&#1042;&#1080;&#1085;&#1086;&#1082;&#1091;&#1088;&#1086;&#1074;&#1072;_&#1042;&#1042;/AppData/Local/Microsoft/fkrserver2/&#1054;&#1040;&#1055;/Users/&#1042;&#1072;&#1089;&#1080;&#1083;&#1080;&#1081;/Desktop/&#1059;&#1078;&#1080;&#1085;&#1089;&#1082;&#1072;&#1103;/&#1056;&#1055;&#1050;&#1056; &#1050;&#1055;&#1050;&#1056;/291&#1054;&#1044; &#1086;&#1090; 08072021 2019-21/&#1052;&#1046;&#1050;&#1061; &#1055;&#1088;&#1086;&#1077;&#1082;&#1090; &#1050;&#1055;&#1050;&#1056; 2019-2021 &#1080;&#1102;&#1085;&#1100;. (1).xlsx" TargetMode="External" Type="http://schemas.openxmlformats.org/officeDocument/2006/relationships/externalLinkPath"/>
</Relationships>

</file>

<file path=xl/externalLinks/_rels/externalLink4.xml.rels><?xml version="1.0" encoding="UTF-8" standalone="no" ?>
<Relationships xmlns="http://schemas.openxmlformats.org/package/2006/relationships">
  <Relationship Id="rId1" Target="file:///C:/Users/&#1042;&#1080;&#1085;&#1086;&#1082;&#1091;&#1088;&#1086;&#1074;&#1072;_&#1042;&#1042;/AppData/Local/Microsoft/fkrserver2/&#1054;&#1040;&#1055;/Users/1/Desktop/&#1059;&#1078;&#1080;&#1085;&#1089;&#1082;&#1072;&#1103;/&#1059;&#1078;&#1080;&#1085;&#1089;&#1082;&#1072;&#1103;/&#1056;&#1055;&#1050;&#1056; &#1050;&#1055;&#1050;&#1056;/309&#1054;&#1044; &#1086;&#1090; 23072021 2022-2024&#1075;&#1075;/&#1055;&#1088;&#1080;&#1083;&#1086;&#1078;&#1077;&#1085;&#1080;&#1103; &#1050;&#1055;&#1050;&#1056; 2022-2024_&#1080;&#1102;&#1083;&#1100;.xlsx" TargetMode="External" Type="http://schemas.openxmlformats.org/officeDocument/2006/relationships/externalLinkPath"/>
</Relationships>

</file>

<file path=xl/externalLinks/_rels/externalLink5.xml.rels><?xml version="1.0" encoding="UTF-8" standalone="no" ?>
<Relationships xmlns="http://schemas.openxmlformats.org/package/2006/relationships">
  <Relationship Id="rId1" Target="file:///C:/Users/&#1042;&#1080;&#1085;&#1086;&#1082;&#1091;&#1088;&#1086;&#1074;&#1072;_&#1042;&#1042;/AppData/Local/Microsoft/fkrserver2/&#1054;&#1040;&#1055;/Users/1/Desktop/&#1059;&#1078;&#1080;&#1085;&#1089;&#1082;&#1072;&#1103;/&#1059;&#1078;&#1080;&#1085;&#1089;&#1082;&#1072;&#1103;/&#1056;&#1055;&#1050;&#1056; &#1050;&#1055;&#1050;&#1056;/499&#1054;&#1044; &#1087;&#1088;&#1080;&#1082;&#1072;&#1079; &#1050;&#1055;&#1050;&#1056;/&#1042;&#1085;&#1077;&#1089; &#1080;&#1079;&#1084;/&#1055;&#1088;&#1086;&#1077;&#1082;&#1090; &#1050;&#1055;&#1050;&#1056; 2022-2024 &#1074; &#1052;&#1046;&#1050;&#1061; &#1088;&#1077;&#1076; &#1080;&#1089;&#1087;&#1088;..xlsx" TargetMode="External" Type="http://schemas.openxmlformats.org/officeDocument/2006/relationships/externalLinkPath"/>
</Relationships>

</file>

<file path=xl/externalLinks/_rels/externalLink6.xml.rels><?xml version="1.0" encoding="UTF-8" standalone="no" ?>
<Relationships xmlns="http://schemas.openxmlformats.org/package/2006/relationships">
  <Relationship Id="rId1" Target="file:///C:/Users/&#1042;&#1080;&#1085;&#1086;&#1082;&#1091;&#1088;&#1086;&#1074;&#1072;_&#1042;&#1042;/AppData/Local/Microsoft/fkrserver2/&#1054;&#1040;&#1055;/Users/1/Desktop/&#1059;&#1078;&#1080;&#1085;&#1089;&#1082;&#1072;&#1103;/&#1059;&#1078;&#1080;&#1085;&#1089;&#1082;&#1072;&#1103;/&#1056;&#1055;&#1050;&#1056; &#1050;&#1055;&#1050;&#1056;/499&#1054;&#1044; &#1087;&#1088;&#1080;&#1082;&#1072;&#1079; &#1050;&#1055;&#1050;&#1056;/&#1042;&#1085;&#1077;&#1089; &#1080;&#1079;&#1084;/&#1087;&#1088;&#1080;&#1082;&#1072;&#1079; &#1050;&#1055;&#1050;&#1056; 2019-2021 &#1072;&#1082;&#1090;&#1091;&#1072;&#1083; 2024.xlsx" TargetMode="External" Type="http://schemas.openxmlformats.org/officeDocument/2006/relationships/externalLinkPath"/>
</Relationships>

</file>

<file path=xl/externalLinks/_rels/externalLink7.xml.rels><?xml version="1.0" encoding="UTF-8" standalone="no" ?>
<Relationships xmlns="http://schemas.openxmlformats.org/package/2006/relationships">
  <Relationship Id="rId1" Target="file:///C:/Users/&#1042;&#1080;&#1085;&#1086;&#1082;&#1091;&#1088;&#1086;&#1074;&#1072;_&#1042;&#1042;/AppData/Local/Microsoft/fkrserver2/&#1054;&#1040;&#1055;/Users/1/Desktop/&#1059;&#1078;&#1080;&#1085;&#1089;&#1082;&#1072;&#1103;/&#1059;&#1078;&#1080;&#1085;&#1089;&#1082;&#1072;&#1103;/&#1056;&#1055;&#1050;&#1056; &#1050;&#1055;&#1050;&#1056;/&#1050;&#1055;&#1050;&#1056; &#1087;&#1086; 459/&#1054;&#1087;&#1083;&#1072;&#1090;&#1072; &#1050;&#1055;&#1050;&#1056; 2019-2021&#1075;&#1075;. &#1085;&#1072; 27.07.2022.xlsx" TargetMode="External" Type="http://schemas.openxmlformats.org/officeDocument/2006/relationships/externalLinkPath"/>
</Relationships>

</file>

<file path=xl/externalLinks/_rels/externalLink8.xml.rels><?xml version="1.0" encoding="UTF-8" standalone="no" ?>
<Relationships xmlns="http://schemas.openxmlformats.org/package/2006/relationships">
  <Relationship Id="rId1" Target="file:///C:/Users/&#1042;&#1080;&#1085;&#1086;&#1082;&#1091;&#1088;&#1086;&#1074;&#1072;_&#1042;&#1042;/AppData/Local/Microsoft/fkrserver2/&#1054;&#1040;&#1055;/Users/1/Desktop/&#1059;&#1078;&#1080;&#1085;&#1089;&#1082;&#1072;&#1103;/&#1059;&#1078;&#1080;&#1085;&#1089;&#1082;&#1072;&#1103;/&#1056;&#1055;&#1050;&#1056; &#1050;&#1055;&#1050;&#1056;/&#1050;&#1055;&#1050;&#1056; &#1087;&#1086; 459/&#1055;&#1088;&#1080;&#1083;&#1086;&#1078;&#1077;&#1085;&#1080;&#1103; &#1050;&#1055;&#1050;&#1056; 2022-2024_&#1080;&#1102;&#1083;&#1100; &#1080;&#1079;&#1084;.xlsx" TargetMode="External" Type="http://schemas.openxmlformats.org/officeDocument/2006/relationships/externalLinkPath"/>
</Relationships>

</file>

<file path=xl/externalLinks/_rels/externalLink9.xml.rels><?xml version="1.0" encoding="UTF-8" standalone="no" ?>
<Relationships xmlns="http://schemas.openxmlformats.org/package/2006/relationships">
  <Relationship Id="rId1" Target="file:///C:/Users/&#1042;&#1080;&#1085;&#1086;&#1082;&#1091;&#1088;&#1086;&#1074;&#1072;_&#1042;&#1042;/AppData/Local/Microsoft/fkrserver2/&#1054;&#1040;&#1055;/Users/&#1042;&#1072;&#1089;&#1080;&#1083;&#1080;&#1081;/Desktop/&#1059;&#1078;&#1080;&#1085;&#1089;&#1082;&#1072;&#1103;/&#1056;&#1055;&#1050;&#1056; &#1050;&#1055;&#1050;&#1056;/291&#1054;&#1044; &#1086;&#1090; 08072021 2019-21/&#1052;&#1046;&#1050;&#1061; &#1055;&#1088;&#1086;&#1077;&#1082;&#1090; &#1050;&#1055;&#1050;&#1056; 2019-2021 &#1080;&#1102;&#1085;&#1100;. (1).xlsx" TargetMode="External" Type="http://schemas.openxmlformats.org/officeDocument/2006/relationships/externalLinkPath"/>
</Relationships>

</file>

<file path=xl/externalLinks/externalLink1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>
    <sheetNames>
      <sheetName val="Приложение №2"/>
    </sheetNames>
    <sheetDataSet>
      <sheetData refreshError="false" sheetId="0">
        <row r="802">
          <cell r="E802" t="n" vm="0">
            <v>2261941.7800000003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11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2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3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4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5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6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7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8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externalLinks/externalLink9.xml><?xml version="1.0" encoding="utf-8"?>
<externalLin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externalBook r:id="rId1"/>
</externalLink>
</file>

<file path=xl/theme/theme1.xml><?xml version="1.0" encoding="utf-8"?>
<a:theme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</a:theme>
</file>

<file path=xl/worksheets/_rels/sheet1.xml.rels><?xml version="1.0" encoding="UTF-8" standalone="no" ?>
<Relationships xmlns="http://schemas.openxmlformats.org/package/2006/relationships">
  <Relationship Id="rId1" Target="../drawings/vmlDrawing1.vml" Type="http://schemas.openxmlformats.org/officeDocument/2006/relationships/vmlDrawing"/>
  <Relationship Id="rId2" Target="../comments1.xml" Type="http://schemas.openxmlformats.org/officeDocument/2006/relationships/comments"/>
</Relationships>

</file>

<file path=xl/worksheets/sheet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EV869"/>
  <sheetViews>
    <sheetView showZeros="false" workbookViewId="0">
      <pane activePane="bottomRight" state="frozen" topLeftCell="E13" xSplit="4" ySplit="12"/>
    </sheetView>
  </sheetViews>
  <sheetFormatPr baseColWidth="8" customHeight="false" defaultColWidth="9.14062530925693" defaultRowHeight="15" zeroHeight="false"/>
  <cols>
    <col customWidth="true" max="1" min="1" outlineLevel="0" style="1" width="8.14062514009074"/>
    <col customWidth="true" max="2" min="2" outlineLevel="0" style="1" width="10.0000003383324"/>
    <col customWidth="true" max="3" min="3" outlineLevel="0" style="1" width="41.0000008458309"/>
    <col customWidth="true" max="4" min="4" outlineLevel="0" style="1" width="71.5703138387917"/>
    <col customWidth="true" max="5" min="5" outlineLevel="0" style="2" width="12.4257811290726"/>
    <col customWidth="true" max="6" min="6" outlineLevel="0" style="2" width="12.7109371180545"/>
    <col customWidth="true" max="7" min="7" outlineLevel="0" style="2" width="22.425781467405"/>
    <col customWidth="true" max="8" min="8" outlineLevel="0" style="2" width="9.00000016916618"/>
    <col customWidth="true" max="9" min="9" outlineLevel="0" style="2" width="8.71093779471921"/>
    <col customWidth="true" max="10" min="10" outlineLevel="0" style="1" width="13.9999996616676"/>
    <col customWidth="true" max="11" min="11" outlineLevel="0" style="1" width="17.1406253092569"/>
    <col customWidth="true" max="12" min="12" outlineLevel="0" style="1" width="16.7109377947192"/>
    <col customWidth="true" max="13" min="13" outlineLevel="0" style="1" width="16.8554693202751"/>
    <col customWidth="true" max="14" min="14" outlineLevel="0" style="1" width="21.0000001691662"/>
    <col customWidth="true" max="15" min="15" outlineLevel="0" style="1" width="16.9999994925015"/>
    <col customWidth="true" max="16" min="16" outlineLevel="0" style="1" width="20.0000006766647"/>
    <col customWidth="true" max="18" min="17" outlineLevel="0" style="1" width="17.8554688127765"/>
    <col customWidth="true" max="19" min="19" outlineLevel="0" style="1" width="22.2851556506495"/>
    <col customWidth="true" max="20" min="20" outlineLevel="0" style="1" width="18.9999998308338"/>
    <col customWidth="true" max="22" min="21" outlineLevel="0" style="1" width="17.1406253092569"/>
    <col customWidth="true" max="23" min="23" outlineLevel="0" style="2" width="14.5703129929608"/>
    <col customWidth="true" hidden="true" max="24" min="24" outlineLevel="0" style="1" width="16.2851559889819"/>
    <col customWidth="true" hidden="true" max="25" min="25" outlineLevel="0" style="1" width="9.14062530925693"/>
    <col customWidth="true" hidden="true" max="41" min="26" outlineLevel="0" style="1" width="16.8554693202751"/>
    <col customWidth="true" hidden="true" max="42" min="42" outlineLevel="0" style="1" width="25.4257799449093"/>
    <col customWidth="true" hidden="true" max="43" min="43" outlineLevel="0" style="1" width="16"/>
    <col customWidth="true" hidden="true" max="44" min="44" outlineLevel="0" style="3" width="13.8554681361118"/>
    <col customWidth="true" hidden="true" max="45" min="45" outlineLevel="0" style="3" width="17.2851568348128"/>
    <col customWidth="true" hidden="true" max="46" min="46" outlineLevel="0" style="1" width="18.1406248017584"/>
    <col customWidth="true" hidden="true" max="47" min="47" outlineLevel="0" style="1" width="17.7109372872207"/>
    <col customWidth="true" hidden="true" max="48" min="48" outlineLevel="0" style="1" width="12.4257811290726"/>
    <col customWidth="true" hidden="true" max="63" min="49" outlineLevel="0" style="1" width="20.7109371180545"/>
    <col customWidth="true" hidden="true" max="64" min="64" outlineLevel="0" style="1" width="15.4257809599064"/>
    <col customWidth="true" hidden="true" max="65" min="65" outlineLevel="0" style="4" width="20.1406251400907"/>
    <col customWidth="true" hidden="true" max="66" min="66" outlineLevel="0" style="1" width="22.425781467405"/>
    <col customWidth="true" hidden="true" max="67" min="67" outlineLevel="0" style="1" width="17.1406253092569"/>
    <col customWidth="true" hidden="true" max="68" min="68" outlineLevel="0" style="1" width="17.5703128237946"/>
    <col customWidth="true" hidden="true" max="69" min="69" outlineLevel="0" style="1" width="18.855468305278"/>
    <col customWidth="true" hidden="true" max="73" min="70" outlineLevel="0" style="1" width="15.7109369488883"/>
    <col customWidth="true" hidden="true" max="74" min="74" outlineLevel="0" style="1" width="17.8554688127765"/>
    <col customWidth="true" hidden="true" max="75" min="75" outlineLevel="0" style="1" width="15.7109369488883"/>
    <col customWidth="true" hidden="true" max="76" min="76" outlineLevel="0" style="1" width="17.4257812982388"/>
    <col customWidth="true" hidden="true" max="77" min="77" outlineLevel="0" style="1" width="19.2851558198157"/>
    <col customWidth="true" hidden="true" max="79" min="78" outlineLevel="0" style="1" width="15.7109369488883"/>
    <col customWidth="true" hidden="true" max="80" min="80" outlineLevel="0" style="1" width="20.0000006766647"/>
    <col customWidth="true" hidden="true" max="81" min="81" outlineLevel="0" style="1" width="9.14062530925693"/>
    <col customWidth="true" hidden="true" max="82" min="82" outlineLevel="0" style="1" width="17.2851568348128"/>
    <col customWidth="true" hidden="true" max="83" min="83" outlineLevel="0" style="1" width="17.8554688127765"/>
    <col customWidth="true" hidden="true" max="84" min="84" outlineLevel="0" style="1" width="16.4257818057373"/>
    <col customWidth="true" hidden="true" max="85" min="85" outlineLevel="0" style="1" width="13.8554681361118"/>
    <col customWidth="true" hidden="true" max="86" min="86" outlineLevel="0" style="5" width="18.0000003383324"/>
    <col customWidth="true" hidden="true" max="96" min="87" outlineLevel="0" style="1" width="16.8554693202751"/>
    <col customWidth="true" hidden="true" max="97" min="97" outlineLevel="0" style="1" width="19.2851558198157"/>
    <col customWidth="true" hidden="true" max="101" min="98" outlineLevel="0" style="1" width="16.8554693202751"/>
    <col customWidth="true" hidden="true" max="102" min="102" outlineLevel="0" style="1" width="16.2851559889819"/>
    <col customWidth="true" hidden="true" max="103" min="103" outlineLevel="0" style="1" width="9.14062530925693"/>
    <col customWidth="true" hidden="true" max="104" min="104" outlineLevel="0" style="1" width="16.2851559889819"/>
    <col customWidth="true" hidden="true" max="105" min="105" outlineLevel="0" style="5" width="20.1406251400907"/>
    <col customWidth="true" hidden="true" max="106" min="106" outlineLevel="0" style="1" width="19.1406256475893"/>
    <col customWidth="true" hidden="true" max="120" min="107" outlineLevel="0" style="1" width="16.2851559889819"/>
    <col customWidth="true" max="121" min="121" outlineLevel="0" style="1" width="23.7109383022178"/>
    <col customWidth="true" max="122" min="122" outlineLevel="0" style="1" width="22.425781467405"/>
    <col customWidth="true" max="123" min="123" outlineLevel="0" style="1" width="18.4257807907402"/>
    <col customWidth="true" max="124" min="124" outlineLevel="0" style="1" width="17.5703128237946"/>
    <col customWidth="true" max="125" min="125" outlineLevel="0" style="1" width="17.2851568348128"/>
    <col customWidth="true" max="126" min="126" outlineLevel="0" style="1" width="14.8554689819427"/>
    <col customWidth="true" max="127" min="127" outlineLevel="0" style="1" width="18.4257807907402"/>
    <col customWidth="true" max="128" min="128" outlineLevel="0" style="1" width="21.9999996616676"/>
    <col bestFit="true" customWidth="true" max="16384" min="129" outlineLevel="0" style="1" width="9.14062530925693"/>
  </cols>
  <sheetData>
    <row hidden="true" ht="15.75" outlineLevel="0" r="1">
      <c r="R1" s="3" t="n">
        <f aca="false" ca="false" dt2D="false" dtr="false" t="normal">N496-CH496</f>
        <v>0</v>
      </c>
      <c r="S1" s="3" t="n"/>
      <c r="W1" s="6" t="s">
        <v>0</v>
      </c>
    </row>
    <row hidden="true" ht="15.75" outlineLevel="0" r="2">
      <c r="N2" s="3" t="n"/>
      <c r="P2" s="7" t="n">
        <v>444755619.9976</v>
      </c>
      <c r="Q2" s="3" t="n">
        <f aca="false" ca="false" dt2D="false" dtr="false" t="normal">CH730-N730</f>
        <v>236434.20999999996</v>
      </c>
      <c r="R2" s="8" t="n">
        <f aca="false" ca="false" dt2D="false" dtr="false" t="normal">CH601-N601</f>
        <v>384333.48999999976</v>
      </c>
      <c r="S2" s="9" t="n"/>
      <c r="T2" s="1" t="n"/>
      <c r="W2" s="6" t="s">
        <v>1</v>
      </c>
    </row>
    <row hidden="true" ht="18.75" outlineLevel="0" r="3">
      <c r="N3" s="3" t="n"/>
      <c r="P3" s="3" t="n">
        <f aca="false" ca="false" dt2D="false" dtr="false" t="normal">P2-P481</f>
        <v>-0.002400040626525879</v>
      </c>
      <c r="Q3" s="10" t="n">
        <f aca="false" ca="false" dt2D="false" dtr="false" t="normal">N625-CH625</f>
        <v>0</v>
      </c>
      <c r="R3" s="11" t="n"/>
      <c r="S3" s="9" t="n">
        <f aca="false" ca="false" dt2D="false" dtr="false" t="normal">CH636-N636</f>
        <v>692851.320000004</v>
      </c>
      <c r="T3" s="3" t="n"/>
      <c r="W3" s="6" t="n"/>
      <c r="BT3" s="1" t="n">
        <v>71533644.8180319</v>
      </c>
    </row>
    <row hidden="true" ht="15" outlineLevel="0" r="4">
      <c r="P4" s="12" t="s">
        <v>2</v>
      </c>
      <c r="Q4" s="3" t="n"/>
      <c r="R4" s="3" t="n"/>
      <c r="S4" s="3" t="n"/>
      <c r="T4" s="12" t="s">
        <v>3</v>
      </c>
      <c r="BO4" s="13" t="n">
        <v>849904.99</v>
      </c>
      <c r="BP4" s="14" t="n">
        <v>13274787.34</v>
      </c>
      <c r="BQ4" s="3" t="n">
        <f aca="false" ca="false" dt2D="false" dtr="false" t="normal">BP4-BP6</f>
        <v>1217841.9299999997</v>
      </c>
      <c r="BT4" s="1" t="n">
        <v>67926919.8080319</v>
      </c>
      <c r="BV4" s="13" t="n">
        <v>42494057.8280319</v>
      </c>
      <c r="CH4" s="15" t="s">
        <v>4</v>
      </c>
      <c r="CJ4" s="1" t="s">
        <v>5</v>
      </c>
    </row>
    <row outlineLevel="0" r="5">
      <c r="P5" s="3" t="n"/>
      <c r="R5" s="3" t="n"/>
      <c r="S5" s="3" t="n"/>
      <c r="U5" s="3" t="n"/>
      <c r="V5" s="3" t="n"/>
      <c r="AP5" s="3" t="n">
        <f aca="false" ca="false" dt2D="false" dtr="false" t="normal">P14-P29-P33-P41-P43-P54</f>
        <v>460498552.86738724</v>
      </c>
      <c r="AQ5" s="3" t="n"/>
      <c r="BO5" s="9" t="n">
        <f aca="false" ca="false" dt2D="false" dtr="false" t="normal">BO4+BQ4</f>
        <v>2067746.9199999997</v>
      </c>
      <c r="BT5" s="1" t="n">
        <f aca="false" ca="false" dt2D="false" dtr="false" t="normal">BT3-BT4</f>
        <v>3606725.0100000054</v>
      </c>
      <c r="BV5" s="9" t="n">
        <f aca="false" ca="false" dt2D="false" dtr="false" t="normal">BV4-BT5</f>
        <v>38887332.81803189</v>
      </c>
    </row>
    <row ht="20.25" outlineLevel="0" r="6">
      <c r="A6" s="16" t="s">
        <v>6</v>
      </c>
      <c r="B6" s="16" t="s"/>
      <c r="C6" s="16" t="s"/>
      <c r="D6" s="16" t="s"/>
      <c r="E6" s="16" t="s"/>
      <c r="F6" s="16" t="s"/>
      <c r="G6" s="16" t="s"/>
      <c r="H6" s="16" t="s"/>
      <c r="I6" s="16" t="s"/>
      <c r="J6" s="16" t="s"/>
      <c r="K6" s="16" t="s"/>
      <c r="L6" s="16" t="s"/>
      <c r="M6" s="16" t="s"/>
      <c r="N6" s="16" t="s"/>
      <c r="O6" s="16" t="s"/>
      <c r="P6" s="16" t="s"/>
      <c r="Q6" s="16" t="s"/>
      <c r="R6" s="16" t="s"/>
      <c r="S6" s="16" t="s"/>
      <c r="T6" s="16" t="s"/>
      <c r="U6" s="16" t="s"/>
      <c r="V6" s="16" t="s"/>
      <c r="W6" s="16" t="s"/>
      <c r="AP6" s="17" t="n">
        <f aca="false" ca="false" dt2D="false" dtr="false" t="normal">AP10-P29-P33-P41-P43-P54</f>
        <v>457870517.626465</v>
      </c>
      <c r="BP6" s="1" t="n">
        <v>12056945.41</v>
      </c>
      <c r="DB6" s="3" t="n">
        <f aca="false" ca="false" dt2D="false" dtr="false" t="normal">N22-DA22</f>
        <v>0</v>
      </c>
      <c r="DC6" s="9" t="n"/>
    </row>
    <row ht="16.5" outlineLevel="0" r="7">
      <c r="A7" s="18" t="n"/>
      <c r="B7" s="18" t="n"/>
      <c r="C7" s="18" t="n"/>
      <c r="D7" s="18" t="n"/>
      <c r="E7" s="18" t="n"/>
      <c r="F7" s="18" t="n"/>
      <c r="G7" s="18" t="n"/>
      <c r="H7" s="18" t="n"/>
      <c r="I7" s="18" t="n"/>
      <c r="J7" s="18" t="n"/>
      <c r="K7" s="18" t="n"/>
      <c r="L7" s="18" t="n"/>
      <c r="M7" s="18" t="n"/>
      <c r="N7" s="19" t="n"/>
      <c r="O7" s="18" t="n"/>
      <c r="P7" s="19" t="n"/>
      <c r="Q7" s="18" t="n"/>
      <c r="R7" s="18" t="n"/>
      <c r="S7" s="18" t="n"/>
      <c r="T7" s="18" t="n"/>
      <c r="U7" s="18" t="n"/>
      <c r="V7" s="18" t="n"/>
      <c r="W7" s="18" t="n"/>
      <c r="AP7" s="17" t="e">
        <f aca="false" ca="false" dt2D="false" dtr="false" t="normal">AP8+#REF!</f>
        <v>#REF!</v>
      </c>
      <c r="DB7" s="9" t="n"/>
    </row>
    <row outlineLevel="0" r="8">
      <c r="A8" s="20" t="n"/>
      <c r="B8" s="20" t="n"/>
      <c r="C8" s="20" t="n"/>
      <c r="D8" s="20" t="n"/>
      <c r="I8" s="21" t="n"/>
      <c r="J8" s="22" t="n"/>
      <c r="K8" s="22" t="n"/>
      <c r="L8" s="22" t="n"/>
      <c r="M8" s="23" t="n"/>
      <c r="N8" s="24" t="n"/>
      <c r="O8" s="24" t="n"/>
      <c r="P8" s="24" t="n"/>
      <c r="Q8" s="24" t="n"/>
      <c r="R8" s="24" t="n"/>
      <c r="S8" s="24" t="n"/>
      <c r="T8" s="24" t="n"/>
      <c r="U8" s="25" t="n"/>
      <c r="V8" s="25" t="n"/>
      <c r="AP8" s="17" t="n">
        <f aca="false" ca="false" dt2D="false" dtr="false" t="normal">P14-AP9</f>
        <v>460498552.8673872</v>
      </c>
    </row>
    <row customFormat="true" customHeight="true" ht="14.25" outlineLevel="0" r="9" s="26">
      <c r="A9" s="27" t="s">
        <v>7</v>
      </c>
      <c r="B9" s="27" t="s">
        <v>7</v>
      </c>
      <c r="C9" s="28" t="s">
        <v>8</v>
      </c>
      <c r="D9" s="28" t="s">
        <v>9</v>
      </c>
      <c r="E9" s="29" t="s">
        <v>10</v>
      </c>
      <c r="F9" s="30" t="s"/>
      <c r="G9" s="28" t="s">
        <v>11</v>
      </c>
      <c r="H9" s="28" t="s">
        <v>12</v>
      </c>
      <c r="I9" s="31" t="s">
        <v>13</v>
      </c>
      <c r="J9" s="32" t="s">
        <v>14</v>
      </c>
      <c r="K9" s="32" t="s">
        <v>15</v>
      </c>
      <c r="L9" s="33" t="s"/>
      <c r="M9" s="34" t="s">
        <v>16</v>
      </c>
      <c r="N9" s="35" t="s">
        <v>17</v>
      </c>
      <c r="O9" s="36" t="s"/>
      <c r="P9" s="36" t="s"/>
      <c r="Q9" s="36" t="s"/>
      <c r="R9" s="36" t="s"/>
      <c r="S9" s="36" t="s"/>
      <c r="T9" s="37" t="s"/>
      <c r="U9" s="35" t="s">
        <v>18</v>
      </c>
      <c r="V9" s="35" t="s">
        <v>19</v>
      </c>
      <c r="W9" s="28" t="s">
        <v>20</v>
      </c>
      <c r="X9" s="26" t="n">
        <v>540274945.176427</v>
      </c>
      <c r="Z9" s="35" t="s">
        <v>21</v>
      </c>
      <c r="AA9" s="35" t="s">
        <v>22</v>
      </c>
      <c r="AB9" s="36" t="s"/>
      <c r="AC9" s="36" t="s"/>
      <c r="AD9" s="36" t="s"/>
      <c r="AE9" s="36" t="s"/>
      <c r="AF9" s="36" t="s"/>
      <c r="AG9" s="36" t="s"/>
      <c r="AH9" s="36" t="s"/>
      <c r="AI9" s="36" t="s"/>
      <c r="AJ9" s="36" t="s"/>
      <c r="AK9" s="36" t="s"/>
      <c r="AL9" s="36" t="s"/>
      <c r="AM9" s="36" t="s"/>
      <c r="AN9" s="36" t="s"/>
      <c r="AO9" s="37" t="s"/>
      <c r="AP9" s="38" t="n">
        <f aca="false" ca="false" dt2D="false" dtr="false" t="normal">P29+P33+P41+P43+P54</f>
        <v>82404427.54996201</v>
      </c>
      <c r="AR9" s="39" t="n"/>
      <c r="AS9" s="39" t="n"/>
      <c r="AW9" s="35" t="s">
        <v>21</v>
      </c>
      <c r="AX9" s="35" t="s">
        <v>23</v>
      </c>
      <c r="AY9" s="36" t="s"/>
      <c r="AZ9" s="36" t="s"/>
      <c r="BA9" s="36" t="s"/>
      <c r="BB9" s="36" t="s"/>
      <c r="BC9" s="36" t="s"/>
      <c r="BD9" s="36" t="s"/>
      <c r="BE9" s="36" t="s"/>
      <c r="BF9" s="36" t="s"/>
      <c r="BG9" s="36" t="s"/>
      <c r="BH9" s="36" t="s"/>
      <c r="BI9" s="36" t="s"/>
      <c r="BJ9" s="36" t="s"/>
      <c r="BK9" s="36" t="s"/>
      <c r="BL9" s="37" t="s"/>
      <c r="BM9" s="40" t="s">
        <v>21</v>
      </c>
      <c r="BN9" s="35" t="s">
        <v>23</v>
      </c>
      <c r="BO9" s="36" t="s"/>
      <c r="BP9" s="36" t="s"/>
      <c r="BQ9" s="36" t="s"/>
      <c r="BR9" s="36" t="s"/>
      <c r="BS9" s="36" t="s"/>
      <c r="BT9" s="36" t="s"/>
      <c r="BU9" s="36" t="s"/>
      <c r="BV9" s="36" t="s"/>
      <c r="BW9" s="36" t="s"/>
      <c r="BX9" s="36" t="s"/>
      <c r="BY9" s="36" t="s"/>
      <c r="BZ9" s="36" t="s"/>
      <c r="CA9" s="36" t="s"/>
      <c r="CB9" s="37" t="s"/>
      <c r="CD9" s="41" t="s">
        <v>7</v>
      </c>
      <c r="CE9" s="41" t="s">
        <v>7</v>
      </c>
      <c r="CF9" s="29" t="s">
        <v>8</v>
      </c>
      <c r="CG9" s="29" t="s">
        <v>9</v>
      </c>
      <c r="CH9" s="42" t="s">
        <v>21</v>
      </c>
      <c r="CI9" s="35" t="s">
        <v>23</v>
      </c>
      <c r="CJ9" s="36" t="s"/>
      <c r="CK9" s="36" t="s"/>
      <c r="CL9" s="36" t="s"/>
      <c r="CM9" s="36" t="s"/>
      <c r="CN9" s="36" t="s"/>
      <c r="CO9" s="36" t="s"/>
      <c r="CP9" s="36" t="s"/>
      <c r="CQ9" s="36" t="s"/>
      <c r="CR9" s="36" t="s"/>
      <c r="CS9" s="36" t="s"/>
      <c r="CT9" s="36" t="s"/>
      <c r="CU9" s="36" t="s"/>
      <c r="CV9" s="36" t="s"/>
      <c r="CW9" s="37" t="s"/>
      <c r="CZ9" s="29" t="s">
        <v>9</v>
      </c>
      <c r="DA9" s="42" t="s">
        <v>21</v>
      </c>
      <c r="DB9" s="43" t="s">
        <v>23</v>
      </c>
      <c r="DC9" s="44" t="n"/>
      <c r="DD9" s="44" t="n"/>
      <c r="DE9" s="44" t="n"/>
      <c r="DF9" s="44" t="n"/>
      <c r="DG9" s="44" t="n"/>
      <c r="DH9" s="44" t="n"/>
      <c r="DI9" s="44" t="n"/>
      <c r="DJ9" s="44" t="n"/>
      <c r="DK9" s="44" t="n"/>
      <c r="DL9" s="44" t="n"/>
      <c r="DM9" s="44" t="n"/>
      <c r="DN9" s="44" t="n"/>
      <c r="DO9" s="44" t="n"/>
      <c r="DP9" s="45" t="n"/>
    </row>
    <row customFormat="true" customHeight="true" ht="14.25" outlineLevel="0" r="10" s="26">
      <c r="A10" s="46" t="s"/>
      <c r="B10" s="46" t="s"/>
      <c r="C10" s="47" t="s"/>
      <c r="D10" s="47" t="s"/>
      <c r="E10" s="28" t="s">
        <v>24</v>
      </c>
      <c r="F10" s="28" t="s">
        <v>25</v>
      </c>
      <c r="G10" s="47" t="s"/>
      <c r="H10" s="47" t="s"/>
      <c r="I10" s="48" t="s"/>
      <c r="J10" s="49" t="s"/>
      <c r="K10" s="32" t="s">
        <v>26</v>
      </c>
      <c r="L10" s="32" t="s">
        <v>27</v>
      </c>
      <c r="M10" s="48" t="s"/>
      <c r="N10" s="50" t="s">
        <v>28</v>
      </c>
      <c r="O10" s="50" t="s">
        <v>29</v>
      </c>
      <c r="P10" s="51" t="s"/>
      <c r="Q10" s="51" t="s"/>
      <c r="R10" s="51" t="s"/>
      <c r="S10" s="51" t="s"/>
      <c r="T10" s="52" t="s"/>
      <c r="U10" s="53" t="s"/>
      <c r="V10" s="53" t="s"/>
      <c r="W10" s="47" t="s"/>
      <c r="X10" s="39" t="n">
        <f aca="false" ca="false" dt2D="false" dtr="false" t="normal">P14-X9</f>
        <v>2628035.2409222126</v>
      </c>
      <c r="Z10" s="53" t="s"/>
      <c r="AA10" s="35" t="s">
        <v>30</v>
      </c>
      <c r="AB10" s="36" t="s"/>
      <c r="AC10" s="36" t="s"/>
      <c r="AD10" s="36" t="s"/>
      <c r="AE10" s="36" t="s"/>
      <c r="AF10" s="36" t="s"/>
      <c r="AG10" s="37" t="s"/>
      <c r="AH10" s="35" t="s">
        <v>31</v>
      </c>
      <c r="AI10" s="35" t="s">
        <v>32</v>
      </c>
      <c r="AJ10" s="35" t="s">
        <v>33</v>
      </c>
      <c r="AK10" s="35" t="s">
        <v>34</v>
      </c>
      <c r="AL10" s="35" t="s">
        <v>35</v>
      </c>
      <c r="AM10" s="35" t="s">
        <v>36</v>
      </c>
      <c r="AN10" s="35" t="s">
        <v>37</v>
      </c>
      <c r="AO10" s="35" t="s">
        <v>38</v>
      </c>
      <c r="AP10" s="26" t="n">
        <v>540274945.176427</v>
      </c>
      <c r="AR10" s="39" t="n"/>
      <c r="AS10" s="39" t="n"/>
      <c r="AW10" s="53" t="s"/>
      <c r="AX10" s="35" t="s">
        <v>30</v>
      </c>
      <c r="AY10" s="36" t="s"/>
      <c r="AZ10" s="36" t="s"/>
      <c r="BA10" s="36" t="s"/>
      <c r="BB10" s="36" t="s"/>
      <c r="BC10" s="36" t="s"/>
      <c r="BD10" s="37" t="s"/>
      <c r="BE10" s="35" t="s">
        <v>31</v>
      </c>
      <c r="BF10" s="35" t="s">
        <v>32</v>
      </c>
      <c r="BG10" s="35" t="s">
        <v>33</v>
      </c>
      <c r="BH10" s="35" t="s">
        <v>39</v>
      </c>
      <c r="BI10" s="35" t="s">
        <v>35</v>
      </c>
      <c r="BJ10" s="35" t="s">
        <v>40</v>
      </c>
      <c r="BK10" s="35" t="s">
        <v>37</v>
      </c>
      <c r="BL10" s="35" t="s">
        <v>38</v>
      </c>
      <c r="BM10" s="54" t="s"/>
      <c r="BN10" s="55" t="s">
        <v>30</v>
      </c>
      <c r="BO10" s="56" t="s"/>
      <c r="BP10" s="56" t="s"/>
      <c r="BQ10" s="56" t="s"/>
      <c r="BR10" s="56" t="s"/>
      <c r="BS10" s="56" t="s"/>
      <c r="BT10" s="57" t="s"/>
      <c r="BU10" s="40" t="s">
        <v>31</v>
      </c>
      <c r="BV10" s="40" t="s">
        <v>32</v>
      </c>
      <c r="BW10" s="40" t="s">
        <v>33</v>
      </c>
      <c r="BX10" s="40" t="s">
        <v>39</v>
      </c>
      <c r="BY10" s="40" t="s">
        <v>35</v>
      </c>
      <c r="BZ10" s="35" t="s">
        <v>40</v>
      </c>
      <c r="CA10" s="35" t="s">
        <v>37</v>
      </c>
      <c r="CB10" s="35" t="s">
        <v>38</v>
      </c>
      <c r="CD10" s="46" t="s"/>
      <c r="CE10" s="46" t="s"/>
      <c r="CF10" s="47" t="s"/>
      <c r="CG10" s="47" t="s"/>
      <c r="CH10" s="58" t="s"/>
      <c r="CI10" s="59" t="s">
        <v>30</v>
      </c>
      <c r="CJ10" s="60" t="s"/>
      <c r="CK10" s="60" t="s"/>
      <c r="CL10" s="60" t="s"/>
      <c r="CM10" s="60" t="s"/>
      <c r="CN10" s="60" t="s"/>
      <c r="CO10" s="61" t="s"/>
      <c r="CP10" s="35" t="s">
        <v>31</v>
      </c>
      <c r="CQ10" s="35" t="s">
        <v>32</v>
      </c>
      <c r="CR10" s="35" t="s">
        <v>33</v>
      </c>
      <c r="CS10" s="35" t="s">
        <v>39</v>
      </c>
      <c r="CT10" s="35" t="s">
        <v>35</v>
      </c>
      <c r="CU10" s="35" t="s">
        <v>40</v>
      </c>
      <c r="CV10" s="35" t="s">
        <v>37</v>
      </c>
      <c r="CW10" s="35" t="s">
        <v>38</v>
      </c>
      <c r="CZ10" s="47" t="s"/>
      <c r="DA10" s="58" t="s"/>
      <c r="DB10" s="59" t="s">
        <v>30</v>
      </c>
      <c r="DC10" s="60" t="s"/>
      <c r="DD10" s="60" t="s"/>
      <c r="DE10" s="60" t="s"/>
      <c r="DF10" s="60" t="s"/>
      <c r="DG10" s="60" t="s"/>
      <c r="DH10" s="61" t="s"/>
      <c r="DI10" s="35" t="s">
        <v>31</v>
      </c>
      <c r="DJ10" s="35" t="s">
        <v>32</v>
      </c>
      <c r="DK10" s="35" t="s">
        <v>33</v>
      </c>
      <c r="DL10" s="35" t="s">
        <v>39</v>
      </c>
      <c r="DM10" s="35" t="s">
        <v>35</v>
      </c>
      <c r="DN10" s="35" t="s">
        <v>40</v>
      </c>
      <c r="DO10" s="35" t="s">
        <v>37</v>
      </c>
      <c r="DP10" s="35" t="s">
        <v>38</v>
      </c>
    </row>
    <row customFormat="true" customHeight="true" ht="78.75" outlineLevel="0" r="11" s="26">
      <c r="A11" s="46" t="s"/>
      <c r="B11" s="46" t="s"/>
      <c r="C11" s="47" t="s"/>
      <c r="D11" s="47" t="s"/>
      <c r="E11" s="47" t="s"/>
      <c r="F11" s="47" t="s"/>
      <c r="G11" s="47" t="s"/>
      <c r="H11" s="47" t="s"/>
      <c r="I11" s="48" t="s"/>
      <c r="J11" s="62" t="s"/>
      <c r="K11" s="62" t="s"/>
      <c r="L11" s="62" t="s"/>
      <c r="M11" s="63" t="s"/>
      <c r="N11" s="64" t="s"/>
      <c r="O11" s="35" t="s">
        <v>41</v>
      </c>
      <c r="P11" s="35" t="s">
        <v>42</v>
      </c>
      <c r="Q11" s="35" t="s">
        <v>43</v>
      </c>
      <c r="R11" s="35" t="s">
        <v>44</v>
      </c>
      <c r="S11" s="35" t="s">
        <v>45</v>
      </c>
      <c r="T11" s="35" t="s">
        <v>46</v>
      </c>
      <c r="U11" s="64" t="s"/>
      <c r="V11" s="64" t="s"/>
      <c r="W11" s="47" t="s"/>
      <c r="Z11" s="64" t="s"/>
      <c r="AA11" s="35" t="s">
        <v>47</v>
      </c>
      <c r="AB11" s="35" t="s">
        <v>48</v>
      </c>
      <c r="AC11" s="35" t="s">
        <v>49</v>
      </c>
      <c r="AD11" s="35" t="s">
        <v>50</v>
      </c>
      <c r="AE11" s="35" t="s">
        <v>51</v>
      </c>
      <c r="AF11" s="35" t="s">
        <v>52</v>
      </c>
      <c r="AG11" s="35" t="s">
        <v>53</v>
      </c>
      <c r="AH11" s="64" t="s"/>
      <c r="AI11" s="64" t="s"/>
      <c r="AJ11" s="64" t="s"/>
      <c r="AK11" s="64" t="s"/>
      <c r="AL11" s="64" t="s"/>
      <c r="AM11" s="64" t="s"/>
      <c r="AN11" s="64" t="s"/>
      <c r="AO11" s="64" t="s"/>
      <c r="AP11" s="39" t="e">
        <f aca="false" ca="false" dt2D="false" dtr="false" t="normal">AP10-(P14+#REF!)</f>
        <v>#REF!</v>
      </c>
      <c r="AQ11" s="26" t="s">
        <v>54</v>
      </c>
      <c r="AR11" s="39" t="s">
        <v>55</v>
      </c>
      <c r="AS11" s="39" t="s">
        <v>56</v>
      </c>
      <c r="AW11" s="64" t="s"/>
      <c r="AX11" s="35" t="s">
        <v>47</v>
      </c>
      <c r="AY11" s="35" t="s">
        <v>48</v>
      </c>
      <c r="AZ11" s="35" t="s">
        <v>49</v>
      </c>
      <c r="BA11" s="35" t="s">
        <v>50</v>
      </c>
      <c r="BB11" s="35" t="s">
        <v>51</v>
      </c>
      <c r="BC11" s="35" t="s">
        <v>52</v>
      </c>
      <c r="BD11" s="35" t="s">
        <v>53</v>
      </c>
      <c r="BE11" s="64" t="s"/>
      <c r="BF11" s="64" t="s"/>
      <c r="BG11" s="64" t="s"/>
      <c r="BH11" s="64" t="s"/>
      <c r="BI11" s="64" t="s"/>
      <c r="BJ11" s="64" t="s"/>
      <c r="BK11" s="64" t="s"/>
      <c r="BL11" s="64" t="s"/>
      <c r="BM11" s="65" t="s"/>
      <c r="BN11" s="40" t="s">
        <v>47</v>
      </c>
      <c r="BO11" s="40" t="s">
        <v>57</v>
      </c>
      <c r="BP11" s="40" t="s">
        <v>49</v>
      </c>
      <c r="BQ11" s="40" t="s">
        <v>50</v>
      </c>
      <c r="BR11" s="40" t="s">
        <v>51</v>
      </c>
      <c r="BS11" s="40" t="s">
        <v>52</v>
      </c>
      <c r="BT11" s="40" t="s">
        <v>53</v>
      </c>
      <c r="BU11" s="65" t="s"/>
      <c r="BV11" s="65" t="s"/>
      <c r="BW11" s="65" t="s"/>
      <c r="BX11" s="65" t="s"/>
      <c r="BY11" s="65" t="s"/>
      <c r="BZ11" s="64" t="s"/>
      <c r="CA11" s="64" t="s"/>
      <c r="CB11" s="64" t="s"/>
      <c r="CD11" s="46" t="s"/>
      <c r="CE11" s="46" t="s"/>
      <c r="CF11" s="47" t="s"/>
      <c r="CG11" s="47" t="s"/>
      <c r="CH11" s="66" t="s"/>
      <c r="CI11" s="35" t="s">
        <v>47</v>
      </c>
      <c r="CJ11" s="35" t="s">
        <v>57</v>
      </c>
      <c r="CK11" s="35" t="s">
        <v>49</v>
      </c>
      <c r="CL11" s="35" t="s">
        <v>50</v>
      </c>
      <c r="CM11" s="35" t="s">
        <v>51</v>
      </c>
      <c r="CN11" s="35" t="s">
        <v>52</v>
      </c>
      <c r="CO11" s="35" t="s">
        <v>53</v>
      </c>
      <c r="CP11" s="64" t="s"/>
      <c r="CQ11" s="64" t="s"/>
      <c r="CR11" s="64" t="s"/>
      <c r="CS11" s="64" t="s"/>
      <c r="CT11" s="64" t="s"/>
      <c r="CU11" s="64" t="s"/>
      <c r="CV11" s="64" t="s"/>
      <c r="CW11" s="64" t="s"/>
      <c r="CZ11" s="47" t="s"/>
      <c r="DA11" s="66" t="s"/>
      <c r="DB11" s="35" t="s">
        <v>47</v>
      </c>
      <c r="DC11" s="35" t="s">
        <v>57</v>
      </c>
      <c r="DD11" s="35" t="s">
        <v>49</v>
      </c>
      <c r="DE11" s="35" t="s">
        <v>50</v>
      </c>
      <c r="DF11" s="35" t="s">
        <v>51</v>
      </c>
      <c r="DG11" s="35" t="s">
        <v>52</v>
      </c>
      <c r="DH11" s="35" t="s">
        <v>53</v>
      </c>
      <c r="DI11" s="64" t="s"/>
      <c r="DJ11" s="64" t="s"/>
      <c r="DK11" s="64" t="s"/>
      <c r="DL11" s="64" t="s"/>
      <c r="DM11" s="64" t="s"/>
      <c r="DN11" s="64" t="s"/>
      <c r="DO11" s="64" t="s"/>
      <c r="DP11" s="64" t="s"/>
    </row>
    <row customFormat="true" ht="14.25" outlineLevel="0" r="12" s="26">
      <c r="A12" s="67" t="s"/>
      <c r="B12" s="67" t="s"/>
      <c r="C12" s="68" t="s"/>
      <c r="D12" s="68" t="s"/>
      <c r="E12" s="68" t="s"/>
      <c r="F12" s="68" t="s"/>
      <c r="G12" s="68" t="s"/>
      <c r="H12" s="68" t="s"/>
      <c r="I12" s="69" t="s"/>
      <c r="J12" s="70" t="s">
        <v>58</v>
      </c>
      <c r="K12" s="70" t="s">
        <v>58</v>
      </c>
      <c r="L12" s="70" t="s">
        <v>58</v>
      </c>
      <c r="M12" s="31" t="s">
        <v>59</v>
      </c>
      <c r="N12" s="71" t="s">
        <v>60</v>
      </c>
      <c r="O12" s="71" t="s">
        <v>60</v>
      </c>
      <c r="P12" s="71" t="n"/>
      <c r="Q12" s="71" t="s">
        <v>60</v>
      </c>
      <c r="R12" s="71" t="s">
        <v>60</v>
      </c>
      <c r="S12" s="71" t="s">
        <v>60</v>
      </c>
      <c r="T12" s="71" t="n"/>
      <c r="U12" s="71" t="s">
        <v>61</v>
      </c>
      <c r="V12" s="71" t="s">
        <v>61</v>
      </c>
      <c r="W12" s="68" t="s"/>
      <c r="Z12" s="71" t="s">
        <v>60</v>
      </c>
      <c r="AA12" s="71" t="s">
        <v>60</v>
      </c>
      <c r="AB12" s="71" t="s">
        <v>60</v>
      </c>
      <c r="AC12" s="71" t="s">
        <v>60</v>
      </c>
      <c r="AD12" s="71" t="s">
        <v>60</v>
      </c>
      <c r="AE12" s="71" t="s">
        <v>60</v>
      </c>
      <c r="AF12" s="71" t="s">
        <v>60</v>
      </c>
      <c r="AG12" s="71" t="s">
        <v>60</v>
      </c>
      <c r="AH12" s="71" t="s">
        <v>60</v>
      </c>
      <c r="AI12" s="71" t="s">
        <v>60</v>
      </c>
      <c r="AJ12" s="71" t="s">
        <v>60</v>
      </c>
      <c r="AK12" s="71" t="s">
        <v>60</v>
      </c>
      <c r="AL12" s="71" t="s">
        <v>60</v>
      </c>
      <c r="AM12" s="71" t="s">
        <v>60</v>
      </c>
      <c r="AN12" s="71" t="s">
        <v>60</v>
      </c>
      <c r="AO12" s="71" t="s">
        <v>60</v>
      </c>
      <c r="AR12" s="39" t="n"/>
      <c r="AS12" s="39" t="n"/>
      <c r="AW12" s="35" t="s">
        <v>60</v>
      </c>
      <c r="AX12" s="35" t="s">
        <v>60</v>
      </c>
      <c r="AY12" s="35" t="s">
        <v>60</v>
      </c>
      <c r="AZ12" s="35" t="s">
        <v>60</v>
      </c>
      <c r="BA12" s="35" t="s">
        <v>60</v>
      </c>
      <c r="BB12" s="35" t="s">
        <v>60</v>
      </c>
      <c r="BC12" s="35" t="s">
        <v>60</v>
      </c>
      <c r="BD12" s="35" t="s">
        <v>60</v>
      </c>
      <c r="BE12" s="35" t="s">
        <v>60</v>
      </c>
      <c r="BF12" s="35" t="s">
        <v>60</v>
      </c>
      <c r="BG12" s="35" t="s">
        <v>60</v>
      </c>
      <c r="BH12" s="35" t="s">
        <v>60</v>
      </c>
      <c r="BI12" s="35" t="s">
        <v>60</v>
      </c>
      <c r="BJ12" s="35" t="s">
        <v>60</v>
      </c>
      <c r="BK12" s="35" t="s">
        <v>60</v>
      </c>
      <c r="BL12" s="35" t="s">
        <v>60</v>
      </c>
      <c r="BM12" s="40" t="s">
        <v>60</v>
      </c>
      <c r="BN12" s="35" t="s">
        <v>60</v>
      </c>
      <c r="BO12" s="35" t="s">
        <v>60</v>
      </c>
      <c r="BP12" s="35" t="s">
        <v>60</v>
      </c>
      <c r="BQ12" s="35" t="s">
        <v>60</v>
      </c>
      <c r="BR12" s="35" t="s">
        <v>60</v>
      </c>
      <c r="BS12" s="35" t="s">
        <v>60</v>
      </c>
      <c r="BT12" s="35" t="s">
        <v>60</v>
      </c>
      <c r="BU12" s="35" t="s">
        <v>60</v>
      </c>
      <c r="BV12" s="35" t="s">
        <v>60</v>
      </c>
      <c r="BW12" s="35" t="s">
        <v>60</v>
      </c>
      <c r="BX12" s="35" t="s">
        <v>60</v>
      </c>
      <c r="BY12" s="35" t="s">
        <v>60</v>
      </c>
      <c r="BZ12" s="35" t="s">
        <v>60</v>
      </c>
      <c r="CA12" s="35" t="s">
        <v>60</v>
      </c>
      <c r="CB12" s="35" t="s">
        <v>60</v>
      </c>
      <c r="CD12" s="72" t="s"/>
      <c r="CE12" s="72" t="s"/>
      <c r="CF12" s="73" t="s"/>
      <c r="CG12" s="73" t="s"/>
      <c r="CH12" s="42" t="s">
        <v>60</v>
      </c>
      <c r="CI12" s="35" t="s">
        <v>60</v>
      </c>
      <c r="CJ12" s="35" t="s">
        <v>60</v>
      </c>
      <c r="CK12" s="35" t="s">
        <v>60</v>
      </c>
      <c r="CL12" s="35" t="s">
        <v>60</v>
      </c>
      <c r="CM12" s="35" t="s">
        <v>60</v>
      </c>
      <c r="CN12" s="35" t="s">
        <v>60</v>
      </c>
      <c r="CO12" s="35" t="s">
        <v>60</v>
      </c>
      <c r="CP12" s="35" t="s">
        <v>60</v>
      </c>
      <c r="CQ12" s="35" t="s">
        <v>60</v>
      </c>
      <c r="CR12" s="35" t="s">
        <v>60</v>
      </c>
      <c r="CS12" s="35" t="s">
        <v>60</v>
      </c>
      <c r="CT12" s="35" t="s">
        <v>60</v>
      </c>
      <c r="CU12" s="35" t="s">
        <v>60</v>
      </c>
      <c r="CV12" s="35" t="s">
        <v>60</v>
      </c>
      <c r="CW12" s="35" t="s">
        <v>60</v>
      </c>
      <c r="CZ12" s="73" t="s"/>
      <c r="DA12" s="42" t="s">
        <v>60</v>
      </c>
      <c r="DB12" s="35" t="s">
        <v>60</v>
      </c>
      <c r="DC12" s="35" t="s">
        <v>60</v>
      </c>
      <c r="DD12" s="35" t="s">
        <v>60</v>
      </c>
      <c r="DE12" s="35" t="s">
        <v>60</v>
      </c>
      <c r="DF12" s="35" t="s">
        <v>60</v>
      </c>
      <c r="DG12" s="35" t="s">
        <v>60</v>
      </c>
      <c r="DH12" s="35" t="s">
        <v>60</v>
      </c>
      <c r="DI12" s="35" t="s">
        <v>60</v>
      </c>
      <c r="DJ12" s="35" t="s">
        <v>60</v>
      </c>
      <c r="DK12" s="35" t="s">
        <v>60</v>
      </c>
      <c r="DL12" s="35" t="s">
        <v>60</v>
      </c>
      <c r="DM12" s="35" t="s">
        <v>60</v>
      </c>
      <c r="DN12" s="35" t="s">
        <v>60</v>
      </c>
      <c r="DO12" s="35" t="s">
        <v>60</v>
      </c>
      <c r="DP12" s="35" t="s">
        <v>60</v>
      </c>
    </row>
    <row customFormat="true" customHeight="true" hidden="false" ht="15" outlineLevel="0" r="13" s="74">
      <c r="A13" s="75" t="n"/>
      <c r="B13" s="76" t="n"/>
      <c r="C13" s="77" t="n"/>
      <c r="D13" s="78" t="s">
        <v>62</v>
      </c>
      <c r="E13" s="79" t="n"/>
      <c r="F13" s="78" t="n"/>
      <c r="G13" s="80" t="n"/>
      <c r="H13" s="80" t="n"/>
      <c r="I13" s="81" t="n"/>
      <c r="J13" s="82" t="n"/>
      <c r="K13" s="83" t="n"/>
      <c r="L13" s="83" t="n"/>
      <c r="M13" s="84" t="n"/>
      <c r="N13" s="85" t="n">
        <f aca="false" ca="false" dt2D="false" dtr="false" t="normal">N14+N206+N481</f>
        <v>7945379375.544087</v>
      </c>
      <c r="O13" s="85" t="n">
        <f aca="false" ca="false" dt2D="false" dtr="false" t="normal">O14+O206+O481</f>
        <v>0</v>
      </c>
      <c r="P13" s="85" t="n">
        <f aca="false" ca="false" dt2D="false" dtr="false" t="normal">P14+P206+P481</f>
        <v>1737642119.0193052</v>
      </c>
      <c r="Q13" s="85" t="n">
        <f aca="false" ca="false" dt2D="false" dtr="false" t="normal">Q14+Q206+Q481</f>
        <v>114857475.85999998</v>
      </c>
      <c r="R13" s="85" t="n">
        <f aca="false" ca="false" dt2D="false" dtr="false" t="normal">R14+R206+R481</f>
        <v>1130490437.7158356</v>
      </c>
      <c r="S13" s="85" t="n">
        <f aca="false" ca="false" dt2D="false" dtr="false" t="normal">S14+S206+S481</f>
        <v>3582822933.593519</v>
      </c>
      <c r="T13" s="85" t="n">
        <f aca="false" ca="false" dt2D="false" dtr="false" t="normal">T14+T206+T481</f>
        <v>1379566409.3554277</v>
      </c>
      <c r="U13" s="86" t="n"/>
      <c r="V13" s="86" t="n"/>
      <c r="W13" s="80" t="n"/>
      <c r="Z13" s="86" t="n"/>
      <c r="AA13" s="86" t="n"/>
      <c r="AB13" s="86" t="n"/>
      <c r="AC13" s="86" t="n"/>
      <c r="AD13" s="86" t="n"/>
      <c r="AE13" s="86" t="n"/>
      <c r="AF13" s="86" t="n"/>
      <c r="AG13" s="86" t="n"/>
      <c r="AH13" s="86" t="n"/>
      <c r="AI13" s="86" t="n"/>
      <c r="AJ13" s="86" t="n"/>
      <c r="AK13" s="86" t="n"/>
      <c r="AL13" s="86" t="n"/>
      <c r="AM13" s="86" t="n"/>
      <c r="AN13" s="86" t="n"/>
      <c r="AO13" s="86" t="n"/>
      <c r="AR13" s="87" t="n"/>
      <c r="AS13" s="87" t="n"/>
      <c r="AW13" s="88" t="n">
        <f aca="false" ca="false" dt2D="false" dtr="false" t="normal">+AW14+AW207+AW481</f>
        <v>9270669124.167366</v>
      </c>
      <c r="AX13" s="88" t="n">
        <f aca="false" ca="false" dt2D="false" dtr="false" t="normal">+AX14+AX207+AX481</f>
        <v>1608320616.8924248</v>
      </c>
      <c r="AY13" s="88" t="n">
        <f aca="false" ca="false" dt2D="false" dtr="false" t="normal">+AY14+AY207+AY481</f>
        <v>512784283.8631772</v>
      </c>
      <c r="AZ13" s="88" t="n">
        <f aca="false" ca="false" dt2D="false" dtr="false" t="normal">+AZ14+AZ207+AZ481</f>
        <v>667609563.5062947</v>
      </c>
      <c r="BA13" s="88" t="n">
        <f aca="false" ca="false" dt2D="false" dtr="false" t="normal">+BA14+BA207+BA481</f>
        <v>444729255.68623793</v>
      </c>
      <c r="BB13" s="88" t="n">
        <f aca="false" ca="false" dt2D="false" dtr="false" t="normal">+BB14+BB207+BB481</f>
        <v>111866285.10650189</v>
      </c>
      <c r="BC13" s="88" t="n">
        <f aca="false" ca="false" dt2D="false" dtr="false" t="normal">+BC14+BC207+BC481</f>
        <v>0</v>
      </c>
      <c r="BD13" s="88" t="n">
        <f aca="false" ca="false" dt2D="false" dtr="false" t="normal">+BD14+BD207+BD481</f>
        <v>45633246.80875118</v>
      </c>
      <c r="BE13" s="88" t="n">
        <f aca="false" ca="false" dt2D="false" dtr="false" t="normal">+BE14+BE207+BE481</f>
        <v>308673638.26219696</v>
      </c>
      <c r="BF13" s="88" t="n">
        <f aca="false" ca="false" dt2D="false" dtr="false" t="normal">+BF14+BF207+BF481</f>
        <v>1665430367.5077806</v>
      </c>
      <c r="BG13" s="88" t="n">
        <f aca="false" ca="false" dt2D="false" dtr="false" t="normal">+BG14+BG207+BG481</f>
        <v>264465060.96356666</v>
      </c>
      <c r="BH13" s="88" t="n">
        <f aca="false" ca="false" dt2D="false" dtr="false" t="normal">+BH14+BH207+BH481</f>
        <v>2056155819.3445733</v>
      </c>
      <c r="BI13" s="88" t="n">
        <f aca="false" ca="false" dt2D="false" dtr="false" t="normal">+BI14+BI207+BI481</f>
        <v>955488108.4731617</v>
      </c>
      <c r="BJ13" s="88" t="n">
        <f aca="false" ca="false" dt2D="false" dtr="false" t="normal">+BJ14+BJ207+BJ481</f>
        <v>187783167.4243684</v>
      </c>
      <c r="BK13" s="88" t="n">
        <f aca="false" ca="false" dt2D="false" dtr="false" t="normal">+BK14+BK207+BK481</f>
        <v>19490362.32413538</v>
      </c>
      <c r="BL13" s="88" t="n">
        <f aca="false" ca="false" dt2D="false" dtr="false" t="normal">+BL14+BL207+BL481</f>
        <v>270383221.3641943</v>
      </c>
      <c r="BM13" s="89" t="n">
        <f aca="false" ca="false" dt2D="false" dtr="false" t="normal">+BM14+BM207+BM481</f>
        <v>8862591430.179201</v>
      </c>
      <c r="BN13" s="88" t="n">
        <f aca="false" ca="false" dt2D="false" dtr="false" t="normal">+BN14+BN207+BN481</f>
        <v>1544777127.8784256</v>
      </c>
      <c r="BO13" s="88" t="n">
        <f aca="false" ca="false" dt2D="false" dtr="false" t="normal">+BO14+BO207+BO481</f>
        <v>490777566.907457</v>
      </c>
      <c r="BP13" s="88" t="n">
        <f aca="false" ca="false" dt2D="false" dtr="false" t="normal">+BP14+BP207+BP481</f>
        <v>633896346.566849</v>
      </c>
      <c r="BQ13" s="88" t="n">
        <f aca="false" ca="false" dt2D="false" dtr="false" t="normal">+BQ14+BQ207+BQ481</f>
        <v>432117442.64764214</v>
      </c>
      <c r="BR13" s="88" t="n">
        <f aca="false" ca="false" dt2D="false" dtr="false" t="normal">+BR14+BR207+BR481</f>
        <v>111677801.33196488</v>
      </c>
      <c r="BS13" s="88" t="n">
        <f aca="false" ca="false" dt2D="false" dtr="false" t="normal">+BS14+BS207+BS481</f>
        <v>0</v>
      </c>
      <c r="BT13" s="88" t="n">
        <f aca="false" ca="false" dt2D="false" dtr="false" t="normal">+BT14+BT207+BT481</f>
        <v>45745900.60968626</v>
      </c>
      <c r="BU13" s="88" t="n">
        <f aca="false" ca="false" dt2D="false" dtr="false" t="normal">+BU14+BU207+BU481</f>
        <v>308673638.27219695</v>
      </c>
      <c r="BV13" s="88" t="n">
        <f aca="false" ca="false" dt2D="false" dtr="false" t="normal">+BV14+BV207+BV481</f>
        <v>1509245351.328729</v>
      </c>
      <c r="BW13" s="88" t="n">
        <f aca="false" ca="false" dt2D="false" dtr="false" t="normal">+BW14+BW207+BW481</f>
        <v>262612808.9035667</v>
      </c>
      <c r="BX13" s="88" t="n">
        <f aca="false" ca="false" dt2D="false" dtr="false" t="normal">+BX14+BX207+BX481</f>
        <v>1996966105.8075833</v>
      </c>
      <c r="BY13" s="88" t="n">
        <f aca="false" ca="false" dt2D="false" dtr="false" t="normal">+BY14+BY207+BY481</f>
        <v>896407399.5861235</v>
      </c>
      <c r="BZ13" s="88" t="n">
        <f aca="false" ca="false" dt2D="false" dtr="false" t="normal">+BZ14+BZ207+BZ481</f>
        <v>187955396.44436842</v>
      </c>
      <c r="CA13" s="88" t="n">
        <f aca="false" ca="false" dt2D="false" dtr="false" t="normal">+CA14+CA207+CA481</f>
        <v>19490362.32413538</v>
      </c>
      <c r="CB13" s="88" t="n">
        <f aca="false" ca="false" dt2D="false" dtr="false" t="normal">+CB14+CB207+CB481</f>
        <v>270392054.9304746</v>
      </c>
      <c r="CC13" s="26" t="n"/>
      <c r="CD13" s="76" t="n"/>
      <c r="CE13" s="76" t="n"/>
      <c r="CF13" s="77" t="n"/>
      <c r="CG13" s="77" t="s">
        <v>62</v>
      </c>
      <c r="CH13" s="90" t="n">
        <f aca="false" ca="false" dt2D="false" dtr="false" t="normal">+CH14+CH206+CH481</f>
        <v>8193338394.841217</v>
      </c>
      <c r="CI13" s="88" t="n">
        <f aca="false" ca="false" dt2D="false" dtr="false" t="normal">+CI14+CI206+CI481</f>
        <v>1448283313.0219998</v>
      </c>
      <c r="CJ13" s="88" t="n">
        <f aca="false" ca="false" dt2D="false" dtr="false" t="normal">+CJ14+CJ206+CJ481</f>
        <v>456480247.7699999</v>
      </c>
      <c r="CK13" s="88" t="n">
        <f aca="false" ca="false" dt2D="false" dtr="false" t="normal">+CK14+CK206+CK481</f>
        <v>552979361.1694402</v>
      </c>
      <c r="CL13" s="88" t="n">
        <f aca="false" ca="false" dt2D="false" dtr="false" t="normal">+CL14+CL206+CL481</f>
        <v>385032955.27</v>
      </c>
      <c r="CM13" s="88" t="n">
        <f aca="false" ca="false" dt2D="false" dtr="false" t="normal">+CM14+CM206+CM481</f>
        <v>115984666.40126199</v>
      </c>
      <c r="CN13" s="88" t="n">
        <f aca="false" ca="false" dt2D="false" dtr="false" t="normal">+CN14+CN206+CN481</f>
        <v>0</v>
      </c>
      <c r="CO13" s="88" t="n">
        <f aca="false" ca="false" dt2D="false" dtr="false" t="normal">+CO14+CO206+CO481</f>
        <v>1515829.2</v>
      </c>
      <c r="CP13" s="88" t="n">
        <f aca="false" ca="false" dt2D="false" dtr="false" t="normal">+CP14+CP206+CP481</f>
        <v>298117677.48</v>
      </c>
      <c r="CQ13" s="88" t="n">
        <f aca="false" ca="false" dt2D="false" dtr="false" t="normal">+CQ14+CQ206+CQ481</f>
        <v>1400218387.936101</v>
      </c>
      <c r="CR13" s="88" t="n">
        <f aca="false" ca="false" dt2D="false" dtr="false" t="normal">+CR14+CR206+CR481</f>
        <v>274800325.48</v>
      </c>
      <c r="CS13" s="88" t="n">
        <f aca="false" ca="false" dt2D="false" dtr="false" t="normal">+CS14+CS206+CS481</f>
        <v>2036489672.5200002</v>
      </c>
      <c r="CT13" s="88" t="n">
        <f aca="false" ca="false" dt2D="false" dtr="false" t="normal">+CT14+CT206+CT481</f>
        <v>702592463.81</v>
      </c>
      <c r="CU13" s="88" t="n">
        <f aca="false" ca="false" dt2D="false" dtr="false" t="normal">+CU14+CU206+CU481</f>
        <v>80282583.78627595</v>
      </c>
      <c r="CV13" s="88" t="n">
        <f aca="false" ca="false" dt2D="false" dtr="false" t="normal">+CV14+CV206+CV481</f>
        <v>7453077.3081604885</v>
      </c>
      <c r="CW13" s="88" t="n">
        <f aca="false" ca="false" dt2D="false" dtr="false" t="normal">+CW14+CW206+CW481</f>
        <v>285799148.64797896</v>
      </c>
      <c r="CX13" s="26" t="n"/>
      <c r="CY13" s="26" t="n"/>
      <c r="CZ13" s="77" t="s">
        <v>62</v>
      </c>
      <c r="DA13" s="90" t="n">
        <f aca="false" ca="false" dt2D="false" dtr="false" t="normal">+DA14+DA206+DA481</f>
        <v>7921571070.693535</v>
      </c>
      <c r="DB13" s="88" t="n">
        <f aca="false" ca="false" dt2D="false" dtr="false" t="normal">+DB14+DB206+DB481</f>
        <v>1448283313.0219998</v>
      </c>
      <c r="DC13" s="88" t="n">
        <f aca="false" ca="false" dt2D="false" dtr="false" t="normal">+DC14+DC206+DC481</f>
        <v>456480247.7699999</v>
      </c>
      <c r="DD13" s="88" t="n">
        <f aca="false" ca="false" dt2D="false" dtr="false" t="normal">+DD14+DD206+DD481</f>
        <v>552979361.1694402</v>
      </c>
      <c r="DE13" s="88" t="n">
        <f aca="false" ca="false" dt2D="false" dtr="false" t="normal">+DE14+DE206+DE481</f>
        <v>385032955.27</v>
      </c>
      <c r="DF13" s="88" t="n">
        <f aca="false" ca="false" dt2D="false" dtr="false" t="normal">+DF14+DF206+DF481</f>
        <v>115984666.40126199</v>
      </c>
      <c r="DG13" s="88" t="n">
        <f aca="false" ca="false" dt2D="false" dtr="false" t="normal">+DG14+DG206+DG481</f>
        <v>0</v>
      </c>
      <c r="DH13" s="88" t="n">
        <f aca="false" ca="false" dt2D="false" dtr="false" t="normal">+DH14+DH206+DH481</f>
        <v>1515829.2</v>
      </c>
      <c r="DI13" s="88" t="n">
        <f aca="false" ca="false" dt2D="false" dtr="false" t="normal">+DI14+DI206+DI481</f>
        <v>298117677.48</v>
      </c>
      <c r="DJ13" s="88" t="n">
        <f aca="false" ca="false" dt2D="false" dtr="false" t="normal">+DJ14+DJ206+DJ481</f>
        <v>1400218387.936101</v>
      </c>
      <c r="DK13" s="88" t="n">
        <f aca="false" ca="false" dt2D="false" dtr="false" t="normal">+DK14+DK206+DK481</f>
        <v>274800325.48</v>
      </c>
      <c r="DL13" s="88" t="n">
        <f aca="false" ca="false" dt2D="false" dtr="false" t="normal">+DL14+DL206+DL481</f>
        <v>2036489672.5200002</v>
      </c>
      <c r="DM13" s="88" t="n">
        <f aca="false" ca="false" dt2D="false" dtr="false" t="normal">+DM14+DM206+DM481</f>
        <v>702592463.81</v>
      </c>
      <c r="DN13" s="88" t="n">
        <f aca="false" ca="false" dt2D="false" dtr="false" t="normal">+DN14+DN206+DN481</f>
        <v>80282583.78627595</v>
      </c>
      <c r="DO13" s="88" t="n">
        <f aca="false" ca="false" dt2D="false" dtr="false" t="normal">+DO14+DO206+DO481</f>
        <v>7453077.3081604885</v>
      </c>
      <c r="DP13" s="88" t="n">
        <f aca="false" ca="false" dt2D="false" dtr="false" t="normal">+DP14+DP206+DP481</f>
        <v>14031824.500296887</v>
      </c>
      <c r="DQ13" s="26" t="n"/>
      <c r="DR13" s="26" t="n"/>
      <c r="DS13" s="26" t="n"/>
      <c r="DT13" s="26" t="n"/>
      <c r="DU13" s="26" t="n"/>
      <c r="DV13" s="26" t="n"/>
      <c r="DW13" s="26" t="n"/>
      <c r="DX13" s="26" t="n"/>
      <c r="DY13" s="26" t="n"/>
      <c r="DZ13" s="26" t="n"/>
      <c r="EA13" s="26" t="n"/>
      <c r="EB13" s="26" t="n"/>
      <c r="EC13" s="26" t="n"/>
      <c r="ED13" s="26" t="n"/>
      <c r="EE13" s="26" t="n"/>
      <c r="EF13" s="26" t="n"/>
      <c r="EG13" s="26" t="n"/>
      <c r="EH13" s="26" t="n"/>
      <c r="EI13" s="26" t="n"/>
      <c r="EJ13" s="26" t="n"/>
      <c r="EK13" s="26" t="n"/>
      <c r="EL13" s="26" t="n"/>
      <c r="EM13" s="26" t="n"/>
      <c r="EN13" s="26" t="n"/>
      <c r="EO13" s="26" t="n"/>
      <c r="EP13" s="26" t="n"/>
      <c r="EQ13" s="26" t="n"/>
      <c r="ER13" s="26" t="n"/>
      <c r="ES13" s="26" t="n"/>
    </row>
    <row customFormat="true" customHeight="true" hidden="false" ht="18.75" outlineLevel="0" r="14" s="91">
      <c r="A14" s="92" t="n"/>
      <c r="B14" s="93" t="n"/>
      <c r="C14" s="93" t="n"/>
      <c r="D14" s="93" t="s">
        <v>63</v>
      </c>
      <c r="E14" s="93" t="n"/>
      <c r="F14" s="93" t="n"/>
      <c r="G14" s="93" t="n"/>
      <c r="H14" s="93" t="n"/>
      <c r="I14" s="93" t="n"/>
      <c r="J14" s="94" t="n">
        <f aca="false" ca="false" dt2D="false" dtr="false" t="normal">SUM(J18:J205)</f>
        <v>737192.31</v>
      </c>
      <c r="K14" s="94" t="n">
        <f aca="false" ca="false" dt2D="false" dtr="false" t="normal">SUM(K18:K205)</f>
        <v>609716.5900000002</v>
      </c>
      <c r="L14" s="94" t="n">
        <f aca="false" ca="false" dt2D="false" dtr="false" t="normal">SUM(L18:L205)</f>
        <v>49272.189999999995</v>
      </c>
      <c r="M14" s="94" t="n">
        <f aca="false" ca="false" dt2D="false" dtr="false" t="normal">SUM(M18:M205)</f>
        <v>26756</v>
      </c>
      <c r="N14" s="85" t="n">
        <f aca="false" ca="false" dt2D="false" dtr="false" t="normal">N15+N16+N17</f>
        <v>1841171471.9894567</v>
      </c>
      <c r="O14" s="85" t="n">
        <f aca="false" ca="false" dt2D="false" dtr="false" t="normal">O15+O16+O17</f>
        <v>0</v>
      </c>
      <c r="P14" s="85" t="n">
        <f aca="false" ca="false" dt2D="false" dtr="false" t="normal">P15+P16+P17</f>
        <v>542902980.4173492</v>
      </c>
      <c r="Q14" s="85" t="n">
        <f aca="false" ca="false" dt2D="false" dtr="false" t="normal">Q15+Q16+Q17</f>
        <v>2000000</v>
      </c>
      <c r="R14" s="85" t="n">
        <f aca="false" ca="false" dt2D="false" dtr="false" t="normal">R15+R16+R17</f>
        <v>261070337.1034685</v>
      </c>
      <c r="S14" s="85" t="n">
        <f aca="false" ca="false" dt2D="false" dtr="false" t="normal">S15+S16+S17</f>
        <v>835237074.2210221</v>
      </c>
      <c r="T14" s="85" t="n">
        <f aca="false" ca="false" dt2D="false" dtr="false" t="normal">T15+T16+T17</f>
        <v>199961080.2476169</v>
      </c>
      <c r="U14" s="94" t="n"/>
      <c r="V14" s="94" t="n"/>
      <c r="W14" s="94" t="n"/>
      <c r="X14" s="94" t="e">
        <f aca="false" ca="false" dt2D="false" dtr="false" t="normal">+#REF!+#REF!+#REF!+#REF!+#REF!+#REF!</f>
        <v>#REF!</v>
      </c>
      <c r="Y14" s="94" t="e">
        <f aca="false" ca="false" dt2D="false" dtr="false" t="normal">+#REF!+#REF!+#REF!+#REF!+#REF!+#REF!</f>
        <v>#REF!</v>
      </c>
      <c r="Z14" s="94" t="e">
        <f aca="false" ca="false" dt2D="false" dtr="false" t="normal">+#REF!+#REF!+#REF!+#REF!+#REF!+#REF!</f>
        <v>#REF!</v>
      </c>
      <c r="AA14" s="94" t="e">
        <f aca="false" ca="false" dt2D="false" dtr="false" t="normal">+#REF!+#REF!+#REF!+#REF!+#REF!+#REF!</f>
        <v>#REF!</v>
      </c>
      <c r="AB14" s="94" t="e">
        <f aca="false" ca="false" dt2D="false" dtr="false" t="normal">+#REF!+#REF!+#REF!+#REF!+#REF!+#REF!</f>
        <v>#REF!</v>
      </c>
      <c r="AC14" s="94" t="e">
        <f aca="false" ca="false" dt2D="false" dtr="false" t="normal">+#REF!+#REF!+#REF!+#REF!+#REF!+#REF!</f>
        <v>#REF!</v>
      </c>
      <c r="AD14" s="94" t="e">
        <f aca="false" ca="false" dt2D="false" dtr="false" t="normal">+#REF!+#REF!+#REF!+#REF!+#REF!+#REF!</f>
        <v>#REF!</v>
      </c>
      <c r="AE14" s="94" t="e">
        <f aca="false" ca="false" dt2D="false" dtr="false" t="normal">+#REF!+#REF!+#REF!+#REF!+#REF!+#REF!</f>
        <v>#REF!</v>
      </c>
      <c r="AF14" s="94" t="e">
        <f aca="false" ca="false" dt2D="false" dtr="false" t="normal">+#REF!+#REF!+#REF!+#REF!+#REF!+#REF!</f>
        <v>#REF!</v>
      </c>
      <c r="AG14" s="94" t="e">
        <f aca="false" ca="false" dt2D="false" dtr="false" t="normal">+#REF!+#REF!+#REF!+#REF!+#REF!+#REF!</f>
        <v>#REF!</v>
      </c>
      <c r="AH14" s="94" t="e">
        <f aca="false" ca="false" dt2D="false" dtr="false" t="normal">+#REF!+#REF!+#REF!+#REF!+#REF!+#REF!</f>
        <v>#REF!</v>
      </c>
      <c r="AI14" s="94" t="e">
        <f aca="false" ca="false" dt2D="false" dtr="false" t="normal">+#REF!+#REF!+#REF!+#REF!+#REF!+#REF!</f>
        <v>#REF!</v>
      </c>
      <c r="AJ14" s="94" t="e">
        <f aca="false" ca="false" dt2D="false" dtr="false" t="normal">+#REF!+#REF!+#REF!+#REF!+#REF!+#REF!</f>
        <v>#REF!</v>
      </c>
      <c r="AK14" s="94" t="e">
        <f aca="false" ca="false" dt2D="false" dtr="false" t="normal">+#REF!+#REF!+#REF!+#REF!+#REF!+#REF!</f>
        <v>#REF!</v>
      </c>
      <c r="AL14" s="94" t="e">
        <f aca="false" ca="false" dt2D="false" dtr="false" t="normal">+#REF!+#REF!+#REF!+#REF!+#REF!+#REF!</f>
        <v>#REF!</v>
      </c>
      <c r="AM14" s="94" t="e">
        <f aca="false" ca="false" dt2D="false" dtr="false" t="normal">+#REF!+#REF!+#REF!+#REF!+#REF!+#REF!</f>
        <v>#REF!</v>
      </c>
      <c r="AN14" s="94" t="e">
        <f aca="false" ca="false" dt2D="false" dtr="false" t="normal">+#REF!+#REF!+#REF!+#REF!+#REF!+#REF!</f>
        <v>#REF!</v>
      </c>
      <c r="AO14" s="94" t="e">
        <f aca="false" ca="false" dt2D="false" dtr="false" t="normal">+#REF!+#REF!+#REF!+#REF!+#REF!+#REF!</f>
        <v>#REF!</v>
      </c>
      <c r="AP14" s="95" t="n">
        <f aca="false" ca="false" dt2D="false" dtr="false" t="normal">+N14-'Приложение №2'!E14</f>
        <v>0</v>
      </c>
      <c r="AR14" s="96" t="n"/>
      <c r="AS14" s="96" t="n"/>
      <c r="AW14" s="94" t="n">
        <f aca="false" ca="false" dt2D="false" dtr="false" t="normal">SUM(AX14:BL14)+AW15+AW16</f>
        <v>1905211449.306307</v>
      </c>
      <c r="AX14" s="94" t="n">
        <f aca="false" ca="false" dt2D="false" dtr="false" t="normal">+AX15+AX17</f>
        <v>261418719.91</v>
      </c>
      <c r="AY14" s="94" t="n">
        <f aca="false" ca="false" dt2D="false" dtr="false" t="normal">+AY15+AY17</f>
        <v>92211687.10999997</v>
      </c>
      <c r="AZ14" s="94" t="n">
        <f aca="false" ca="false" dt2D="false" dtr="false" t="normal">+AZ15+AZ17</f>
        <v>91010822.59000003</v>
      </c>
      <c r="BA14" s="94" t="n">
        <f aca="false" ca="false" dt2D="false" dtr="false" t="normal">+BA15+BA17</f>
        <v>100780746.21000001</v>
      </c>
      <c r="BB14" s="94" t="n">
        <f aca="false" ca="false" dt2D="false" dtr="false" t="normal">+BB15+BB17</f>
        <v>20726332.382262</v>
      </c>
      <c r="BC14" s="94" t="n">
        <f aca="false" ca="false" dt2D="false" dtr="false" t="normal">+BC15+BC17</f>
        <v>0</v>
      </c>
      <c r="BD14" s="94" t="n">
        <f aca="false" ca="false" dt2D="false" dtr="false" t="normal">+BD15+BD17</f>
        <v>0</v>
      </c>
      <c r="BE14" s="94" t="n">
        <f aca="false" ca="false" dt2D="false" dtr="false" t="normal">+BE15+BE17</f>
        <v>28694966.400000002</v>
      </c>
      <c r="BF14" s="94" t="n">
        <f aca="false" ca="false" dt2D="false" dtr="false" t="normal">+BF15+BF17</f>
        <v>417243389.468066</v>
      </c>
      <c r="BG14" s="94" t="n">
        <f aca="false" ca="false" dt2D="false" dtr="false" t="normal">+BG15+BG17</f>
        <v>79372152.85999998</v>
      </c>
      <c r="BH14" s="94" t="n">
        <f aca="false" ca="false" dt2D="false" dtr="false" t="normal">+BH15+BH17</f>
        <v>386032575.02000004</v>
      </c>
      <c r="BI14" s="94" t="n">
        <f aca="false" ca="false" dt2D="false" dtr="false" t="normal">+BI15+BI17</f>
        <v>162824150.39</v>
      </c>
      <c r="BJ14" s="94" t="n">
        <f aca="false" ca="false" dt2D="false" dtr="false" t="normal">+BJ15+BJ17</f>
        <v>44622520.01096848</v>
      </c>
      <c r="BK14" s="94" t="n">
        <f aca="false" ca="false" dt2D="false" dtr="false" t="normal">+BK15+BK17</f>
        <v>3686982.528160488</v>
      </c>
      <c r="BL14" s="94" t="n">
        <f aca="false" ca="false" dt2D="false" dtr="false" t="normal">+BL15+BL17</f>
        <v>64730277.78685049</v>
      </c>
      <c r="BM14" s="97" t="n">
        <f aca="false" ca="false" dt2D="false" dtr="false" t="normal">SUM(BN14:CB14)+BM15+BM16</f>
        <v>1905220282.8825877</v>
      </c>
      <c r="BN14" s="94" t="n">
        <f aca="false" ca="false" dt2D="false" dtr="false" t="normal">+BN15+BN17</f>
        <v>261418719.91</v>
      </c>
      <c r="BO14" s="94" t="n">
        <f aca="false" ca="false" dt2D="false" dtr="false" t="normal">+BO15+BO17</f>
        <v>92211687.10999997</v>
      </c>
      <c r="BP14" s="94" t="n">
        <f aca="false" ca="false" dt2D="false" dtr="false" t="normal">+BP15+BP17</f>
        <v>91010822.59000003</v>
      </c>
      <c r="BQ14" s="94" t="n">
        <f aca="false" ca="false" dt2D="false" dtr="false" t="normal">+BQ15+BQ17</f>
        <v>100780746.21000001</v>
      </c>
      <c r="BR14" s="94" t="n">
        <f aca="false" ca="false" dt2D="false" dtr="false" t="normal">+BR15+BR17</f>
        <v>20726332.382262</v>
      </c>
      <c r="BS14" s="94" t="n">
        <f aca="false" ca="false" dt2D="false" dtr="false" t="normal">+BS15+BS17</f>
        <v>0</v>
      </c>
      <c r="BT14" s="94" t="n">
        <f aca="false" ca="false" dt2D="false" dtr="false" t="normal">+BT15+BT17</f>
        <v>0</v>
      </c>
      <c r="BU14" s="94" t="n">
        <f aca="false" ca="false" dt2D="false" dtr="false" t="normal">+BU15+BU17</f>
        <v>28694966.41</v>
      </c>
      <c r="BV14" s="94" t="n">
        <f aca="false" ca="false" dt2D="false" dtr="false" t="normal">+BV15+BV17</f>
        <v>417243389.468066</v>
      </c>
      <c r="BW14" s="94" t="n">
        <f aca="false" ca="false" dt2D="false" dtr="false" t="normal">+BW15+BW17</f>
        <v>79372152.85999998</v>
      </c>
      <c r="BX14" s="94" t="n">
        <f aca="false" ca="false" dt2D="false" dtr="false" t="normal">+BX15+BX17</f>
        <v>386032575.02000004</v>
      </c>
      <c r="BY14" s="94" t="n">
        <f aca="false" ca="false" dt2D="false" dtr="false" t="normal">+BY15+BY17</f>
        <v>162824150.39</v>
      </c>
      <c r="BZ14" s="94" t="n">
        <f aca="false" ca="false" dt2D="false" dtr="false" t="normal">+BZ15+BZ17</f>
        <v>44622520.01096848</v>
      </c>
      <c r="CA14" s="94" t="n">
        <f aca="false" ca="false" dt2D="false" dtr="false" t="normal">+CA15+CA17</f>
        <v>3686982.528160488</v>
      </c>
      <c r="CB14" s="94" t="n">
        <f aca="false" ca="false" dt2D="false" dtr="false" t="normal">+CB15+CB17</f>
        <v>64739111.35313078</v>
      </c>
      <c r="CC14" s="98" t="n"/>
      <c r="CD14" s="93" t="n"/>
      <c r="CE14" s="93" t="n"/>
      <c r="CF14" s="93" t="n"/>
      <c r="CG14" s="93" t="s">
        <v>63</v>
      </c>
      <c r="CH14" s="99" t="n">
        <f aca="false" ca="false" dt2D="false" dtr="false" t="normal">SUM(CI14:CW14)+CH15+CH16</f>
        <v>1900672841.2825878</v>
      </c>
      <c r="CI14" s="94" t="n">
        <f aca="false" ca="false" dt2D="false" dtr="false" t="normal">+CI15+CI17</f>
        <v>261418719.91</v>
      </c>
      <c r="CJ14" s="94" t="n">
        <f aca="false" ca="false" dt2D="false" dtr="false" t="normal">+CJ15+CJ17</f>
        <v>92211687.10999997</v>
      </c>
      <c r="CK14" s="94" t="n">
        <f aca="false" ca="false" dt2D="false" dtr="false" t="normal">+CK15+CK17</f>
        <v>91010822.59000003</v>
      </c>
      <c r="CL14" s="94" t="n">
        <f aca="false" ca="false" dt2D="false" dtr="false" t="normal">+CL15+CL17</f>
        <v>100780746.21000001</v>
      </c>
      <c r="CM14" s="94" t="n">
        <f aca="false" ca="false" dt2D="false" dtr="false" t="normal">+CM15+CM17</f>
        <v>20726332.382262</v>
      </c>
      <c r="CN14" s="94" t="n">
        <f aca="false" ca="false" dt2D="false" dtr="false" t="normal">+CN15+CN17</f>
        <v>0</v>
      </c>
      <c r="CO14" s="94" t="n">
        <f aca="false" ca="false" dt2D="false" dtr="false" t="normal">+CO15+CO17</f>
        <v>0</v>
      </c>
      <c r="CP14" s="94" t="n">
        <f aca="false" ca="false" dt2D="false" dtr="false" t="normal">+CP15+CP17</f>
        <v>28694966.41</v>
      </c>
      <c r="CQ14" s="94" t="n">
        <f aca="false" ca="false" dt2D="false" dtr="false" t="normal">+CQ15+CQ17</f>
        <v>417243389.468066</v>
      </c>
      <c r="CR14" s="94" t="n">
        <f aca="false" ca="false" dt2D="false" dtr="false" t="normal">+CR15+CR17</f>
        <v>79372152.85999998</v>
      </c>
      <c r="CS14" s="94" t="n">
        <f aca="false" ca="false" dt2D="false" dtr="false" t="normal">+CS15+CS17</f>
        <v>386032575.02000004</v>
      </c>
      <c r="CT14" s="94" t="n">
        <f aca="false" ca="false" dt2D="false" dtr="false" t="normal">+CT15+CT17</f>
        <v>162824150.39</v>
      </c>
      <c r="CU14" s="94" t="n">
        <f aca="false" ca="false" dt2D="false" dtr="false" t="normal">+CU15+CU17</f>
        <v>44622520.01096848</v>
      </c>
      <c r="CV14" s="94" t="n">
        <f aca="false" ca="false" dt2D="false" dtr="false" t="normal">+CV15+CV17</f>
        <v>3686982.528160488</v>
      </c>
      <c r="CW14" s="94" t="n">
        <f aca="false" ca="false" dt2D="false" dtr="false" t="normal">+CW15+CW17</f>
        <v>64739111.35313078</v>
      </c>
      <c r="CX14" s="98" t="n"/>
      <c r="CY14" s="98" t="n"/>
      <c r="CZ14" s="93" t="s">
        <v>63</v>
      </c>
      <c r="DA14" s="99" t="n">
        <f aca="false" ca="false" dt2D="false" dtr="false" t="normal">SUM(DB14:DP14)+DA15+DA16</f>
        <v>1841171471.989457</v>
      </c>
      <c r="DB14" s="94" t="n">
        <f aca="false" ca="false" dt2D="false" dtr="false" t="normal">+DB15+DB17</f>
        <v>261418719.91</v>
      </c>
      <c r="DC14" s="94" t="n">
        <f aca="false" ca="false" dt2D="false" dtr="false" t="normal">+DC15+DC17</f>
        <v>92211687.10999997</v>
      </c>
      <c r="DD14" s="94" t="n">
        <f aca="false" ca="false" dt2D="false" dtr="false" t="normal">+DD15+DD17</f>
        <v>91010822.59000003</v>
      </c>
      <c r="DE14" s="94" t="n">
        <f aca="false" ca="false" dt2D="false" dtr="false" t="normal">+DE15+DE17</f>
        <v>100780746.21000001</v>
      </c>
      <c r="DF14" s="94" t="n">
        <f aca="false" ca="false" dt2D="false" dtr="false" t="normal">+DF15+DF17</f>
        <v>20726332.382262</v>
      </c>
      <c r="DG14" s="94" t="n">
        <f aca="false" ca="false" dt2D="false" dtr="false" t="normal">+DG15+DG17</f>
        <v>0</v>
      </c>
      <c r="DH14" s="94" t="n">
        <f aca="false" ca="false" dt2D="false" dtr="false" t="normal">+DH15+DH17</f>
        <v>0</v>
      </c>
      <c r="DI14" s="94" t="n">
        <f aca="false" ca="false" dt2D="false" dtr="false" t="normal">+DI15+DI17</f>
        <v>28694966.41</v>
      </c>
      <c r="DJ14" s="94" t="n">
        <f aca="false" ca="false" dt2D="false" dtr="false" t="normal">+DJ15+DJ17</f>
        <v>417243389.468066</v>
      </c>
      <c r="DK14" s="94" t="n">
        <f aca="false" ca="false" dt2D="false" dtr="false" t="normal">+DK15+DK17</f>
        <v>79372152.85999998</v>
      </c>
      <c r="DL14" s="94" t="n">
        <f aca="false" ca="false" dt2D="false" dtr="false" t="normal">+DL15+DL17</f>
        <v>386032575.02000004</v>
      </c>
      <c r="DM14" s="94" t="n">
        <f aca="false" ca="false" dt2D="false" dtr="false" t="normal">+DM15+DM17</f>
        <v>162824150.39</v>
      </c>
      <c r="DN14" s="94" t="n">
        <f aca="false" ca="false" dt2D="false" dtr="false" t="normal">+DN15+DN17</f>
        <v>44622520.01096848</v>
      </c>
      <c r="DO14" s="94" t="n">
        <f aca="false" ca="false" dt2D="false" dtr="false" t="normal">+DO15+DO17</f>
        <v>3686982.528160488</v>
      </c>
      <c r="DP14" s="94" t="n">
        <f aca="false" ca="false" dt2D="false" dtr="false" t="normal">+DP15+DP17</f>
        <v>5237742.060000001</v>
      </c>
      <c r="DQ14" s="98" t="n"/>
      <c r="DR14" s="98" t="n"/>
      <c r="DS14" s="98" t="n"/>
      <c r="DT14" s="98" t="n"/>
      <c r="DU14" s="98" t="n"/>
      <c r="DV14" s="98" t="n"/>
      <c r="DW14" s="98" t="n"/>
      <c r="DX14" s="98" t="n"/>
      <c r="DY14" s="98" t="n"/>
      <c r="DZ14" s="98" t="n"/>
      <c r="EA14" s="98" t="n"/>
      <c r="EB14" s="98" t="n"/>
      <c r="EC14" s="98" t="n"/>
      <c r="ED14" s="98" t="n"/>
      <c r="EE14" s="98" t="n"/>
      <c r="EF14" s="98" t="n"/>
      <c r="EG14" s="98" t="n"/>
      <c r="EH14" s="98" t="n"/>
      <c r="EI14" s="98" t="n"/>
      <c r="EJ14" s="98" t="n"/>
      <c r="EK14" s="98" t="n"/>
      <c r="EL14" s="98" t="n"/>
      <c r="EM14" s="98" t="n"/>
      <c r="EN14" s="98" t="n"/>
      <c r="EO14" s="98" t="n"/>
      <c r="EP14" s="98" t="n"/>
      <c r="EQ14" s="98" t="n"/>
      <c r="ER14" s="98" t="n"/>
      <c r="ES14" s="98" t="n"/>
    </row>
    <row customFormat="true" customHeight="true" hidden="false" ht="19.5" outlineLevel="0" r="15" s="91">
      <c r="A15" s="92" t="n"/>
      <c r="B15" s="93" t="n"/>
      <c r="C15" s="93" t="n"/>
      <c r="D15" s="93" t="s">
        <v>64</v>
      </c>
      <c r="E15" s="93" t="n"/>
      <c r="F15" s="93" t="n"/>
      <c r="G15" s="93" t="n"/>
      <c r="H15" s="93" t="n"/>
      <c r="I15" s="93" t="n"/>
      <c r="J15" s="94" t="n"/>
      <c r="K15" s="94" t="n"/>
      <c r="L15" s="94" t="n"/>
      <c r="M15" s="94" t="n"/>
      <c r="N15" s="85" t="n">
        <v>147308685.04</v>
      </c>
      <c r="O15" s="94" t="n"/>
      <c r="P15" s="94" t="n">
        <v>147308685.04</v>
      </c>
      <c r="Q15" s="94" t="n"/>
      <c r="R15" s="94" t="n"/>
      <c r="S15" s="94" t="n"/>
      <c r="T15" s="94" t="n"/>
      <c r="U15" s="94" t="n"/>
      <c r="V15" s="94" t="n"/>
      <c r="W15" s="100" t="n"/>
      <c r="X15" s="101" t="n"/>
      <c r="Y15" s="101" t="n"/>
      <c r="Z15" s="94" t="n"/>
      <c r="AA15" s="94" t="n"/>
      <c r="AB15" s="94" t="n"/>
      <c r="AC15" s="94" t="n"/>
      <c r="AD15" s="94" t="n"/>
      <c r="AE15" s="94" t="n"/>
      <c r="AF15" s="94" t="n"/>
      <c r="AG15" s="94" t="n"/>
      <c r="AH15" s="94" t="n"/>
      <c r="AI15" s="94" t="n"/>
      <c r="AJ15" s="94" t="n"/>
      <c r="AK15" s="94" t="n"/>
      <c r="AL15" s="94" t="n"/>
      <c r="AM15" s="94" t="n"/>
      <c r="AN15" s="94" t="n"/>
      <c r="AO15" s="100" t="n"/>
      <c r="AP15" s="95" t="n"/>
      <c r="AR15" s="96" t="n"/>
      <c r="AS15" s="96" t="n"/>
      <c r="AW15" s="94" t="n">
        <v>147308685.04</v>
      </c>
      <c r="AX15" s="94" t="n"/>
      <c r="AY15" s="94" t="n"/>
      <c r="AZ15" s="94" t="n"/>
      <c r="BA15" s="94" t="n"/>
      <c r="BB15" s="94" t="n"/>
      <c r="BC15" s="94" t="n"/>
      <c r="BD15" s="94" t="n"/>
      <c r="BE15" s="94" t="n"/>
      <c r="BF15" s="94" t="n"/>
      <c r="BG15" s="94" t="n"/>
      <c r="BH15" s="94" t="n"/>
      <c r="BI15" s="94" t="n"/>
      <c r="BJ15" s="94" t="n"/>
      <c r="BK15" s="94" t="n"/>
      <c r="BL15" s="100" t="n"/>
      <c r="BM15" s="97" t="n">
        <v>147308685.04</v>
      </c>
      <c r="BN15" s="94" t="n"/>
      <c r="BO15" s="94" t="n"/>
      <c r="BP15" s="94" t="n"/>
      <c r="BQ15" s="94" t="n"/>
      <c r="BR15" s="94" t="n"/>
      <c r="BS15" s="94" t="n"/>
      <c r="BT15" s="94" t="n"/>
      <c r="BU15" s="94" t="n"/>
      <c r="BV15" s="94" t="n"/>
      <c r="BW15" s="94" t="n"/>
      <c r="BX15" s="94" t="n"/>
      <c r="BY15" s="94" t="n"/>
      <c r="BZ15" s="94" t="n"/>
      <c r="CA15" s="94" t="n"/>
      <c r="CB15" s="100" t="n"/>
      <c r="CC15" s="98" t="n"/>
      <c r="CD15" s="102" t="n"/>
      <c r="CE15" s="93" t="n"/>
      <c r="CF15" s="93" t="n"/>
      <c r="CG15" s="93" t="s">
        <v>64</v>
      </c>
      <c r="CH15" s="99" t="n">
        <v>147308685.04</v>
      </c>
      <c r="CI15" s="94" t="n"/>
      <c r="CJ15" s="94" t="n"/>
      <c r="CK15" s="94" t="n"/>
      <c r="CL15" s="94" t="n"/>
      <c r="CM15" s="94" t="n"/>
      <c r="CN15" s="94" t="n"/>
      <c r="CO15" s="94" t="n"/>
      <c r="CP15" s="94" t="n"/>
      <c r="CQ15" s="94" t="n"/>
      <c r="CR15" s="94" t="n"/>
      <c r="CS15" s="94" t="n"/>
      <c r="CT15" s="94" t="n"/>
      <c r="CU15" s="94" t="n"/>
      <c r="CV15" s="94" t="n"/>
      <c r="CW15" s="100" t="n"/>
      <c r="CX15" s="98" t="n"/>
      <c r="CY15" s="98" t="n"/>
      <c r="CZ15" s="93" t="s">
        <v>64</v>
      </c>
      <c r="DA15" s="99" t="n">
        <v>147308685.04</v>
      </c>
      <c r="DB15" s="94" t="n"/>
      <c r="DC15" s="94" t="n"/>
      <c r="DD15" s="94" t="n"/>
      <c r="DE15" s="94" t="n"/>
      <c r="DF15" s="94" t="n"/>
      <c r="DG15" s="94" t="n"/>
      <c r="DH15" s="94" t="n"/>
      <c r="DI15" s="94" t="n"/>
      <c r="DJ15" s="94" t="n"/>
      <c r="DK15" s="94" t="n"/>
      <c r="DL15" s="94" t="n"/>
      <c r="DM15" s="94" t="n"/>
      <c r="DN15" s="94" t="n"/>
      <c r="DO15" s="94" t="n"/>
      <c r="DP15" s="100" t="n"/>
      <c r="DQ15" s="98" t="n"/>
      <c r="DR15" s="98" t="n"/>
      <c r="DS15" s="98" t="n"/>
      <c r="DT15" s="98" t="n"/>
      <c r="DU15" s="98" t="n"/>
      <c r="DV15" s="98" t="n"/>
      <c r="DW15" s="98" t="n"/>
      <c r="DX15" s="98" t="n"/>
      <c r="DY15" s="98" t="n"/>
      <c r="DZ15" s="98" t="n"/>
      <c r="EA15" s="98" t="n"/>
      <c r="EB15" s="98" t="n"/>
      <c r="EC15" s="98" t="n"/>
      <c r="ED15" s="98" t="n"/>
      <c r="EE15" s="98" t="n"/>
      <c r="EF15" s="98" t="n"/>
      <c r="EG15" s="98" t="n"/>
      <c r="EH15" s="98" t="n"/>
      <c r="EI15" s="98" t="n"/>
      <c r="EJ15" s="98" t="n"/>
      <c r="EK15" s="98" t="n"/>
      <c r="EL15" s="98" t="n"/>
      <c r="EM15" s="98" t="n"/>
      <c r="EN15" s="98" t="n"/>
      <c r="EO15" s="98" t="n"/>
      <c r="EP15" s="98" t="n"/>
      <c r="EQ15" s="98" t="n"/>
      <c r="ER15" s="98" t="n"/>
      <c r="ES15" s="98" t="n"/>
    </row>
    <row customFormat="true" customHeight="true" hidden="false" ht="15.75" outlineLevel="0" r="16" s="91">
      <c r="A16" s="93" t="n"/>
      <c r="B16" s="93" t="n"/>
      <c r="C16" s="93" t="n"/>
      <c r="D16" s="93" t="s">
        <v>65</v>
      </c>
      <c r="E16" s="93" t="n"/>
      <c r="F16" s="93" t="n"/>
      <c r="G16" s="93" t="n"/>
      <c r="H16" s="93" t="n"/>
      <c r="I16" s="93" t="n"/>
      <c r="J16" s="94" t="n"/>
      <c r="K16" s="94" t="n"/>
      <c r="L16" s="94" t="n"/>
      <c r="M16" s="94" t="n"/>
      <c r="N16" s="85" t="n">
        <f aca="false" ca="false" dt2D="false" dtr="false" t="normal">4547441.6-4547441.6</f>
        <v>0</v>
      </c>
      <c r="O16" s="85" t="n">
        <f aca="false" ca="false" dt2D="false" dtr="false" t="normal">4547441.6-4547441.6</f>
        <v>0</v>
      </c>
      <c r="P16" s="85" t="n">
        <f aca="false" ca="false" dt2D="false" dtr="false" t="normal">4547441.6-4547441.6</f>
        <v>0</v>
      </c>
      <c r="Q16" s="85" t="n">
        <f aca="false" ca="false" dt2D="false" dtr="false" t="normal">4547441.6-4547441.6</f>
        <v>0</v>
      </c>
      <c r="R16" s="85" t="n">
        <f aca="false" ca="false" dt2D="false" dtr="false" t="normal">4547441.6-4547441.6</f>
        <v>0</v>
      </c>
      <c r="S16" s="85" t="n">
        <f aca="false" ca="false" dt2D="false" dtr="false" t="normal">4547441.6-4547441.6</f>
        <v>0</v>
      </c>
      <c r="T16" s="85" t="n">
        <f aca="false" ca="false" dt2D="false" dtr="false" t="normal">4547441.6-4547441.6</f>
        <v>0</v>
      </c>
      <c r="U16" s="94" t="n"/>
      <c r="V16" s="94" t="n"/>
      <c r="W16" s="94" t="n"/>
      <c r="X16" s="101" t="n"/>
      <c r="Y16" s="101" t="n"/>
      <c r="Z16" s="94" t="n"/>
      <c r="AA16" s="94" t="n"/>
      <c r="AB16" s="94" t="n"/>
      <c r="AC16" s="94" t="n"/>
      <c r="AD16" s="94" t="n"/>
      <c r="AE16" s="94" t="n"/>
      <c r="AF16" s="94" t="n"/>
      <c r="AG16" s="94" t="n"/>
      <c r="AH16" s="94" t="n"/>
      <c r="AI16" s="94" t="n"/>
      <c r="AJ16" s="94" t="n"/>
      <c r="AK16" s="94" t="n"/>
      <c r="AL16" s="94" t="n"/>
      <c r="AM16" s="94" t="n"/>
      <c r="AN16" s="94" t="n"/>
      <c r="AO16" s="100" t="n"/>
      <c r="AP16" s="95" t="n"/>
      <c r="AR16" s="96" t="n"/>
      <c r="AS16" s="96" t="n"/>
      <c r="AW16" s="94" t="n">
        <v>4547441.6</v>
      </c>
      <c r="AX16" s="94" t="n"/>
      <c r="AY16" s="94" t="n"/>
      <c r="AZ16" s="94" t="n"/>
      <c r="BA16" s="94" t="n"/>
      <c r="BB16" s="94" t="n"/>
      <c r="BC16" s="94" t="n"/>
      <c r="BD16" s="94" t="n"/>
      <c r="BE16" s="94" t="n"/>
      <c r="BF16" s="94" t="n"/>
      <c r="BG16" s="94" t="n"/>
      <c r="BH16" s="94" t="n"/>
      <c r="BI16" s="94" t="n"/>
      <c r="BJ16" s="94" t="n"/>
      <c r="BK16" s="94" t="n"/>
      <c r="BL16" s="100" t="n"/>
      <c r="BM16" s="97" t="n">
        <v>4547441.6</v>
      </c>
      <c r="BN16" s="94" t="n"/>
      <c r="BO16" s="94" t="n"/>
      <c r="BP16" s="94" t="n"/>
      <c r="BQ16" s="94" t="n"/>
      <c r="BR16" s="94" t="n"/>
      <c r="BS16" s="94" t="n"/>
      <c r="BT16" s="94" t="n"/>
      <c r="BU16" s="94" t="n"/>
      <c r="BV16" s="94" t="n"/>
      <c r="BW16" s="94" t="n"/>
      <c r="BX16" s="94" t="n"/>
      <c r="BY16" s="94" t="n"/>
      <c r="BZ16" s="94" t="n"/>
      <c r="CA16" s="94" t="n"/>
      <c r="CB16" s="100" t="n"/>
      <c r="CC16" s="98" t="n"/>
      <c r="CD16" s="102" t="n"/>
      <c r="CE16" s="93" t="n"/>
      <c r="CF16" s="93" t="n"/>
      <c r="CG16" s="93" t="s">
        <v>65</v>
      </c>
      <c r="CH16" s="99" t="n">
        <f aca="false" ca="false" dt2D="false" dtr="false" t="normal">4547441.6-4547441.6</f>
        <v>0</v>
      </c>
      <c r="CI16" s="94" t="n"/>
      <c r="CJ16" s="94" t="n"/>
      <c r="CK16" s="94" t="n"/>
      <c r="CL16" s="94" t="n"/>
      <c r="CM16" s="94" t="n"/>
      <c r="CN16" s="94" t="n"/>
      <c r="CO16" s="94" t="n"/>
      <c r="CP16" s="94" t="n"/>
      <c r="CQ16" s="94" t="n"/>
      <c r="CR16" s="94" t="n"/>
      <c r="CS16" s="94" t="n"/>
      <c r="CT16" s="94" t="n"/>
      <c r="CU16" s="94" t="n"/>
      <c r="CV16" s="94" t="n"/>
      <c r="CW16" s="100" t="n"/>
      <c r="CX16" s="98" t="n"/>
      <c r="CY16" s="98" t="n"/>
      <c r="CZ16" s="93" t="s">
        <v>65</v>
      </c>
      <c r="DA16" s="99" t="n">
        <f aca="false" ca="false" dt2D="false" dtr="false" t="normal">4547441.6-4547441.6</f>
        <v>0</v>
      </c>
      <c r="DB16" s="94" t="n"/>
      <c r="DC16" s="94" t="n"/>
      <c r="DD16" s="94" t="n"/>
      <c r="DE16" s="94" t="n"/>
      <c r="DF16" s="94" t="n"/>
      <c r="DG16" s="94" t="n"/>
      <c r="DH16" s="94" t="n"/>
      <c r="DI16" s="94" t="n"/>
      <c r="DJ16" s="94" t="n"/>
      <c r="DK16" s="94" t="n"/>
      <c r="DL16" s="94" t="n"/>
      <c r="DM16" s="94" t="n"/>
      <c r="DN16" s="94" t="n"/>
      <c r="DO16" s="94" t="n"/>
      <c r="DP16" s="100" t="n"/>
      <c r="DQ16" s="98" t="n"/>
      <c r="DR16" s="98" t="n"/>
      <c r="DS16" s="98" t="n"/>
      <c r="DT16" s="98" t="n"/>
      <c r="DU16" s="98" t="n"/>
      <c r="DV16" s="98" t="n"/>
      <c r="DW16" s="98" t="n"/>
      <c r="DX16" s="98" t="n"/>
      <c r="DY16" s="98" t="n"/>
      <c r="DZ16" s="98" t="n"/>
      <c r="EA16" s="98" t="n"/>
      <c r="EB16" s="98" t="n"/>
      <c r="EC16" s="98" t="n"/>
      <c r="ED16" s="98" t="n"/>
      <c r="EE16" s="98" t="n"/>
      <c r="EF16" s="98" t="n"/>
      <c r="EG16" s="98" t="n"/>
      <c r="EH16" s="98" t="n"/>
      <c r="EI16" s="98" t="n"/>
      <c r="EJ16" s="98" t="n"/>
      <c r="EK16" s="98" t="n"/>
      <c r="EL16" s="98" t="n"/>
      <c r="EM16" s="98" t="n"/>
      <c r="EN16" s="98" t="n"/>
      <c r="EO16" s="98" t="n"/>
      <c r="EP16" s="98" t="n"/>
      <c r="EQ16" s="98" t="n"/>
      <c r="ER16" s="98" t="n"/>
      <c r="ES16" s="98" t="n"/>
    </row>
    <row customFormat="true" hidden="false" ht="15" outlineLevel="0" r="17" s="91">
      <c r="A17" s="93" t="n"/>
      <c r="B17" s="93" t="n"/>
      <c r="C17" s="93" t="n"/>
      <c r="D17" s="93" t="n"/>
      <c r="E17" s="93" t="n"/>
      <c r="F17" s="93" t="n"/>
      <c r="G17" s="93" t="n"/>
      <c r="H17" s="93" t="n"/>
      <c r="I17" s="93" t="n"/>
      <c r="J17" s="94" t="n"/>
      <c r="K17" s="94" t="n"/>
      <c r="L17" s="94" t="n"/>
      <c r="M17" s="94" t="n"/>
      <c r="N17" s="85" t="n">
        <f aca="false" ca="false" dt2D="false" dtr="false" t="normal">SUM(N18:N205)</f>
        <v>1693862786.9494567</v>
      </c>
      <c r="O17" s="85" t="n">
        <f aca="false" ca="false" dt2D="false" dtr="false" t="normal">SUM(O18:O205)</f>
        <v>0</v>
      </c>
      <c r="P17" s="85" t="n">
        <f aca="false" ca="false" dt2D="false" dtr="false" t="normal">SUM(P18:P205)</f>
        <v>395594295.3773492</v>
      </c>
      <c r="Q17" s="85" t="n">
        <f aca="false" ca="false" dt2D="false" dtr="false" t="normal">SUM(Q18:Q205)</f>
        <v>2000000</v>
      </c>
      <c r="R17" s="85" t="n">
        <f aca="false" ca="false" dt2D="false" dtr="false" t="normal">SUM(R18:R205)</f>
        <v>261070337.1034685</v>
      </c>
      <c r="S17" s="85" t="n">
        <f aca="false" ca="false" dt2D="false" dtr="false" t="normal">SUM(S18:S205)</f>
        <v>835237074.2210221</v>
      </c>
      <c r="T17" s="85" t="n">
        <f aca="false" ca="false" dt2D="false" dtr="false" t="normal">SUM(T18:T205)</f>
        <v>199961080.2476169</v>
      </c>
      <c r="U17" s="94" t="n"/>
      <c r="V17" s="94" t="n"/>
      <c r="W17" s="94" t="n"/>
      <c r="X17" s="101" t="n"/>
      <c r="Y17" s="101" t="n"/>
      <c r="Z17" s="94" t="n"/>
      <c r="AA17" s="94" t="n"/>
      <c r="AB17" s="94" t="n"/>
      <c r="AC17" s="94" t="n"/>
      <c r="AD17" s="94" t="n"/>
      <c r="AE17" s="94" t="n"/>
      <c r="AF17" s="94" t="n"/>
      <c r="AG17" s="94" t="n"/>
      <c r="AH17" s="94" t="n"/>
      <c r="AI17" s="94" t="n"/>
      <c r="AJ17" s="94" t="n"/>
      <c r="AK17" s="94" t="n"/>
      <c r="AL17" s="94" t="n"/>
      <c r="AM17" s="94" t="n"/>
      <c r="AN17" s="94" t="n"/>
      <c r="AO17" s="100" t="n"/>
      <c r="AP17" s="95" t="n"/>
      <c r="AR17" s="96" t="n"/>
      <c r="AS17" s="96" t="n"/>
      <c r="AW17" s="94" t="n">
        <f aca="false" ca="false" dt2D="false" dtr="false" t="normal">SUM(AW18:AW205)</f>
        <v>1753355322.6663084</v>
      </c>
      <c r="AX17" s="94" t="n">
        <f aca="false" ca="false" dt2D="false" dtr="false" t="normal">SUM(AX18:AX205)</f>
        <v>261418719.91</v>
      </c>
      <c r="AY17" s="94" t="n">
        <f aca="false" ca="false" dt2D="false" dtr="false" t="normal">SUM(AY18:AY205)</f>
        <v>92211687.10999997</v>
      </c>
      <c r="AZ17" s="94" t="n">
        <f aca="false" ca="false" dt2D="false" dtr="false" t="normal">SUM(AZ18:AZ205)</f>
        <v>91010822.59000003</v>
      </c>
      <c r="BA17" s="94" t="n">
        <f aca="false" ca="false" dt2D="false" dtr="false" t="normal">SUM(BA18:BA205)</f>
        <v>100780746.21000001</v>
      </c>
      <c r="BB17" s="94" t="n">
        <f aca="false" ca="false" dt2D="false" dtr="false" t="normal">SUM(BB18:BB205)</f>
        <v>20726332.382262</v>
      </c>
      <c r="BC17" s="94" t="n">
        <f aca="false" ca="false" dt2D="false" dtr="false" t="normal">SUM(BC18:BC205)</f>
        <v>0</v>
      </c>
      <c r="BD17" s="94" t="n">
        <f aca="false" ca="false" dt2D="false" dtr="false" t="normal">SUM(BD18:BD205)</f>
        <v>0</v>
      </c>
      <c r="BE17" s="94" t="n">
        <f aca="false" ca="false" dt2D="false" dtr="false" t="normal">SUM(BE18:BE205)</f>
        <v>28694966.400000002</v>
      </c>
      <c r="BF17" s="94" t="n">
        <f aca="false" ca="false" dt2D="false" dtr="false" t="normal">SUM(BF18:BF205)</f>
        <v>417243389.468066</v>
      </c>
      <c r="BG17" s="94" t="n">
        <f aca="false" ca="false" dt2D="false" dtr="false" t="normal">SUM(BG18:BG205)</f>
        <v>79372152.85999998</v>
      </c>
      <c r="BH17" s="94" t="n">
        <f aca="false" ca="false" dt2D="false" dtr="false" t="normal">SUM(BH18:BH205)</f>
        <v>386032575.02000004</v>
      </c>
      <c r="BI17" s="94" t="n">
        <f aca="false" ca="false" dt2D="false" dtr="false" t="normal">SUM(BI18:BI205)</f>
        <v>162824150.39</v>
      </c>
      <c r="BJ17" s="94" t="n">
        <f aca="false" ca="false" dt2D="false" dtr="false" t="normal">SUM(BJ18:BJ205)</f>
        <v>44622520.01096848</v>
      </c>
      <c r="BK17" s="94" t="n">
        <f aca="false" ca="false" dt2D="false" dtr="false" t="normal">SUM(BK18:BK205)</f>
        <v>3686982.528160488</v>
      </c>
      <c r="BL17" s="94" t="n">
        <f aca="false" ca="false" dt2D="false" dtr="false" t="normal">SUM(BL18:BL205)</f>
        <v>64730277.78685049</v>
      </c>
      <c r="BM17" s="97" t="n">
        <f aca="false" ca="false" dt2D="false" dtr="false" t="normal">SUM(BM18:BM205)</f>
        <v>1753364156.2425888</v>
      </c>
      <c r="BN17" s="94" t="n">
        <f aca="false" ca="false" dt2D="false" dtr="false" t="normal">SUM(BN18:BN205)</f>
        <v>261418719.91</v>
      </c>
      <c r="BO17" s="94" t="n">
        <f aca="false" ca="false" dt2D="false" dtr="false" t="normal">SUM(BO18:BO205)</f>
        <v>92211687.10999997</v>
      </c>
      <c r="BP17" s="94" t="n">
        <f aca="false" ca="false" dt2D="false" dtr="false" t="normal">SUM(BP18:BP205)</f>
        <v>91010822.59000003</v>
      </c>
      <c r="BQ17" s="94" t="n">
        <f aca="false" ca="false" dt2D="false" dtr="false" t="normal">SUM(BQ18:BQ205)</f>
        <v>100780746.21000001</v>
      </c>
      <c r="BR17" s="94" t="n">
        <f aca="false" ca="false" dt2D="false" dtr="false" t="normal">SUM(BR18:BR205)</f>
        <v>20726332.382262</v>
      </c>
      <c r="BS17" s="94" t="n">
        <f aca="false" ca="false" dt2D="false" dtr="false" t="normal">SUM(BS18:BS205)</f>
        <v>0</v>
      </c>
      <c r="BT17" s="94" t="n">
        <f aca="false" ca="false" dt2D="false" dtr="false" t="normal">SUM(BT18:BT205)</f>
        <v>0</v>
      </c>
      <c r="BU17" s="94" t="n">
        <f aca="false" ca="false" dt2D="false" dtr="false" t="normal">SUM(BU18:BU205)</f>
        <v>28694966.41</v>
      </c>
      <c r="BV17" s="94" t="n">
        <f aca="false" ca="false" dt2D="false" dtr="false" t="normal">SUM(BV18:BV205)</f>
        <v>417243389.468066</v>
      </c>
      <c r="BW17" s="94" t="n">
        <f aca="false" ca="false" dt2D="false" dtr="false" t="normal">SUM(BW18:BW205)</f>
        <v>79372152.85999998</v>
      </c>
      <c r="BX17" s="94" t="n">
        <f aca="false" ca="false" dt2D="false" dtr="false" t="normal">SUM(BX18:BX205)</f>
        <v>386032575.02000004</v>
      </c>
      <c r="BY17" s="94" t="n">
        <f aca="false" ca="false" dt2D="false" dtr="false" t="normal">SUM(BY18:BY205)</f>
        <v>162824150.39</v>
      </c>
      <c r="BZ17" s="94" t="n">
        <f aca="false" ca="false" dt2D="false" dtr="false" t="normal">SUM(BZ18:BZ205)</f>
        <v>44622520.01096848</v>
      </c>
      <c r="CA17" s="94" t="n">
        <f aca="false" ca="false" dt2D="false" dtr="false" t="normal">SUM(CA18:CA205)</f>
        <v>3686982.528160488</v>
      </c>
      <c r="CB17" s="94" t="n">
        <f aca="false" ca="false" dt2D="false" dtr="false" t="normal">SUM(CB18:CB205)</f>
        <v>64739111.35313078</v>
      </c>
      <c r="CC17" s="98" t="n"/>
      <c r="CD17" s="102" t="n"/>
      <c r="CE17" s="93" t="n"/>
      <c r="CF17" s="93" t="n"/>
      <c r="CG17" s="93" t="n"/>
      <c r="CH17" s="99" t="n">
        <f aca="false" ca="false" dt2D="false" dtr="false" t="normal">SUM(CH18:CH205)</f>
        <v>1753364156.2425888</v>
      </c>
      <c r="CI17" s="94" t="n">
        <f aca="false" ca="false" dt2D="false" dtr="false" t="normal">SUM(CI18:CI205)</f>
        <v>261418719.91</v>
      </c>
      <c r="CJ17" s="94" t="n">
        <f aca="false" ca="false" dt2D="false" dtr="false" t="normal">SUM(CJ18:CJ205)</f>
        <v>92211687.10999997</v>
      </c>
      <c r="CK17" s="94" t="n">
        <f aca="false" ca="false" dt2D="false" dtr="false" t="normal">SUM(CK18:CK205)</f>
        <v>91010822.59000003</v>
      </c>
      <c r="CL17" s="94" t="n">
        <f aca="false" ca="false" dt2D="false" dtr="false" t="normal">SUM(CL18:CL205)</f>
        <v>100780746.21000001</v>
      </c>
      <c r="CM17" s="94" t="n">
        <f aca="false" ca="false" dt2D="false" dtr="false" t="normal">SUM(CM18:CM205)</f>
        <v>20726332.382262</v>
      </c>
      <c r="CN17" s="94" t="n">
        <f aca="false" ca="false" dt2D="false" dtr="false" t="normal">SUM(CN18:CN205)</f>
        <v>0</v>
      </c>
      <c r="CO17" s="94" t="n">
        <f aca="false" ca="false" dt2D="false" dtr="false" t="normal">SUM(CO18:CO205)</f>
        <v>0</v>
      </c>
      <c r="CP17" s="94" t="n">
        <f aca="false" ca="false" dt2D="false" dtr="false" t="normal">SUM(CP18:CP205)</f>
        <v>28694966.41</v>
      </c>
      <c r="CQ17" s="94" t="n">
        <f aca="false" ca="false" dt2D="false" dtr="false" t="normal">SUM(CQ18:CQ205)</f>
        <v>417243389.468066</v>
      </c>
      <c r="CR17" s="94" t="n">
        <f aca="false" ca="false" dt2D="false" dtr="false" t="normal">SUM(CR18:CR205)</f>
        <v>79372152.85999998</v>
      </c>
      <c r="CS17" s="94" t="n">
        <f aca="false" ca="false" dt2D="false" dtr="false" t="normal">SUM(CS18:CS205)</f>
        <v>386032575.02000004</v>
      </c>
      <c r="CT17" s="94" t="n">
        <f aca="false" ca="false" dt2D="false" dtr="false" t="normal">SUM(CT18:CT205)</f>
        <v>162824150.39</v>
      </c>
      <c r="CU17" s="94" t="n">
        <f aca="false" ca="false" dt2D="false" dtr="false" t="normal">SUM(CU18:CU205)</f>
        <v>44622520.01096848</v>
      </c>
      <c r="CV17" s="94" t="n">
        <f aca="false" ca="false" dt2D="false" dtr="false" t="normal">SUM(CV18:CV205)</f>
        <v>3686982.528160488</v>
      </c>
      <c r="CW17" s="94" t="n">
        <f aca="false" ca="false" dt2D="false" dtr="false" t="normal">SUM(CW18:CW205)</f>
        <v>64739111.35313078</v>
      </c>
      <c r="CX17" s="98" t="n"/>
      <c r="CY17" s="98" t="n"/>
      <c r="CZ17" s="93" t="n"/>
      <c r="DA17" s="99" t="n">
        <f aca="false" ca="false" dt2D="false" dtr="false" t="normal">SUM(DA18:DA205)</f>
        <v>1693862786.949457</v>
      </c>
      <c r="DB17" s="94" t="n">
        <f aca="false" ca="false" dt2D="false" dtr="false" t="normal">SUM(DB18:DB205)</f>
        <v>261418719.91</v>
      </c>
      <c r="DC17" s="94" t="n">
        <f aca="false" ca="false" dt2D="false" dtr="false" t="normal">SUM(DC18:DC205)</f>
        <v>92211687.10999997</v>
      </c>
      <c r="DD17" s="94" t="n">
        <f aca="false" ca="false" dt2D="false" dtr="false" t="normal">SUM(DD18:DD205)</f>
        <v>91010822.59000003</v>
      </c>
      <c r="DE17" s="94" t="n">
        <f aca="false" ca="false" dt2D="false" dtr="false" t="normal">SUM(DE18:DE205)</f>
        <v>100780746.21000001</v>
      </c>
      <c r="DF17" s="94" t="n">
        <f aca="false" ca="false" dt2D="false" dtr="false" t="normal">SUM(DF18:DF205)</f>
        <v>20726332.382262</v>
      </c>
      <c r="DG17" s="94" t="n">
        <f aca="false" ca="false" dt2D="false" dtr="false" t="normal">SUM(DG18:DG205)</f>
        <v>0</v>
      </c>
      <c r="DH17" s="94" t="n">
        <f aca="false" ca="false" dt2D="false" dtr="false" t="normal">SUM(DH18:DH205)</f>
        <v>0</v>
      </c>
      <c r="DI17" s="94" t="n">
        <f aca="false" ca="false" dt2D="false" dtr="false" t="normal">SUM(DI18:DI205)</f>
        <v>28694966.41</v>
      </c>
      <c r="DJ17" s="94" t="n">
        <f aca="false" ca="false" dt2D="false" dtr="false" t="normal">SUM(DJ18:DJ205)</f>
        <v>417243389.468066</v>
      </c>
      <c r="DK17" s="94" t="n">
        <f aca="false" ca="false" dt2D="false" dtr="false" t="normal">SUM(DK18:DK205)</f>
        <v>79372152.85999998</v>
      </c>
      <c r="DL17" s="94" t="n">
        <f aca="false" ca="false" dt2D="false" dtr="false" t="normal">SUM(DL18:DL205)</f>
        <v>386032575.02000004</v>
      </c>
      <c r="DM17" s="94" t="n">
        <f aca="false" ca="false" dt2D="false" dtr="false" t="normal">SUM(DM18:DM205)</f>
        <v>162824150.39</v>
      </c>
      <c r="DN17" s="94" t="n">
        <f aca="false" ca="false" dt2D="false" dtr="false" t="normal">SUM(DN18:DN205)</f>
        <v>44622520.01096848</v>
      </c>
      <c r="DO17" s="94" t="n">
        <f aca="false" ca="false" dt2D="false" dtr="false" t="normal">SUM(DO18:DO205)</f>
        <v>3686982.528160488</v>
      </c>
      <c r="DP17" s="94" t="n">
        <f aca="false" ca="false" dt2D="false" dtr="false" t="normal">SUM(DP18:DP205)</f>
        <v>5237742.060000001</v>
      </c>
      <c r="DQ17" s="98" t="n"/>
      <c r="DR17" s="98" t="n"/>
      <c r="DS17" s="98" t="n"/>
      <c r="DT17" s="98" t="n"/>
      <c r="DU17" s="98" t="n"/>
      <c r="DV17" s="98" t="n"/>
      <c r="DW17" s="98" t="n"/>
      <c r="DX17" s="98" t="n"/>
      <c r="DY17" s="98" t="n"/>
      <c r="DZ17" s="98" t="n"/>
      <c r="EA17" s="98" t="n"/>
      <c r="EB17" s="98" t="n"/>
      <c r="EC17" s="98" t="n"/>
      <c r="ED17" s="98" t="n"/>
      <c r="EE17" s="98" t="n"/>
      <c r="EF17" s="98" t="n"/>
      <c r="EG17" s="98" t="n"/>
      <c r="EH17" s="98" t="n"/>
      <c r="EI17" s="98" t="n"/>
      <c r="EJ17" s="98" t="n"/>
      <c r="EK17" s="98" t="n"/>
      <c r="EL17" s="98" t="n"/>
      <c r="EM17" s="98" t="n"/>
      <c r="EN17" s="98" t="n"/>
      <c r="EO17" s="98" t="n"/>
      <c r="EP17" s="98" t="n"/>
      <c r="EQ17" s="98" t="n"/>
      <c r="ER17" s="98" t="n"/>
      <c r="ES17" s="98" t="n"/>
    </row>
    <row hidden="false" ht="15" outlineLevel="0" r="18">
      <c r="A18" s="103" t="n">
        <v>1</v>
      </c>
      <c r="B18" s="104" t="n">
        <v>1</v>
      </c>
      <c r="C18" s="104" t="s">
        <v>66</v>
      </c>
      <c r="D18" s="104" t="s">
        <v>67</v>
      </c>
      <c r="E18" s="105" t="n">
        <v>1981</v>
      </c>
      <c r="F18" s="105" t="n">
        <v>2011</v>
      </c>
      <c r="G18" s="105" t="s">
        <v>68</v>
      </c>
      <c r="H18" s="105" t="n">
        <v>5</v>
      </c>
      <c r="I18" s="105" t="n">
        <v>6</v>
      </c>
      <c r="J18" s="106" t="n">
        <v>5474.4</v>
      </c>
      <c r="K18" s="106" t="n">
        <v>4591</v>
      </c>
      <c r="L18" s="106" t="n">
        <v>74.8</v>
      </c>
      <c r="M18" s="107" t="n">
        <v>142</v>
      </c>
      <c r="N18" s="108" t="n">
        <f aca="false" ca="false" dt2D="false" dtr="false" t="normal">SUM(P18:T18)</f>
        <v>35047609.42999999</v>
      </c>
      <c r="O18" s="109" t="n"/>
      <c r="P18" s="106" t="n">
        <v>6584690.76946667</v>
      </c>
      <c r="Q18" s="106" t="n">
        <v>1000000</v>
      </c>
      <c r="R18" s="106" t="n">
        <v>2702980.26946667</v>
      </c>
      <c r="S18" s="106" t="n">
        <v>21119848.48</v>
      </c>
      <c r="T18" s="106" t="n">
        <v>3640089.91106665</v>
      </c>
      <c r="U18" s="106" t="n">
        <v>7690.7327580823</v>
      </c>
      <c r="V18" s="106" t="n">
        <v>7690.7327580823</v>
      </c>
      <c r="W18" s="110" t="n">
        <v>2022</v>
      </c>
      <c r="X18" s="9" t="e">
        <f aca="false" ca="false" dt2D="false" dtr="false" t="normal">+#REF!-'[9]Приложение №1'!$P553</f>
        <v>#REF!</v>
      </c>
      <c r="Z18" s="108" t="n">
        <f aca="false" ca="false" dt2D="false" dtr="false" t="normal">SUM(AA18:AO18)</f>
        <v>55434949.759063035</v>
      </c>
      <c r="AA18" s="106" t="n">
        <v>13084371.2747652</v>
      </c>
      <c r="AB18" s="106" t="n">
        <v>6792071.88</v>
      </c>
      <c r="AC18" s="106" t="n"/>
      <c r="AD18" s="106" t="n">
        <v>2807007.18</v>
      </c>
      <c r="AE18" s="106" t="n">
        <v>0</v>
      </c>
      <c r="AF18" s="106" t="n"/>
      <c r="AG18" s="106" t="n">
        <v>422606.152063669</v>
      </c>
      <c r="AH18" s="106" t="n">
        <v>0</v>
      </c>
      <c r="AI18" s="106" t="n">
        <v>18902393.0483955</v>
      </c>
      <c r="AJ18" s="106" t="n">
        <v>8467593.24</v>
      </c>
      <c r="AK18" s="106" t="n">
        <v>0</v>
      </c>
      <c r="AL18" s="106" t="n">
        <v>0</v>
      </c>
      <c r="AM18" s="106" t="n">
        <v>3733539.28832539</v>
      </c>
      <c r="AN18" s="106" t="n">
        <v>375954.61581589</v>
      </c>
      <c r="AO18" s="111" t="n">
        <v>849413.079697382</v>
      </c>
      <c r="AP18" s="112" t="n">
        <f aca="false" ca="false" dt2D="false" dtr="false" t="normal">+N18-'Приложение №2'!E18</f>
        <v>0</v>
      </c>
      <c r="AQ18" s="1" t="n">
        <v>2359832.72</v>
      </c>
      <c r="AR18" s="3" t="n">
        <f aca="false" ca="false" dt2D="false" dtr="false" t="normal">+(K18*10+L18*20)*12*0.85</f>
        <v>483541.2</v>
      </c>
      <c r="AS18" s="3" t="n">
        <f aca="false" ca="false" dt2D="false" dtr="false" t="normal">+(K18*10+L18*20)*12*30</f>
        <v>17066160</v>
      </c>
      <c r="AT18" s="9" t="n">
        <f aca="false" ca="false" dt2D="false" dtr="false" t="normal">+S18-AS18</f>
        <v>4053688.4800000004</v>
      </c>
      <c r="AW18" s="113" t="n">
        <f aca="false" ca="true" dt2D="false" dtr="false" t="normal">SUBTOTAL(9, AX18:BL18)</f>
        <v>35883420.902660385</v>
      </c>
      <c r="AX18" s="106" t="n">
        <v>11937105.2</v>
      </c>
      <c r="AY18" s="106" t="n">
        <v>7031659.74</v>
      </c>
      <c r="AZ18" s="106" t="n"/>
      <c r="BA18" s="106" t="n">
        <v>2917316.85</v>
      </c>
      <c r="BB18" s="106" t="n">
        <v>0</v>
      </c>
      <c r="BC18" s="106" t="n"/>
      <c r="BD18" s="106" t="n"/>
      <c r="BE18" s="106" t="n">
        <v>0</v>
      </c>
      <c r="BF18" s="106" t="n">
        <v>4693934.4</v>
      </c>
      <c r="BG18" s="106" t="n">
        <v>8467593.24</v>
      </c>
      <c r="BH18" s="106" t="n">
        <v>0</v>
      </c>
      <c r="BI18" s="106" t="n">
        <v>0</v>
      </c>
      <c r="BJ18" s="106" t="n"/>
      <c r="BK18" s="114" t="n"/>
      <c r="BL18" s="115" t="n">
        <v>835811.472660387</v>
      </c>
      <c r="BM18" s="14" t="n">
        <f aca="false" ca="true" dt2D="false" dtr="false" t="normal">SUBTOTAL(9, BN18:CB18)</f>
        <v>35883420.902660385</v>
      </c>
      <c r="BN18" s="106" t="n">
        <v>11937105.2</v>
      </c>
      <c r="BO18" s="106" t="n">
        <v>7031659.74</v>
      </c>
      <c r="BP18" s="106" t="n"/>
      <c r="BQ18" s="106" t="n">
        <v>2917316.85</v>
      </c>
      <c r="BR18" s="106" t="n">
        <v>0</v>
      </c>
      <c r="BS18" s="106" t="n"/>
      <c r="BT18" s="106" t="n"/>
      <c r="BU18" s="106" t="n">
        <v>0</v>
      </c>
      <c r="BV18" s="106" t="n">
        <v>4693934.4</v>
      </c>
      <c r="BW18" s="106" t="n">
        <v>8467593.24</v>
      </c>
      <c r="BX18" s="106" t="n">
        <v>0</v>
      </c>
      <c r="BY18" s="106" t="n">
        <v>0</v>
      </c>
      <c r="BZ18" s="106" t="n"/>
      <c r="CA18" s="114" t="n"/>
      <c r="CB18" s="115" t="n">
        <v>835811.472660387</v>
      </c>
      <c r="CD18" s="116" t="n">
        <v>1</v>
      </c>
      <c r="CE18" s="117" t="n">
        <v>1</v>
      </c>
      <c r="CF18" s="104" t="s">
        <v>66</v>
      </c>
      <c r="CG18" s="104" t="s">
        <v>67</v>
      </c>
      <c r="CH18" s="118" t="n">
        <f aca="false" ca="true" dt2D="false" dtr="false" t="normal">SUBTOTAL(9, CI18:CW18)</f>
        <v>35883420.902660385</v>
      </c>
      <c r="CI18" s="106" t="n">
        <v>11937105.2</v>
      </c>
      <c r="CJ18" s="106" t="n">
        <v>7031659.74</v>
      </c>
      <c r="CK18" s="106" t="n"/>
      <c r="CL18" s="106" t="n">
        <v>2917316.85</v>
      </c>
      <c r="CM18" s="106" t="n">
        <v>0</v>
      </c>
      <c r="CN18" s="106" t="n"/>
      <c r="CO18" s="106" t="n"/>
      <c r="CP18" s="106" t="n">
        <v>0</v>
      </c>
      <c r="CQ18" s="106" t="n">
        <v>4693934.4</v>
      </c>
      <c r="CR18" s="106" t="n">
        <v>8467593.24</v>
      </c>
      <c r="CS18" s="106" t="n">
        <v>0</v>
      </c>
      <c r="CT18" s="106" t="n">
        <v>0</v>
      </c>
      <c r="CU18" s="106" t="n"/>
      <c r="CV18" s="114" t="n"/>
      <c r="CW18" s="115" t="n">
        <v>835811.472660387</v>
      </c>
      <c r="CZ18" s="104" t="s">
        <v>67</v>
      </c>
      <c r="DA18" s="119" t="n">
        <f aca="false" ca="true" dt2D="false" dtr="false" t="normal">SUBTOTAL(9, DB18:DP18)</f>
        <v>35047609.43</v>
      </c>
      <c r="DB18" s="106" t="n">
        <v>11937105.2</v>
      </c>
      <c r="DC18" s="106" t="n">
        <v>7031659.74</v>
      </c>
      <c r="DD18" s="106" t="n"/>
      <c r="DE18" s="106" t="n">
        <v>2917316.85</v>
      </c>
      <c r="DF18" s="106" t="n">
        <v>0</v>
      </c>
      <c r="DG18" s="106" t="n"/>
      <c r="DH18" s="106" t="n"/>
      <c r="DI18" s="106" t="n">
        <v>0</v>
      </c>
      <c r="DJ18" s="106" t="n">
        <v>4693934.4</v>
      </c>
      <c r="DK18" s="106" t="n">
        <v>8467593.24</v>
      </c>
      <c r="DL18" s="106" t="n">
        <v>0</v>
      </c>
      <c r="DM18" s="106" t="n">
        <v>0</v>
      </c>
      <c r="DN18" s="106" t="n"/>
      <c r="DO18" s="114" t="n"/>
      <c r="DP18" s="120" t="n">
        <v>0</v>
      </c>
    </row>
    <row hidden="false" ht="15" outlineLevel="0" r="19">
      <c r="A19" s="103" t="n">
        <f aca="false" ca="false" dt2D="false" dtr="false" t="normal">+A18+1</f>
        <v>2</v>
      </c>
      <c r="B19" s="104" t="n">
        <f aca="false" ca="false" dt2D="false" dtr="false" t="normal">+B18+1</f>
        <v>2</v>
      </c>
      <c r="C19" s="104" t="s">
        <v>66</v>
      </c>
      <c r="D19" s="104" t="s">
        <v>69</v>
      </c>
      <c r="E19" s="105" t="n">
        <v>1982</v>
      </c>
      <c r="F19" s="105" t="n">
        <v>2011</v>
      </c>
      <c r="G19" s="105" t="s">
        <v>68</v>
      </c>
      <c r="H19" s="105" t="n">
        <v>5</v>
      </c>
      <c r="I19" s="105" t="n">
        <v>6</v>
      </c>
      <c r="J19" s="106" t="n">
        <v>4657</v>
      </c>
      <c r="K19" s="106" t="n">
        <v>4657</v>
      </c>
      <c r="L19" s="106" t="n">
        <v>0</v>
      </c>
      <c r="M19" s="107" t="n">
        <v>172</v>
      </c>
      <c r="N19" s="108" t="n">
        <f aca="false" ca="false" dt2D="false" dtr="false" t="normal">SUM(P19:T19)</f>
        <v>33206648.36</v>
      </c>
      <c r="O19" s="109" t="n"/>
      <c r="P19" s="106" t="n">
        <v>4521209.81</v>
      </c>
      <c r="Q19" s="106" t="n">
        <v>1000000</v>
      </c>
      <c r="R19" s="106" t="n">
        <v>2932021.84</v>
      </c>
      <c r="S19" s="106" t="n">
        <v>16765200</v>
      </c>
      <c r="T19" s="106" t="n">
        <v>7988216.71</v>
      </c>
      <c r="U19" s="106" t="n">
        <v>7330.55647412497</v>
      </c>
      <c r="V19" s="106" t="n">
        <v>7330.55647412497</v>
      </c>
      <c r="W19" s="110" t="n">
        <v>2022</v>
      </c>
      <c r="X19" s="9" t="e">
        <f aca="false" ca="false" dt2D="false" dtr="false" t="normal">+#REF!-'[9]Приложение №1'!$P554</f>
        <v>#REF!</v>
      </c>
      <c r="Z19" s="108" t="n">
        <f aca="false" ca="false" dt2D="false" dtr="false" t="normal">SUM(AA19:AO19)</f>
        <v>55631222.15576201</v>
      </c>
      <c r="AA19" s="106" t="n">
        <v>13087181.5523216</v>
      </c>
      <c r="AB19" s="106" t="n">
        <v>6304509.42474383</v>
      </c>
      <c r="AC19" s="106" t="n"/>
      <c r="AD19" s="106" t="n">
        <v>2789523</v>
      </c>
      <c r="AE19" s="106" t="n">
        <v>0</v>
      </c>
      <c r="AF19" s="106" t="n"/>
      <c r="AG19" s="106" t="n">
        <v>422696.919939281</v>
      </c>
      <c r="AH19" s="106" t="n">
        <v>0</v>
      </c>
      <c r="AI19" s="106" t="n">
        <v>18906452.9279136</v>
      </c>
      <c r="AJ19" s="106" t="n">
        <v>8471863.8</v>
      </c>
      <c r="AK19" s="106" t="n">
        <v>0</v>
      </c>
      <c r="AL19" s="106" t="n">
        <v>0</v>
      </c>
      <c r="AM19" s="106" t="n">
        <v>4266399.78392221</v>
      </c>
      <c r="AN19" s="106" t="n">
        <v>445086.13631034</v>
      </c>
      <c r="AO19" s="111" t="n">
        <v>937508.610611151</v>
      </c>
      <c r="AP19" s="112" t="n">
        <f aca="false" ca="false" dt2D="false" dtr="false" t="normal">+N19-'Приложение №2'!E19</f>
        <v>0</v>
      </c>
      <c r="AQ19" s="1" t="n">
        <v>2457007.84</v>
      </c>
      <c r="AR19" s="3" t="n">
        <f aca="false" ca="false" dt2D="false" dtr="false" t="normal">+(K19*10+L19*20)*12*0.85</f>
        <v>475014</v>
      </c>
      <c r="AS19" s="3" t="n">
        <f aca="false" ca="false" dt2D="false" dtr="false" t="normal">+(K19*10+L19*20)*12*30</f>
        <v>16765200</v>
      </c>
      <c r="AT19" s="9" t="n">
        <f aca="false" ca="false" dt2D="false" dtr="false" t="normal">+S19-AS19</f>
        <v>0</v>
      </c>
      <c r="AW19" s="113" t="n">
        <f aca="false" ca="true" dt2D="false" dtr="false" t="normal">SUBTOTAL(9, AX19:BL19)</f>
        <v>34138401.5</v>
      </c>
      <c r="AX19" s="106" t="n">
        <v>10136488.12</v>
      </c>
      <c r="AY19" s="106" t="n">
        <v>6838744.34</v>
      </c>
      <c r="AZ19" s="106" t="n"/>
      <c r="BA19" s="106" t="n">
        <v>2920060.1</v>
      </c>
      <c r="BB19" s="106" t="n">
        <v>0</v>
      </c>
      <c r="BC19" s="106" t="n"/>
      <c r="BD19" s="106" t="n"/>
      <c r="BE19" s="106" t="n">
        <v>0</v>
      </c>
      <c r="BF19" s="106" t="n">
        <v>4839492</v>
      </c>
      <c r="BG19" s="106" t="n">
        <v>8471863.8</v>
      </c>
      <c r="BH19" s="106" t="n">
        <v>0</v>
      </c>
      <c r="BI19" s="106" t="n">
        <v>0</v>
      </c>
      <c r="BJ19" s="106" t="n"/>
      <c r="BK19" s="114" t="n"/>
      <c r="BL19" s="115" t="n">
        <v>931753.14</v>
      </c>
      <c r="BM19" s="14" t="n">
        <f aca="false" ca="true" dt2D="false" dtr="false" t="normal">SUBTOTAL(9, BN19:CB19)</f>
        <v>34138401.5</v>
      </c>
      <c r="BN19" s="106" t="n">
        <v>10136488.12</v>
      </c>
      <c r="BO19" s="106" t="n">
        <v>6838744.34</v>
      </c>
      <c r="BP19" s="106" t="n"/>
      <c r="BQ19" s="106" t="n">
        <v>2920060.1</v>
      </c>
      <c r="BR19" s="106" t="n">
        <v>0</v>
      </c>
      <c r="BS19" s="106" t="n"/>
      <c r="BT19" s="106" t="n"/>
      <c r="BU19" s="106" t="n">
        <v>0</v>
      </c>
      <c r="BV19" s="106" t="n">
        <v>4839492</v>
      </c>
      <c r="BW19" s="106" t="n">
        <v>8471863.8</v>
      </c>
      <c r="BX19" s="106" t="n">
        <v>0</v>
      </c>
      <c r="BY19" s="106" t="n">
        <v>0</v>
      </c>
      <c r="BZ19" s="106" t="n"/>
      <c r="CA19" s="114" t="n"/>
      <c r="CB19" s="115" t="n">
        <v>931753.14</v>
      </c>
      <c r="CD19" s="116" t="n">
        <f aca="false" ca="false" dt2D="false" dtr="false" t="normal">+CD18+1</f>
        <v>2</v>
      </c>
      <c r="CE19" s="117" t="n">
        <f aca="false" ca="false" dt2D="false" dtr="false" t="normal">+CE18+1</f>
        <v>2</v>
      </c>
      <c r="CF19" s="104" t="s">
        <v>66</v>
      </c>
      <c r="CG19" s="104" t="s">
        <v>69</v>
      </c>
      <c r="CH19" s="118" t="n">
        <f aca="false" ca="true" dt2D="false" dtr="false" t="normal">SUBTOTAL(9, CI19:CW19)</f>
        <v>34138401.5</v>
      </c>
      <c r="CI19" s="106" t="n">
        <v>10136488.12</v>
      </c>
      <c r="CJ19" s="106" t="n">
        <v>6838744.34</v>
      </c>
      <c r="CK19" s="106" t="n"/>
      <c r="CL19" s="106" t="n">
        <v>2920060.1</v>
      </c>
      <c r="CM19" s="106" t="n">
        <v>0</v>
      </c>
      <c r="CN19" s="106" t="n"/>
      <c r="CO19" s="106" t="n"/>
      <c r="CP19" s="106" t="n">
        <v>0</v>
      </c>
      <c r="CQ19" s="106" t="n">
        <v>4839492</v>
      </c>
      <c r="CR19" s="106" t="n">
        <v>8471863.8</v>
      </c>
      <c r="CS19" s="106" t="n">
        <v>0</v>
      </c>
      <c r="CT19" s="106" t="n">
        <v>0</v>
      </c>
      <c r="CU19" s="106" t="n"/>
      <c r="CV19" s="114" t="n"/>
      <c r="CW19" s="115" t="n">
        <v>931753.14</v>
      </c>
      <c r="CZ19" s="104" t="s">
        <v>69</v>
      </c>
      <c r="DA19" s="119" t="n">
        <f aca="false" ca="true" dt2D="false" dtr="false" t="normal">SUBTOTAL(9, DB19:DP19)</f>
        <v>33206648.360000003</v>
      </c>
      <c r="DB19" s="106" t="n">
        <v>10136488.12</v>
      </c>
      <c r="DC19" s="106" t="n">
        <v>6838744.34</v>
      </c>
      <c r="DD19" s="106" t="n"/>
      <c r="DE19" s="106" t="n">
        <v>2920060.1</v>
      </c>
      <c r="DF19" s="106" t="n">
        <v>0</v>
      </c>
      <c r="DG19" s="106" t="n"/>
      <c r="DH19" s="106" t="n"/>
      <c r="DI19" s="106" t="n">
        <v>0</v>
      </c>
      <c r="DJ19" s="106" t="n">
        <v>4839492</v>
      </c>
      <c r="DK19" s="106" t="n">
        <v>8471863.8</v>
      </c>
      <c r="DL19" s="106" t="n">
        <v>0</v>
      </c>
      <c r="DM19" s="106" t="n">
        <v>0</v>
      </c>
      <c r="DN19" s="106" t="n"/>
      <c r="DO19" s="114" t="n"/>
      <c r="DP19" s="120" t="n">
        <v>0</v>
      </c>
    </row>
    <row hidden="false" ht="15" outlineLevel="0" r="20">
      <c r="A20" s="103" t="n">
        <f aca="false" ca="false" dt2D="false" dtr="false" t="normal">+A19+1</f>
        <v>3</v>
      </c>
      <c r="B20" s="104" t="n">
        <f aca="false" ca="false" dt2D="false" dtr="false" t="normal">+B19+1</f>
        <v>3</v>
      </c>
      <c r="C20" s="104" t="s">
        <v>66</v>
      </c>
      <c r="D20" s="104" t="s">
        <v>70</v>
      </c>
      <c r="E20" s="105" t="n">
        <v>1983</v>
      </c>
      <c r="F20" s="105" t="n">
        <v>2011</v>
      </c>
      <c r="G20" s="105" t="s">
        <v>68</v>
      </c>
      <c r="H20" s="105" t="n">
        <v>5</v>
      </c>
      <c r="I20" s="105" t="n">
        <v>4</v>
      </c>
      <c r="J20" s="106" t="n">
        <v>3725.7</v>
      </c>
      <c r="K20" s="106" t="n">
        <v>3170.6</v>
      </c>
      <c r="L20" s="106" t="n">
        <v>0</v>
      </c>
      <c r="M20" s="107" t="n">
        <v>120</v>
      </c>
      <c r="N20" s="108" t="n">
        <f aca="false" ca="false" dt2D="false" dtr="false" t="normal">SUM(P20:T20)</f>
        <v>21470844.819999997</v>
      </c>
      <c r="O20" s="109" t="n"/>
      <c r="P20" s="114" t="n">
        <v>4188632.37</v>
      </c>
      <c r="Q20" s="114" t="n">
        <v>0</v>
      </c>
      <c r="R20" s="114" t="n">
        <v>1877886.64</v>
      </c>
      <c r="S20" s="114" t="n">
        <v>11414160</v>
      </c>
      <c r="T20" s="106" t="n">
        <v>3990165.81</v>
      </c>
      <c r="U20" s="114" t="n">
        <v>6877.08374022438</v>
      </c>
      <c r="V20" s="114" t="n">
        <v>6877.08374022438</v>
      </c>
      <c r="W20" s="110" t="n">
        <v>2022</v>
      </c>
      <c r="X20" s="9" t="e">
        <f aca="false" ca="false" dt2D="false" dtr="false" t="normal">+#REF!-'[9]Приложение №1'!$P555</f>
        <v>#REF!</v>
      </c>
      <c r="Z20" s="113" t="n">
        <f aca="false" ca="false" dt2D="false" dtr="false" t="normal">SUM(AA20:AO20)</f>
        <v>17332985.384287383</v>
      </c>
      <c r="AA20" s="106" t="n">
        <v>8910266.02026902</v>
      </c>
      <c r="AB20" s="106" t="n">
        <v>4292357.05771926</v>
      </c>
      <c r="AC20" s="106" t="n"/>
      <c r="AD20" s="106" t="n">
        <v>1766460.13572826</v>
      </c>
      <c r="AE20" s="106" t="n">
        <v>0</v>
      </c>
      <c r="AF20" s="106" t="n"/>
      <c r="AG20" s="106" t="n">
        <v>287788.626416605</v>
      </c>
      <c r="AH20" s="106" t="n">
        <v>0</v>
      </c>
      <c r="AI20" s="106" t="n">
        <v>0</v>
      </c>
      <c r="AJ20" s="106" t="n"/>
      <c r="AK20" s="106" t="n">
        <v>0</v>
      </c>
      <c r="AL20" s="106" t="n">
        <v>0</v>
      </c>
      <c r="AM20" s="106" t="n">
        <v>1569146.80355595</v>
      </c>
      <c r="AN20" s="114" t="n">
        <v>173329.853842874</v>
      </c>
      <c r="AO20" s="115" t="n">
        <v>333636.886755415</v>
      </c>
      <c r="AP20" s="112" t="n">
        <f aca="false" ca="false" dt2D="false" dtr="false" t="normal">+N20-'Приложение №2'!E20</f>
        <v>0</v>
      </c>
      <c r="AQ20" s="1" t="n">
        <v>1554485.44</v>
      </c>
      <c r="AR20" s="3" t="n">
        <f aca="false" ca="false" dt2D="false" dtr="false" t="normal">+(K20*10+L20*20)*12*0.85</f>
        <v>323401.2</v>
      </c>
      <c r="AS20" s="3" t="n">
        <f aca="false" ca="false" dt2D="false" dtr="false" t="normal">+(K20*10+L20*20)*12*30</f>
        <v>11414160</v>
      </c>
      <c r="AT20" s="9" t="n">
        <f aca="false" ca="false" dt2D="false" dtr="false" t="normal">+S20-AS20</f>
        <v>0</v>
      </c>
      <c r="AW20" s="113" t="n">
        <f aca="false" ca="true" dt2D="false" dtr="false" t="normal">SUBTOTAL(9, AX20:BL20)</f>
        <v>21804481.706755415</v>
      </c>
      <c r="AX20" s="106" t="n">
        <v>8693551.24</v>
      </c>
      <c r="AY20" s="106" t="n">
        <v>2539728.97</v>
      </c>
      <c r="AZ20" s="106" t="n"/>
      <c r="BA20" s="106" t="n">
        <v>1744090.12</v>
      </c>
      <c r="BB20" s="106" t="n">
        <v>0</v>
      </c>
      <c r="BC20" s="106" t="n"/>
      <c r="BD20" s="106" t="n"/>
      <c r="BE20" s="106" t="n">
        <v>0</v>
      </c>
      <c r="BF20" s="106" t="n">
        <v>2720365.2</v>
      </c>
      <c r="BG20" s="106" t="n">
        <v>5773109.29</v>
      </c>
      <c r="BH20" s="106" t="n">
        <v>0</v>
      </c>
      <c r="BI20" s="106" t="n">
        <v>0</v>
      </c>
      <c r="BJ20" s="106" t="n"/>
      <c r="BK20" s="114" t="n"/>
      <c r="BL20" s="115" t="n">
        <v>333636.886755415</v>
      </c>
      <c r="BM20" s="14" t="n">
        <f aca="false" ca="true" dt2D="false" dtr="false" t="normal">SUBTOTAL(9, BN20:CB20)</f>
        <v>21804481.706755415</v>
      </c>
      <c r="BN20" s="106" t="n">
        <v>8693551.24</v>
      </c>
      <c r="BO20" s="106" t="n">
        <v>2539728.97</v>
      </c>
      <c r="BP20" s="106" t="n"/>
      <c r="BQ20" s="106" t="n">
        <v>1744090.12</v>
      </c>
      <c r="BR20" s="106" t="n">
        <v>0</v>
      </c>
      <c r="BS20" s="106" t="n"/>
      <c r="BT20" s="106" t="n"/>
      <c r="BU20" s="106" t="n">
        <v>0</v>
      </c>
      <c r="BV20" s="106" t="n">
        <v>2720365.2</v>
      </c>
      <c r="BW20" s="106" t="n">
        <v>5773109.29</v>
      </c>
      <c r="BX20" s="106" t="n">
        <v>0</v>
      </c>
      <c r="BY20" s="106" t="n">
        <v>0</v>
      </c>
      <c r="BZ20" s="106" t="n"/>
      <c r="CA20" s="114" t="n"/>
      <c r="CB20" s="115" t="n">
        <v>333636.886755415</v>
      </c>
      <c r="CD20" s="116" t="n">
        <f aca="false" ca="false" dt2D="false" dtr="false" t="normal">+CD19+1</f>
        <v>3</v>
      </c>
      <c r="CE20" s="117" t="n">
        <f aca="false" ca="false" dt2D="false" dtr="false" t="normal">+CE19+1</f>
        <v>3</v>
      </c>
      <c r="CF20" s="104" t="s">
        <v>66</v>
      </c>
      <c r="CG20" s="104" t="s">
        <v>70</v>
      </c>
      <c r="CH20" s="118" t="n">
        <f aca="false" ca="true" dt2D="false" dtr="false" t="normal">SUBTOTAL(9, CI20:CW20)</f>
        <v>21804481.706755415</v>
      </c>
      <c r="CI20" s="106" t="n">
        <v>8693551.24</v>
      </c>
      <c r="CJ20" s="106" t="n">
        <v>2539728.97</v>
      </c>
      <c r="CK20" s="106" t="n"/>
      <c r="CL20" s="106" t="n">
        <v>1744090.12</v>
      </c>
      <c r="CM20" s="106" t="n">
        <v>0</v>
      </c>
      <c r="CN20" s="106" t="n"/>
      <c r="CO20" s="106" t="n"/>
      <c r="CP20" s="106" t="n">
        <v>0</v>
      </c>
      <c r="CQ20" s="106" t="n">
        <v>2720365.2</v>
      </c>
      <c r="CR20" s="106" t="n">
        <v>5773109.29</v>
      </c>
      <c r="CS20" s="106" t="n">
        <v>0</v>
      </c>
      <c r="CT20" s="106" t="n">
        <v>0</v>
      </c>
      <c r="CU20" s="106" t="n"/>
      <c r="CV20" s="114" t="n"/>
      <c r="CW20" s="115" t="n">
        <v>333636.886755415</v>
      </c>
      <c r="CZ20" s="104" t="s">
        <v>70</v>
      </c>
      <c r="DA20" s="119" t="n">
        <f aca="false" ca="true" dt2D="false" dtr="false" t="normal">SUBTOTAL(9, DB20:DP20)</f>
        <v>21470844.82</v>
      </c>
      <c r="DB20" s="106" t="n">
        <v>8693551.24</v>
      </c>
      <c r="DC20" s="106" t="n">
        <v>2539728.97</v>
      </c>
      <c r="DD20" s="106" t="n"/>
      <c r="DE20" s="106" t="n">
        <v>1744090.12</v>
      </c>
      <c r="DF20" s="106" t="n">
        <v>0</v>
      </c>
      <c r="DG20" s="106" t="n"/>
      <c r="DH20" s="106" t="n"/>
      <c r="DI20" s="106" t="n">
        <v>0</v>
      </c>
      <c r="DJ20" s="106" t="n">
        <v>2720365.2</v>
      </c>
      <c r="DK20" s="106" t="n">
        <v>5773109.29</v>
      </c>
      <c r="DL20" s="106" t="n">
        <v>0</v>
      </c>
      <c r="DM20" s="106" t="n">
        <v>0</v>
      </c>
      <c r="DN20" s="106" t="n"/>
      <c r="DO20" s="114" t="n"/>
      <c r="DP20" s="120" t="n">
        <v>0</v>
      </c>
    </row>
    <row customHeight="true" hidden="false" ht="15" outlineLevel="0" r="21">
      <c r="A21" s="103" t="n">
        <f aca="false" ca="false" dt2D="false" dtr="false" t="normal">+A20+1</f>
        <v>4</v>
      </c>
      <c r="B21" s="104" t="n">
        <f aca="false" ca="false" dt2D="false" dtr="false" t="normal">+B20+1</f>
        <v>4</v>
      </c>
      <c r="C21" s="104" t="s">
        <v>71</v>
      </c>
      <c r="D21" s="104" t="s">
        <v>72</v>
      </c>
      <c r="E21" s="105" t="n">
        <v>1995</v>
      </c>
      <c r="F21" s="105" t="n">
        <v>2013</v>
      </c>
      <c r="G21" s="105" t="s">
        <v>68</v>
      </c>
      <c r="H21" s="105" t="n">
        <v>3</v>
      </c>
      <c r="I21" s="105" t="n">
        <v>4</v>
      </c>
      <c r="J21" s="106" t="n">
        <v>2740.5</v>
      </c>
      <c r="K21" s="106" t="n">
        <v>1849.2</v>
      </c>
      <c r="L21" s="106" t="n">
        <v>0</v>
      </c>
      <c r="M21" s="107" t="n">
        <v>67</v>
      </c>
      <c r="N21" s="108" t="n">
        <f aca="false" ca="false" dt2D="false" dtr="false" t="normal">SUM(P21:T21)</f>
        <v>6418110.899999999</v>
      </c>
      <c r="O21" s="106" t="n"/>
      <c r="P21" s="114" t="n"/>
      <c r="Q21" s="114" t="n"/>
      <c r="R21" s="114" t="n">
        <v>1097135.09</v>
      </c>
      <c r="S21" s="114" t="n">
        <v>5320975.81</v>
      </c>
      <c r="T21" s="106" t="n">
        <v>0</v>
      </c>
      <c r="U21" s="114" t="n">
        <v>3614.27744914558</v>
      </c>
      <c r="V21" s="114" t="n">
        <v>3614.27744914558</v>
      </c>
      <c r="W21" s="110" t="n">
        <v>2022</v>
      </c>
      <c r="X21" s="9" t="e">
        <f aca="false" ca="false" dt2D="false" dtr="false" t="normal">+#REF!-'[9]Приложение №1'!$P909</f>
        <v>#REF!</v>
      </c>
      <c r="Z21" s="113" t="n">
        <f aca="false" ca="false" dt2D="false" dtr="false" t="normal">SUM(AA21:AO21)</f>
        <v>17794596.000000004</v>
      </c>
      <c r="AA21" s="106" t="n">
        <v>0</v>
      </c>
      <c r="AB21" s="106" t="n">
        <v>0</v>
      </c>
      <c r="AC21" s="106" t="n">
        <v>0</v>
      </c>
      <c r="AD21" s="106" t="n">
        <v>0</v>
      </c>
      <c r="AE21" s="106" t="n">
        <v>0</v>
      </c>
      <c r="AF21" s="106" t="n"/>
      <c r="AG21" s="106" t="n">
        <v>0</v>
      </c>
      <c r="AH21" s="106" t="n">
        <v>0</v>
      </c>
      <c r="AI21" s="106" t="n">
        <v>15672412.48104</v>
      </c>
      <c r="AJ21" s="106" t="n">
        <v>0</v>
      </c>
      <c r="AK21" s="106" t="n">
        <v>0</v>
      </c>
      <c r="AL21" s="106" t="n">
        <v>0</v>
      </c>
      <c r="AM21" s="106" t="n">
        <v>1601513.64</v>
      </c>
      <c r="AN21" s="114" t="n">
        <v>177945.96</v>
      </c>
      <c r="AO21" s="115" t="n">
        <v>342723.91896</v>
      </c>
      <c r="AP21" s="112" t="n">
        <f aca="false" ca="false" dt2D="false" dtr="false" t="normal">+N21-'Приложение №2'!E21</f>
        <v>0</v>
      </c>
      <c r="AQ21" s="121" t="n">
        <v>908516.69</v>
      </c>
      <c r="AR21" s="3" t="n">
        <f aca="false" ca="false" dt2D="false" dtr="false" t="normal">+(K21*10+L21*20)*12*0.85</f>
        <v>188618.4</v>
      </c>
      <c r="AS21" s="3" t="n">
        <f aca="false" ca="false" dt2D="false" dtr="false" t="normal">+(K21*10+L21*20)*12*30</f>
        <v>6657120</v>
      </c>
      <c r="AT21" s="9" t="n">
        <f aca="false" ca="false" dt2D="false" dtr="false" t="normal">+S21-AS21</f>
        <v>-1336144.1900000004</v>
      </c>
      <c r="AW21" s="113" t="n">
        <f aca="false" ca="true" dt2D="false" dtr="false" t="normal">SUBTOTAL(9, AX21:BL21)</f>
        <v>6683521.858960001</v>
      </c>
      <c r="AX21" s="106" t="n">
        <v>0</v>
      </c>
      <c r="AY21" s="106" t="n">
        <v>0</v>
      </c>
      <c r="AZ21" s="106" t="n">
        <v>0</v>
      </c>
      <c r="BA21" s="106" t="n">
        <v>0</v>
      </c>
      <c r="BB21" s="106" t="n">
        <v>0</v>
      </c>
      <c r="BC21" s="106" t="n"/>
      <c r="BD21" s="106" t="n"/>
      <c r="BE21" s="106" t="n">
        <v>0</v>
      </c>
      <c r="BF21" s="106" t="n">
        <v>6340797.94</v>
      </c>
      <c r="BG21" s="106" t="n">
        <v>0</v>
      </c>
      <c r="BH21" s="106" t="n">
        <v>0</v>
      </c>
      <c r="BI21" s="106" t="n">
        <v>0</v>
      </c>
      <c r="BJ21" s="106" t="n"/>
      <c r="BK21" s="114" t="n"/>
      <c r="BL21" s="115" t="n">
        <v>342723.91896</v>
      </c>
      <c r="BM21" s="14" t="n">
        <f aca="false" ca="true" dt2D="false" dtr="false" t="normal">SUBTOTAL(9, BN21:CB21)</f>
        <v>6683521.858960001</v>
      </c>
      <c r="BN21" s="106" t="n">
        <v>0</v>
      </c>
      <c r="BO21" s="106" t="n">
        <v>0</v>
      </c>
      <c r="BP21" s="106" t="n">
        <v>0</v>
      </c>
      <c r="BQ21" s="106" t="n">
        <v>0</v>
      </c>
      <c r="BR21" s="106" t="n">
        <v>0</v>
      </c>
      <c r="BS21" s="106" t="n"/>
      <c r="BT21" s="106" t="n"/>
      <c r="BU21" s="106" t="n">
        <v>0</v>
      </c>
      <c r="BV21" s="106" t="n">
        <v>6340797.94</v>
      </c>
      <c r="BW21" s="106" t="n">
        <v>0</v>
      </c>
      <c r="BX21" s="106" t="n">
        <v>0</v>
      </c>
      <c r="BY21" s="106" t="n">
        <v>0</v>
      </c>
      <c r="BZ21" s="106" t="n"/>
      <c r="CA21" s="114" t="n"/>
      <c r="CB21" s="115" t="n">
        <v>342723.91896</v>
      </c>
      <c r="CD21" s="116" t="n">
        <f aca="false" ca="false" dt2D="false" dtr="false" t="normal">+CD20+1</f>
        <v>4</v>
      </c>
      <c r="CE21" s="117" t="n">
        <f aca="false" ca="false" dt2D="false" dtr="false" t="normal">+CE20+1</f>
        <v>4</v>
      </c>
      <c r="CF21" s="104" t="s">
        <v>71</v>
      </c>
      <c r="CG21" s="104" t="s">
        <v>72</v>
      </c>
      <c r="CH21" s="118" t="n">
        <f aca="false" ca="true" dt2D="false" dtr="false" t="normal">SUBTOTAL(9, CI21:CW21)</f>
        <v>6683521.858960001</v>
      </c>
      <c r="CI21" s="106" t="n">
        <v>0</v>
      </c>
      <c r="CJ21" s="106" t="n">
        <v>0</v>
      </c>
      <c r="CK21" s="106" t="n">
        <v>0</v>
      </c>
      <c r="CL21" s="106" t="n">
        <v>0</v>
      </c>
      <c r="CM21" s="106" t="n">
        <v>0</v>
      </c>
      <c r="CN21" s="106" t="n"/>
      <c r="CO21" s="106" t="n"/>
      <c r="CP21" s="106" t="n">
        <v>0</v>
      </c>
      <c r="CQ21" s="106" t="n">
        <v>6340797.94</v>
      </c>
      <c r="CR21" s="106" t="n">
        <v>0</v>
      </c>
      <c r="CS21" s="106" t="n">
        <v>0</v>
      </c>
      <c r="CT21" s="106" t="n">
        <v>0</v>
      </c>
      <c r="CU21" s="106" t="n"/>
      <c r="CV21" s="114" t="n"/>
      <c r="CW21" s="115" t="n">
        <v>342723.91896</v>
      </c>
      <c r="CZ21" s="104" t="s">
        <v>72</v>
      </c>
      <c r="DA21" s="119" t="n">
        <f aca="false" ca="true" dt2D="false" dtr="false" t="normal">SUBTOTAL(9, DB21:DP21)</f>
        <v>6418110.9</v>
      </c>
      <c r="DB21" s="106" t="n">
        <v>0</v>
      </c>
      <c r="DC21" s="106" t="n">
        <v>0</v>
      </c>
      <c r="DD21" s="106" t="n">
        <v>0</v>
      </c>
      <c r="DE21" s="106" t="n">
        <v>0</v>
      </c>
      <c r="DF21" s="106" t="n">
        <v>0</v>
      </c>
      <c r="DG21" s="106" t="n"/>
      <c r="DH21" s="106" t="n"/>
      <c r="DI21" s="106" t="n">
        <v>0</v>
      </c>
      <c r="DJ21" s="106" t="n">
        <v>6340797.94</v>
      </c>
      <c r="DK21" s="106" t="n">
        <v>0</v>
      </c>
      <c r="DL21" s="106" t="n">
        <v>0</v>
      </c>
      <c r="DM21" s="106" t="n">
        <v>0</v>
      </c>
      <c r="DN21" s="106" t="n"/>
      <c r="DO21" s="114" t="n"/>
      <c r="DP21" s="120" t="n">
        <f aca="false" ca="false" dt2D="false" dtr="false" t="normal">77312.96</f>
        <v>77312.96</v>
      </c>
    </row>
    <row customHeight="true" hidden="false" ht="15" outlineLevel="0" r="22">
      <c r="A22" s="103" t="n">
        <f aca="false" ca="false" dt2D="false" dtr="false" t="normal">+A21+1</f>
        <v>5</v>
      </c>
      <c r="B22" s="104" t="n">
        <f aca="false" ca="false" dt2D="false" dtr="false" t="normal">+B21+1</f>
        <v>5</v>
      </c>
      <c r="C22" s="104" t="s">
        <v>71</v>
      </c>
      <c r="D22" s="104" t="s">
        <v>73</v>
      </c>
      <c r="E22" s="105" t="n">
        <v>1994</v>
      </c>
      <c r="F22" s="105" t="n">
        <v>2013</v>
      </c>
      <c r="G22" s="105" t="s">
        <v>68</v>
      </c>
      <c r="H22" s="105" t="n">
        <v>3</v>
      </c>
      <c r="I22" s="105" t="n">
        <v>2</v>
      </c>
      <c r="J22" s="106" t="n">
        <v>1781.6</v>
      </c>
      <c r="K22" s="106" t="n">
        <v>1210.6</v>
      </c>
      <c r="L22" s="106" t="n">
        <v>0</v>
      </c>
      <c r="M22" s="107" t="n">
        <v>67</v>
      </c>
      <c r="N22" s="108" t="n">
        <f aca="false" ca="false" dt2D="false" dtr="false" t="normal">SUM(P22:T22)</f>
        <v>1311120.1400000001</v>
      </c>
      <c r="O22" s="106" t="n"/>
      <c r="P22" s="114" t="n"/>
      <c r="Q22" s="114" t="n"/>
      <c r="R22" s="114" t="n">
        <v>428000.15</v>
      </c>
      <c r="S22" s="114" t="n">
        <v>883119.99</v>
      </c>
      <c r="T22" s="106" t="n">
        <v>0</v>
      </c>
      <c r="U22" s="114" t="n">
        <v>1140.34017456659</v>
      </c>
      <c r="V22" s="114" t="n">
        <v>1140.34017456659</v>
      </c>
      <c r="W22" s="110" t="n">
        <v>2022</v>
      </c>
      <c r="X22" s="9" t="e">
        <f aca="false" ca="false" dt2D="false" dtr="false" t="normal">+#REF!-'[9]Приложение №1'!$P910</f>
        <v>#REF!</v>
      </c>
      <c r="Z22" s="113" t="n">
        <f aca="false" ca="false" dt2D="false" dtr="false" t="normal">SUM(AA22:AO22)</f>
        <v>5516150.6245547505</v>
      </c>
      <c r="AA22" s="106" t="n">
        <v>4565756.26892503</v>
      </c>
      <c r="AB22" s="106" t="n">
        <v>0</v>
      </c>
      <c r="AC22" s="106" t="n">
        <v>0</v>
      </c>
      <c r="AD22" s="106" t="n">
        <v>0</v>
      </c>
      <c r="AE22" s="106" t="n">
        <v>0</v>
      </c>
      <c r="AF22" s="106" t="n"/>
      <c r="AG22" s="106" t="n">
        <v>373174.611553923</v>
      </c>
      <c r="AH22" s="106" t="n">
        <v>0</v>
      </c>
      <c r="AI22" s="106" t="n">
        <v>0</v>
      </c>
      <c r="AJ22" s="106" t="n">
        <v>0</v>
      </c>
      <c r="AK22" s="106" t="n">
        <v>0</v>
      </c>
      <c r="AL22" s="106" t="n">
        <v>0</v>
      </c>
      <c r="AM22" s="106" t="n">
        <v>414053.822499932</v>
      </c>
      <c r="AN22" s="114" t="n">
        <v>55161.5062455475</v>
      </c>
      <c r="AO22" s="115" t="n">
        <v>108004.415330318</v>
      </c>
      <c r="AP22" s="112" t="n">
        <f aca="false" ca="false" dt2D="false" dtr="false" t="normal">+N22-'Приложение №2'!E22</f>
        <v>0</v>
      </c>
      <c r="AQ22" s="121" t="n">
        <v>581248.33</v>
      </c>
      <c r="AR22" s="3" t="n">
        <f aca="false" ca="false" dt2D="false" dtr="false" t="normal">+(K22*10+L22*20)*12*0.85</f>
        <v>123481.2</v>
      </c>
      <c r="AS22" s="3" t="n">
        <f aca="false" ca="false" dt2D="false" dtr="false" t="normal">+(K22*10+L22*20)*12*30</f>
        <v>4358160</v>
      </c>
      <c r="AT22" s="9" t="n">
        <f aca="false" ca="false" dt2D="false" dtr="false" t="normal">+S22-AS22</f>
        <v>-3475040.01</v>
      </c>
      <c r="AW22" s="113" t="n">
        <f aca="false" ca="true" dt2D="false" dtr="false" t="normal">SUBTOTAL(9, AX22:BL22)</f>
        <v>1380495.815330318</v>
      </c>
      <c r="AX22" s="106" t="n">
        <v>1272491.4</v>
      </c>
      <c r="AY22" s="106" t="n">
        <v>0</v>
      </c>
      <c r="AZ22" s="106" t="n">
        <v>0</v>
      </c>
      <c r="BA22" s="106" t="n">
        <v>0</v>
      </c>
      <c r="BB22" s="106" t="n">
        <v>0</v>
      </c>
      <c r="BC22" s="106" t="n"/>
      <c r="BD22" s="106" t="n"/>
      <c r="BE22" s="106" t="n">
        <v>0</v>
      </c>
      <c r="BF22" s="106" t="n">
        <v>0</v>
      </c>
      <c r="BG22" s="106" t="n">
        <v>0</v>
      </c>
      <c r="BH22" s="106" t="n">
        <v>0</v>
      </c>
      <c r="BI22" s="106" t="n">
        <v>0</v>
      </c>
      <c r="BJ22" s="106" t="n"/>
      <c r="BK22" s="114" t="n"/>
      <c r="BL22" s="115" t="n">
        <v>108004.415330318</v>
      </c>
      <c r="BM22" s="14" t="n">
        <f aca="false" ca="true" dt2D="false" dtr="false" t="normal">SUBTOTAL(9, BN22:CB22)</f>
        <v>1380495.815330318</v>
      </c>
      <c r="BN22" s="106" t="n">
        <v>1272491.4</v>
      </c>
      <c r="BO22" s="106" t="n">
        <v>0</v>
      </c>
      <c r="BP22" s="106" t="n">
        <v>0</v>
      </c>
      <c r="BQ22" s="106" t="n">
        <v>0</v>
      </c>
      <c r="BR22" s="106" t="n">
        <v>0</v>
      </c>
      <c r="BS22" s="106" t="n"/>
      <c r="BT22" s="106" t="n"/>
      <c r="BU22" s="106" t="n">
        <v>0</v>
      </c>
      <c r="BV22" s="106" t="n">
        <v>0</v>
      </c>
      <c r="BW22" s="106" t="n">
        <v>0</v>
      </c>
      <c r="BX22" s="106" t="n">
        <v>0</v>
      </c>
      <c r="BY22" s="106" t="n">
        <v>0</v>
      </c>
      <c r="BZ22" s="106" t="n"/>
      <c r="CA22" s="114" t="n"/>
      <c r="CB22" s="115" t="n">
        <v>108004.415330318</v>
      </c>
      <c r="CD22" s="116" t="n">
        <f aca="false" ca="false" dt2D="false" dtr="false" t="normal">+CD21+1</f>
        <v>5</v>
      </c>
      <c r="CE22" s="117" t="n">
        <f aca="false" ca="false" dt2D="false" dtr="false" t="normal">+CE21+1</f>
        <v>5</v>
      </c>
      <c r="CF22" s="104" t="s">
        <v>71</v>
      </c>
      <c r="CG22" s="104" t="s">
        <v>73</v>
      </c>
      <c r="CH22" s="118" t="n">
        <f aca="false" ca="true" dt2D="false" dtr="false" t="normal">SUBTOTAL(9, CI22:CW22)</f>
        <v>1380495.815330318</v>
      </c>
      <c r="CI22" s="106" t="n">
        <v>1272491.4</v>
      </c>
      <c r="CJ22" s="106" t="n">
        <v>0</v>
      </c>
      <c r="CK22" s="106" t="n">
        <v>0</v>
      </c>
      <c r="CL22" s="106" t="n">
        <v>0</v>
      </c>
      <c r="CM22" s="106" t="n">
        <v>0</v>
      </c>
      <c r="CN22" s="106" t="n"/>
      <c r="CO22" s="106" t="n"/>
      <c r="CP22" s="106" t="n">
        <v>0</v>
      </c>
      <c r="CQ22" s="106" t="n">
        <v>0</v>
      </c>
      <c r="CR22" s="106" t="n">
        <v>0</v>
      </c>
      <c r="CS22" s="106" t="n">
        <v>0</v>
      </c>
      <c r="CT22" s="106" t="n">
        <v>0</v>
      </c>
      <c r="CU22" s="106" t="n"/>
      <c r="CV22" s="114" t="n"/>
      <c r="CW22" s="115" t="n">
        <v>108004.415330318</v>
      </c>
      <c r="CZ22" s="104" t="s">
        <v>73</v>
      </c>
      <c r="DA22" s="119" t="n">
        <f aca="false" ca="true" dt2D="false" dtr="false" t="normal">SUBTOTAL(9, DB22:DP22)</f>
        <v>1311120.14</v>
      </c>
      <c r="DB22" s="106" t="n">
        <v>1272491.4</v>
      </c>
      <c r="DC22" s="106" t="n">
        <v>0</v>
      </c>
      <c r="DD22" s="106" t="n">
        <v>0</v>
      </c>
      <c r="DE22" s="106" t="n">
        <v>0</v>
      </c>
      <c r="DF22" s="106" t="n">
        <v>0</v>
      </c>
      <c r="DG22" s="106" t="n"/>
      <c r="DH22" s="106" t="n"/>
      <c r="DI22" s="106" t="n">
        <v>0</v>
      </c>
      <c r="DJ22" s="106" t="n">
        <v>0</v>
      </c>
      <c r="DK22" s="106" t="n">
        <v>0</v>
      </c>
      <c r="DL22" s="106" t="n">
        <v>0</v>
      </c>
      <c r="DM22" s="106" t="n">
        <v>0</v>
      </c>
      <c r="DN22" s="106" t="n"/>
      <c r="DO22" s="114" t="n"/>
      <c r="DP22" s="120" t="n">
        <v>38628.74</v>
      </c>
      <c r="DQ22" s="3" t="n">
        <f aca="false" ca="false" dt2D="false" dtr="false" t="normal">N22-DA22</f>
        <v>0</v>
      </c>
    </row>
    <row customHeight="true" hidden="false" ht="15" outlineLevel="0" r="23">
      <c r="A23" s="103" t="n">
        <f aca="false" ca="false" dt2D="false" dtr="false" t="normal">+A22+1</f>
        <v>6</v>
      </c>
      <c r="B23" s="104" t="n">
        <f aca="false" ca="false" dt2D="false" dtr="false" t="normal">+B22+1</f>
        <v>6</v>
      </c>
      <c r="C23" s="104" t="s">
        <v>71</v>
      </c>
      <c r="D23" s="104" t="s">
        <v>74</v>
      </c>
      <c r="E23" s="105" t="n">
        <v>1993</v>
      </c>
      <c r="F23" s="105" t="n">
        <v>2013</v>
      </c>
      <c r="G23" s="105" t="s">
        <v>68</v>
      </c>
      <c r="H23" s="105" t="n">
        <v>2</v>
      </c>
      <c r="I23" s="105" t="n">
        <v>0</v>
      </c>
      <c r="J23" s="106" t="n">
        <v>868.3</v>
      </c>
      <c r="K23" s="106" t="n">
        <v>868.3</v>
      </c>
      <c r="L23" s="106" t="n">
        <v>0</v>
      </c>
      <c r="M23" s="107" t="n">
        <v>31</v>
      </c>
      <c r="N23" s="108" t="n">
        <f aca="false" ca="false" dt2D="false" dtr="false" t="normal">SUM(P23:T23)</f>
        <v>2472986.52</v>
      </c>
      <c r="O23" s="106" t="n"/>
      <c r="P23" s="13" t="n"/>
      <c r="Q23" s="114" t="n"/>
      <c r="R23" s="114" t="n">
        <v>505278.46</v>
      </c>
      <c r="S23" s="114" t="n">
        <v>1967708.06</v>
      </c>
      <c r="T23" s="106" t="n">
        <v>0</v>
      </c>
      <c r="U23" s="114" t="n">
        <v>2848.07845214788</v>
      </c>
      <c r="V23" s="114" t="n">
        <v>2848.07845214788</v>
      </c>
      <c r="W23" s="110" t="n">
        <v>2022</v>
      </c>
      <c r="X23" s="9" t="e">
        <f aca="false" ca="false" dt2D="false" dtr="false" t="normal">+#REF!-'[9]Приложение №1'!$P911</f>
        <v>#REF!</v>
      </c>
      <c r="Z23" s="113" t="n">
        <f aca="false" ca="false" dt2D="false" dtr="false" t="normal">SUM(AA23:AO23)</f>
        <v>3949769.514923297</v>
      </c>
      <c r="AA23" s="106" t="n">
        <v>3597070.04</v>
      </c>
      <c r="AB23" s="106" t="n">
        <v>0</v>
      </c>
      <c r="AC23" s="106" t="n">
        <v>0</v>
      </c>
      <c r="AD23" s="106" t="n">
        <v>0</v>
      </c>
      <c r="AE23" s="106" t="n">
        <v>0</v>
      </c>
      <c r="AF23" s="106" t="n"/>
      <c r="AG23" s="106" t="n">
        <v>269001.864923297</v>
      </c>
      <c r="AH23" s="106" t="n">
        <v>0</v>
      </c>
      <c r="AI23" s="106" t="n">
        <v>0</v>
      </c>
      <c r="AJ23" s="106" t="n">
        <v>0</v>
      </c>
      <c r="AK23" s="106" t="n">
        <v>0</v>
      </c>
      <c r="AL23" s="106" t="n">
        <v>0</v>
      </c>
      <c r="AM23" s="106" t="n">
        <v>28876.78</v>
      </c>
      <c r="AN23" s="114" t="n">
        <v>10000</v>
      </c>
      <c r="AO23" s="115" t="n">
        <v>44820.83</v>
      </c>
      <c r="AP23" s="112" t="n">
        <f aca="false" ca="false" dt2D="false" dtr="false" t="normal">+N23-'Приложение №2'!E23</f>
        <v>0</v>
      </c>
      <c r="AQ23" s="121" t="n">
        <v>416711.86</v>
      </c>
      <c r="AR23" s="3" t="n">
        <f aca="false" ca="false" dt2D="false" dtr="false" t="normal">+(K23*10+L23*20)*12*0.85</f>
        <v>88566.59999999999</v>
      </c>
      <c r="AS23" s="3" t="n">
        <f aca="false" ca="false" dt2D="false" dtr="false" t="normal">+(K23*10+L23*20)*12*30</f>
        <v>3125880</v>
      </c>
      <c r="AT23" s="9" t="n">
        <f aca="false" ca="false" dt2D="false" dtr="false" t="normal">+S23-AS23</f>
        <v>-1158171.94</v>
      </c>
      <c r="AW23" s="113" t="n">
        <f aca="false" ca="true" dt2D="false" dtr="false" t="normal">SUBTOTAL(9, AX23:BL23)</f>
        <v>2472986.52</v>
      </c>
      <c r="AX23" s="106" t="n">
        <v>2428165.69</v>
      </c>
      <c r="AY23" s="106" t="n">
        <v>0</v>
      </c>
      <c r="AZ23" s="106" t="n">
        <v>0</v>
      </c>
      <c r="BA23" s="106" t="n">
        <v>0</v>
      </c>
      <c r="BB23" s="106" t="n">
        <v>0</v>
      </c>
      <c r="BC23" s="106" t="n"/>
      <c r="BD23" s="106" t="n"/>
      <c r="BE23" s="106" t="n">
        <v>0</v>
      </c>
      <c r="BF23" s="106" t="n">
        <v>0</v>
      </c>
      <c r="BG23" s="106" t="n">
        <v>0</v>
      </c>
      <c r="BH23" s="106" t="n">
        <v>0</v>
      </c>
      <c r="BI23" s="106" t="n">
        <v>0</v>
      </c>
      <c r="BJ23" s="106" t="n"/>
      <c r="BK23" s="114" t="n"/>
      <c r="BL23" s="115" t="n">
        <v>44820.83</v>
      </c>
      <c r="BM23" s="14" t="n">
        <f aca="false" ca="true" dt2D="false" dtr="false" t="normal">SUBTOTAL(9, BN23:CB23)</f>
        <v>2472986.52</v>
      </c>
      <c r="BN23" s="106" t="n">
        <v>2428165.69</v>
      </c>
      <c r="BO23" s="106" t="n">
        <v>0</v>
      </c>
      <c r="BP23" s="106" t="n">
        <v>0</v>
      </c>
      <c r="BQ23" s="106" t="n">
        <v>0</v>
      </c>
      <c r="BR23" s="106" t="n">
        <v>0</v>
      </c>
      <c r="BS23" s="106" t="n"/>
      <c r="BT23" s="106" t="n"/>
      <c r="BU23" s="106" t="n">
        <v>0</v>
      </c>
      <c r="BV23" s="106" t="n">
        <v>0</v>
      </c>
      <c r="BW23" s="106" t="n">
        <v>0</v>
      </c>
      <c r="BX23" s="106" t="n">
        <v>0</v>
      </c>
      <c r="BY23" s="106" t="n">
        <v>0</v>
      </c>
      <c r="BZ23" s="106" t="n"/>
      <c r="CA23" s="114" t="n"/>
      <c r="CB23" s="115" t="n">
        <v>44820.83</v>
      </c>
      <c r="CD23" s="116" t="n">
        <f aca="false" ca="false" dt2D="false" dtr="false" t="normal">+CD22+1</f>
        <v>6</v>
      </c>
      <c r="CE23" s="117" t="n">
        <f aca="false" ca="false" dt2D="false" dtr="false" t="normal">+CE22+1</f>
        <v>6</v>
      </c>
      <c r="CF23" s="104" t="s">
        <v>71</v>
      </c>
      <c r="CG23" s="104" t="s">
        <v>74</v>
      </c>
      <c r="CH23" s="118" t="n">
        <f aca="false" ca="true" dt2D="false" dtr="false" t="normal">SUBTOTAL(9, CI23:CW23)</f>
        <v>2472986.52</v>
      </c>
      <c r="CI23" s="106" t="n">
        <v>2428165.69</v>
      </c>
      <c r="CJ23" s="106" t="n">
        <v>0</v>
      </c>
      <c r="CK23" s="106" t="n">
        <v>0</v>
      </c>
      <c r="CL23" s="106" t="n">
        <v>0</v>
      </c>
      <c r="CM23" s="106" t="n">
        <v>0</v>
      </c>
      <c r="CN23" s="106" t="n"/>
      <c r="CO23" s="106" t="n"/>
      <c r="CP23" s="106" t="n">
        <v>0</v>
      </c>
      <c r="CQ23" s="106" t="n">
        <v>0</v>
      </c>
      <c r="CR23" s="106" t="n">
        <v>0</v>
      </c>
      <c r="CS23" s="106" t="n">
        <v>0</v>
      </c>
      <c r="CT23" s="106" t="n">
        <v>0</v>
      </c>
      <c r="CU23" s="106" t="n"/>
      <c r="CV23" s="114" t="n"/>
      <c r="CW23" s="115" t="n">
        <v>44820.83</v>
      </c>
      <c r="CZ23" s="104" t="s">
        <v>74</v>
      </c>
      <c r="DA23" s="119" t="n">
        <f aca="false" ca="true" dt2D="false" dtr="false" t="normal">SUBTOTAL(9, DB23:DP23)</f>
        <v>2472986.52</v>
      </c>
      <c r="DB23" s="106" t="n">
        <v>2428165.69</v>
      </c>
      <c r="DC23" s="106" t="n">
        <v>0</v>
      </c>
      <c r="DD23" s="106" t="n">
        <v>0</v>
      </c>
      <c r="DE23" s="106" t="n">
        <v>0</v>
      </c>
      <c r="DF23" s="106" t="n">
        <v>0</v>
      </c>
      <c r="DG23" s="106" t="n"/>
      <c r="DH23" s="106" t="n"/>
      <c r="DI23" s="106" t="n">
        <v>0</v>
      </c>
      <c r="DJ23" s="106" t="n">
        <v>0</v>
      </c>
      <c r="DK23" s="106" t="n">
        <v>0</v>
      </c>
      <c r="DL23" s="106" t="n">
        <v>0</v>
      </c>
      <c r="DM23" s="106" t="n">
        <v>0</v>
      </c>
      <c r="DN23" s="106" t="n"/>
      <c r="DO23" s="114" t="n"/>
      <c r="DP23" s="120" t="n">
        <f aca="false" ca="false" dt2D="false" dtr="false" t="normal">44820.83</f>
        <v>44820.83</v>
      </c>
      <c r="DQ23" s="3" t="n">
        <f aca="false" ca="false" dt2D="false" dtr="false" t="normal">N23-DA23</f>
        <v>0</v>
      </c>
    </row>
    <row customHeight="true" hidden="false" ht="15" outlineLevel="0" r="24">
      <c r="A24" s="103" t="n">
        <f aca="false" ca="false" dt2D="false" dtr="false" t="normal">+A23+1</f>
        <v>7</v>
      </c>
      <c r="B24" s="104" t="n">
        <f aca="false" ca="false" dt2D="false" dtr="false" t="normal">+B23+1</f>
        <v>7</v>
      </c>
      <c r="C24" s="104" t="s">
        <v>75</v>
      </c>
      <c r="D24" s="104" t="s">
        <v>76</v>
      </c>
      <c r="E24" s="105" t="n">
        <v>1993</v>
      </c>
      <c r="F24" s="105" t="n">
        <v>2012</v>
      </c>
      <c r="G24" s="105" t="s">
        <v>68</v>
      </c>
      <c r="H24" s="105" t="n">
        <v>3</v>
      </c>
      <c r="I24" s="105" t="n">
        <v>1</v>
      </c>
      <c r="J24" s="106" t="n">
        <v>1090</v>
      </c>
      <c r="K24" s="106" t="n">
        <v>942.47</v>
      </c>
      <c r="L24" s="106" t="n">
        <v>0</v>
      </c>
      <c r="M24" s="107" t="n">
        <v>33</v>
      </c>
      <c r="N24" s="108" t="n">
        <f aca="false" ca="false" dt2D="false" dtr="false" t="normal">SUM(P24:T24)</f>
        <v>105901.14</v>
      </c>
      <c r="O24" s="109" t="n"/>
      <c r="P24" s="114" t="n"/>
      <c r="Q24" s="114" t="n"/>
      <c r="R24" s="114" t="n">
        <v>105901.14</v>
      </c>
      <c r="S24" s="114" t="n">
        <v>0</v>
      </c>
      <c r="T24" s="106" t="n">
        <v>0</v>
      </c>
      <c r="U24" s="114" t="n">
        <v>119.980757665483</v>
      </c>
      <c r="V24" s="114" t="n">
        <v>119.980757665483</v>
      </c>
      <c r="W24" s="110" t="n">
        <v>2022</v>
      </c>
      <c r="X24" s="9" t="e">
        <f aca="false" ca="false" dt2D="false" dtr="false" t="normal">+#REF!-'[9]Приложение №1'!$P556</f>
        <v>#REF!</v>
      </c>
      <c r="Z24" s="113" t="n">
        <f aca="false" ca="false" dt2D="false" dtr="false" t="normal">SUM(AA24:AO24)</f>
        <v>1353938.3335296</v>
      </c>
      <c r="AA24" s="106" t="n">
        <v>0</v>
      </c>
      <c r="AB24" s="106" t="n">
        <v>0</v>
      </c>
      <c r="AC24" s="106" t="n">
        <v>766834.980311952</v>
      </c>
      <c r="AD24" s="106" t="n">
        <v>398482.4755561</v>
      </c>
      <c r="AE24" s="106" t="n">
        <v>0</v>
      </c>
      <c r="AF24" s="106" t="n"/>
      <c r="AG24" s="106" t="n">
        <v>0</v>
      </c>
      <c r="AH24" s="106" t="n">
        <v>0</v>
      </c>
      <c r="AI24" s="106" t="n">
        <v>0</v>
      </c>
      <c r="AJ24" s="106" t="n">
        <v>0</v>
      </c>
      <c r="AK24" s="106" t="n">
        <v>0</v>
      </c>
      <c r="AL24" s="106" t="n">
        <v>0</v>
      </c>
      <c r="AM24" s="106" t="n">
        <v>149598.361733184</v>
      </c>
      <c r="AN24" s="114" t="n">
        <v>13539.383335296</v>
      </c>
      <c r="AO24" s="115" t="n">
        <v>25483.132593068</v>
      </c>
      <c r="AP24" s="112" t="n">
        <f aca="false" ca="false" dt2D="false" dtr="false" t="normal">+N24-'Приложение №2'!E24</f>
        <v>0</v>
      </c>
      <c r="AQ24" s="1" t="n">
        <v>502001.62</v>
      </c>
      <c r="AR24" s="3" t="n">
        <f aca="false" ca="false" dt2D="false" dtr="false" t="normal">+(K24*10+L24*20)*12*0.85</f>
        <v>96131.94</v>
      </c>
      <c r="AS24" s="3" t="n">
        <f aca="false" ca="false" dt2D="false" dtr="false" t="normal">+(K24*10+L24*20)*12*30</f>
        <v>3392892.0000000005</v>
      </c>
      <c r="AT24" s="9" t="n">
        <f aca="false" ca="false" dt2D="false" dtr="false" t="normal">+S24-AS24</f>
        <v>-3392892.0000000005</v>
      </c>
      <c r="AW24" s="113" t="n">
        <f aca="false" ca="true" dt2D="false" dtr="false" t="normal">SUBTOTAL(9, AX24:BL24)</f>
        <v>113078.26467698807</v>
      </c>
      <c r="AX24" s="106" t="n">
        <v>0</v>
      </c>
      <c r="AY24" s="106" t="n">
        <v>0</v>
      </c>
      <c r="AZ24" s="106" t="n"/>
      <c r="BA24" s="106" t="n">
        <v>104364.26</v>
      </c>
      <c r="BB24" s="106" t="n">
        <v>0</v>
      </c>
      <c r="BC24" s="106" t="n"/>
      <c r="BD24" s="106" t="n"/>
      <c r="BE24" s="106" t="n">
        <v>0</v>
      </c>
      <c r="BF24" s="106" t="n">
        <v>0</v>
      </c>
      <c r="BG24" s="106" t="n">
        <v>0</v>
      </c>
      <c r="BH24" s="106" t="n">
        <v>0</v>
      </c>
      <c r="BI24" s="106" t="n">
        <v>0</v>
      </c>
      <c r="BJ24" s="106" t="n"/>
      <c r="BK24" s="114" t="n"/>
      <c r="BL24" s="115" t="n">
        <v>8714.00467698808</v>
      </c>
      <c r="BM24" s="14" t="n">
        <f aca="false" ca="true" dt2D="false" dtr="false" t="normal">SUBTOTAL(9, BN24:CB24)</f>
        <v>113078.26467698807</v>
      </c>
      <c r="BN24" s="106" t="n">
        <v>0</v>
      </c>
      <c r="BO24" s="106" t="n">
        <v>0</v>
      </c>
      <c r="BP24" s="106" t="n"/>
      <c r="BQ24" s="106" t="n">
        <v>104364.26</v>
      </c>
      <c r="BR24" s="106" t="n">
        <v>0</v>
      </c>
      <c r="BS24" s="106" t="n"/>
      <c r="BT24" s="106" t="n"/>
      <c r="BU24" s="106" t="n">
        <v>0</v>
      </c>
      <c r="BV24" s="106" t="n">
        <v>0</v>
      </c>
      <c r="BW24" s="106" t="n">
        <v>0</v>
      </c>
      <c r="BX24" s="106" t="n">
        <v>0</v>
      </c>
      <c r="BY24" s="106" t="n">
        <v>0</v>
      </c>
      <c r="BZ24" s="106" t="n"/>
      <c r="CA24" s="114" t="n"/>
      <c r="CB24" s="115" t="n">
        <v>8714.00467698808</v>
      </c>
      <c r="CD24" s="116" t="n">
        <f aca="false" ca="false" dt2D="false" dtr="false" t="normal">+CD23+1</f>
        <v>7</v>
      </c>
      <c r="CE24" s="117" t="n">
        <f aca="false" ca="false" dt2D="false" dtr="false" t="normal">+CE23+1</f>
        <v>7</v>
      </c>
      <c r="CF24" s="104" t="s">
        <v>75</v>
      </c>
      <c r="CG24" s="104" t="s">
        <v>76</v>
      </c>
      <c r="CH24" s="118" t="n">
        <f aca="false" ca="true" dt2D="false" dtr="false" t="normal">SUBTOTAL(9, CI24:CW24)</f>
        <v>113078.26467698807</v>
      </c>
      <c r="CI24" s="106" t="n">
        <v>0</v>
      </c>
      <c r="CJ24" s="106" t="n">
        <v>0</v>
      </c>
      <c r="CK24" s="106" t="n"/>
      <c r="CL24" s="106" t="n">
        <v>104364.26</v>
      </c>
      <c r="CM24" s="106" t="n">
        <v>0</v>
      </c>
      <c r="CN24" s="106" t="n"/>
      <c r="CO24" s="106" t="n"/>
      <c r="CP24" s="106" t="n">
        <v>0</v>
      </c>
      <c r="CQ24" s="106" t="n">
        <v>0</v>
      </c>
      <c r="CR24" s="106" t="n">
        <v>0</v>
      </c>
      <c r="CS24" s="106" t="n">
        <v>0</v>
      </c>
      <c r="CT24" s="106" t="n">
        <v>0</v>
      </c>
      <c r="CU24" s="106" t="n"/>
      <c r="CV24" s="114" t="n"/>
      <c r="CW24" s="115" t="n">
        <v>8714.00467698808</v>
      </c>
      <c r="CZ24" s="104" t="s">
        <v>76</v>
      </c>
      <c r="DA24" s="119" t="n">
        <f aca="false" ca="true" dt2D="false" dtr="false" t="normal">SUBTOTAL(9, DB24:DP24)</f>
        <v>105901.14</v>
      </c>
      <c r="DB24" s="106" t="n">
        <v>0</v>
      </c>
      <c r="DC24" s="106" t="n">
        <v>0</v>
      </c>
      <c r="DD24" s="106" t="n"/>
      <c r="DE24" s="106" t="n">
        <v>104364.26</v>
      </c>
      <c r="DF24" s="106" t="n">
        <v>0</v>
      </c>
      <c r="DG24" s="106" t="n"/>
      <c r="DH24" s="106" t="n"/>
      <c r="DI24" s="106" t="n">
        <v>0</v>
      </c>
      <c r="DJ24" s="106" t="n">
        <v>0</v>
      </c>
      <c r="DK24" s="106" t="n">
        <v>0</v>
      </c>
      <c r="DL24" s="106" t="n">
        <v>0</v>
      </c>
      <c r="DM24" s="106" t="n">
        <v>0</v>
      </c>
      <c r="DN24" s="106" t="n"/>
      <c r="DO24" s="114" t="n"/>
      <c r="DP24" s="120" t="n">
        <v>1536.88</v>
      </c>
      <c r="DQ24" s="3" t="n">
        <f aca="false" ca="false" dt2D="false" dtr="false" t="normal">N24-DA24</f>
        <v>0</v>
      </c>
      <c r="DS24" s="9" t="n"/>
    </row>
    <row customHeight="true" hidden="false" ht="15" outlineLevel="0" r="25">
      <c r="A25" s="103" t="n">
        <f aca="false" ca="false" dt2D="false" dtr="false" t="normal">+A24+1</f>
        <v>8</v>
      </c>
      <c r="B25" s="104" t="n">
        <f aca="false" ca="false" dt2D="false" dtr="false" t="normal">+B24+1</f>
        <v>8</v>
      </c>
      <c r="C25" s="104" t="s">
        <v>75</v>
      </c>
      <c r="D25" s="104" t="s">
        <v>4</v>
      </c>
      <c r="E25" s="105" t="n">
        <v>1990</v>
      </c>
      <c r="F25" s="105" t="n">
        <v>1990</v>
      </c>
      <c r="G25" s="105" t="s">
        <v>68</v>
      </c>
      <c r="H25" s="105" t="n">
        <v>5</v>
      </c>
      <c r="I25" s="105" t="n">
        <v>6</v>
      </c>
      <c r="J25" s="106" t="n">
        <v>5208.7</v>
      </c>
      <c r="K25" s="106" t="n">
        <v>4621.34</v>
      </c>
      <c r="L25" s="106" t="n">
        <v>0</v>
      </c>
      <c r="M25" s="107" t="n">
        <v>157</v>
      </c>
      <c r="N25" s="108" t="n">
        <f aca="false" ca="false" dt2D="false" dtr="false" t="normal">SUM(P25:T25)</f>
        <v>5195773.5</v>
      </c>
      <c r="O25" s="106" t="n"/>
      <c r="P25" s="114" t="n"/>
      <c r="Q25" s="114" t="n"/>
      <c r="R25" s="114" t="n">
        <v>1998629.62</v>
      </c>
      <c r="S25" s="114" t="n">
        <v>3197143.88</v>
      </c>
      <c r="T25" s="106" t="n">
        <v>0</v>
      </c>
      <c r="U25" s="114" t="n">
        <v>1161.20292716748</v>
      </c>
      <c r="V25" s="114" t="n">
        <v>1161.20292716748</v>
      </c>
      <c r="W25" s="110" t="n">
        <v>2022</v>
      </c>
      <c r="X25" s="9" t="e">
        <f aca="false" ca="false" dt2D="false" dtr="false" t="normal">+#REF!-'[9]Приложение №1'!$P1317</f>
        <v>#REF!</v>
      </c>
      <c r="Z25" s="113" t="n">
        <f aca="false" ca="false" dt2D="false" dtr="false" t="normal">SUM(AA25:AO25)</f>
        <v>24135948.530553598</v>
      </c>
      <c r="AA25" s="106" t="n">
        <v>0</v>
      </c>
      <c r="AB25" s="106" t="n">
        <v>0</v>
      </c>
      <c r="AC25" s="106" t="n">
        <v>0</v>
      </c>
      <c r="AD25" s="106" t="n">
        <v>0</v>
      </c>
      <c r="AE25" s="106" t="n">
        <v>0</v>
      </c>
      <c r="AF25" s="106" t="n"/>
      <c r="AG25" s="106" t="n">
        <v>0</v>
      </c>
      <c r="AH25" s="106" t="n">
        <v>0</v>
      </c>
      <c r="AI25" s="106" t="n">
        <v>0</v>
      </c>
      <c r="AJ25" s="106" t="n">
        <v>7798620.49896384</v>
      </c>
      <c r="AK25" s="106" t="n">
        <v>9725868.75768212</v>
      </c>
      <c r="AL25" s="106" t="n">
        <v>3496811.65983382</v>
      </c>
      <c r="AM25" s="106" t="n">
        <v>2413594.85305536</v>
      </c>
      <c r="AN25" s="114" t="n">
        <v>241359.485305536</v>
      </c>
      <c r="AO25" s="115" t="n">
        <v>459693.275712924</v>
      </c>
      <c r="AP25" s="112" t="n">
        <f aca="false" ca="false" dt2D="false" dtr="false" t="normal">+N25-'Приложение №2'!E25</f>
        <v>0</v>
      </c>
      <c r="AQ25" s="1" t="n">
        <v>2233749.27</v>
      </c>
      <c r="AR25" s="3" t="n">
        <f aca="false" ca="false" dt2D="false" dtr="false" t="normal">+(K25*10+L25*20)*12*0.85</f>
        <v>471376.68000000005</v>
      </c>
      <c r="AS25" s="3" t="n">
        <f aca="false" ca="false" dt2D="false" dtr="false" t="normal">+(K25*10+L25*20)*12*30</f>
        <v>16636824.000000002</v>
      </c>
      <c r="AT25" s="9" t="n">
        <f aca="false" ca="false" dt2D="false" dtr="false" t="normal">+S25-AS25</f>
        <v>-13439680.120000001</v>
      </c>
      <c r="AW25" s="113" t="n">
        <f aca="false" ca="true" dt2D="false" dtr="false" t="normal">SUBTOTAL(9, AX25:BL25)</f>
        <v>5366313.53543616</v>
      </c>
      <c r="AX25" s="106" t="n">
        <v>0</v>
      </c>
      <c r="AY25" s="106" t="n">
        <v>0</v>
      </c>
      <c r="AZ25" s="106" t="n">
        <v>0</v>
      </c>
      <c r="BA25" s="106" t="n">
        <v>0</v>
      </c>
      <c r="BB25" s="106" t="n">
        <v>0</v>
      </c>
      <c r="BC25" s="106" t="n"/>
      <c r="BD25" s="106" t="n"/>
      <c r="BE25" s="106" t="n">
        <v>0</v>
      </c>
      <c r="BF25" s="106" t="n">
        <v>0</v>
      </c>
      <c r="BG25" s="106" t="n">
        <v>5195773.5</v>
      </c>
      <c r="BH25" s="106" t="n"/>
      <c r="BI25" s="106" t="n"/>
      <c r="BJ25" s="106" t="n"/>
      <c r="BK25" s="114" t="n"/>
      <c r="BL25" s="115" t="n">
        <v>170540.03543616</v>
      </c>
      <c r="BM25" s="14" t="n">
        <f aca="false" ca="true" dt2D="false" dtr="false" t="normal">SUBTOTAL(9, BN25:CB25)</f>
        <v>5366313.53543616</v>
      </c>
      <c r="BN25" s="106" t="n">
        <v>0</v>
      </c>
      <c r="BO25" s="106" t="n">
        <v>0</v>
      </c>
      <c r="BP25" s="106" t="n">
        <v>0</v>
      </c>
      <c r="BQ25" s="106" t="n">
        <v>0</v>
      </c>
      <c r="BR25" s="106" t="n">
        <v>0</v>
      </c>
      <c r="BS25" s="106" t="n"/>
      <c r="BT25" s="106" t="n"/>
      <c r="BU25" s="106" t="n">
        <v>0</v>
      </c>
      <c r="BV25" s="106" t="n">
        <v>0</v>
      </c>
      <c r="BW25" s="106" t="n">
        <v>5195773.5</v>
      </c>
      <c r="BX25" s="106" t="n"/>
      <c r="BY25" s="106" t="n"/>
      <c r="BZ25" s="106" t="n"/>
      <c r="CA25" s="114" t="n"/>
      <c r="CB25" s="115" t="n">
        <v>170540.03543616</v>
      </c>
      <c r="CD25" s="116" t="n">
        <f aca="false" ca="false" dt2D="false" dtr="false" t="normal">+CD24+1</f>
        <v>8</v>
      </c>
      <c r="CE25" s="117" t="n">
        <f aca="false" ca="false" dt2D="false" dtr="false" t="normal">+CE24+1</f>
        <v>8</v>
      </c>
      <c r="CF25" s="104" t="s">
        <v>75</v>
      </c>
      <c r="CG25" s="104" t="s">
        <v>4</v>
      </c>
      <c r="CH25" s="118" t="n">
        <f aca="false" ca="true" dt2D="false" dtr="false" t="normal">SUBTOTAL(9, CI25:CW25)</f>
        <v>5366313.53543616</v>
      </c>
      <c r="CI25" s="106" t="n">
        <v>0</v>
      </c>
      <c r="CJ25" s="106" t="n">
        <v>0</v>
      </c>
      <c r="CK25" s="106" t="n">
        <v>0</v>
      </c>
      <c r="CL25" s="106" t="n">
        <v>0</v>
      </c>
      <c r="CM25" s="106" t="n">
        <v>0</v>
      </c>
      <c r="CN25" s="106" t="n"/>
      <c r="CO25" s="106" t="n"/>
      <c r="CP25" s="106" t="n">
        <v>0</v>
      </c>
      <c r="CQ25" s="106" t="n">
        <v>0</v>
      </c>
      <c r="CR25" s="106" t="n">
        <v>5195773.5</v>
      </c>
      <c r="CS25" s="106" t="n"/>
      <c r="CT25" s="106" t="n"/>
      <c r="CU25" s="106" t="n"/>
      <c r="CV25" s="114" t="n"/>
      <c r="CW25" s="115" t="n">
        <v>170540.03543616</v>
      </c>
      <c r="CZ25" s="104" t="s">
        <v>4</v>
      </c>
      <c r="DA25" s="119" t="n">
        <f aca="false" ca="true" dt2D="false" dtr="false" t="normal">SUBTOTAL(9, DB25:DP25)</f>
        <v>5195773.5</v>
      </c>
      <c r="DB25" s="106" t="n">
        <v>0</v>
      </c>
      <c r="DC25" s="106" t="n">
        <v>0</v>
      </c>
      <c r="DD25" s="106" t="n">
        <v>0</v>
      </c>
      <c r="DE25" s="106" t="n">
        <v>0</v>
      </c>
      <c r="DF25" s="106" t="n">
        <v>0</v>
      </c>
      <c r="DG25" s="106" t="n"/>
      <c r="DH25" s="106" t="n"/>
      <c r="DI25" s="106" t="n">
        <v>0</v>
      </c>
      <c r="DJ25" s="106" t="n">
        <v>0</v>
      </c>
      <c r="DK25" s="106" t="n">
        <v>5195773.5</v>
      </c>
      <c r="DL25" s="106" t="n"/>
      <c r="DM25" s="106" t="n"/>
      <c r="DN25" s="106" t="n"/>
      <c r="DO25" s="114" t="n"/>
      <c r="DP25" s="122" t="n"/>
      <c r="DQ25" s="3" t="n"/>
      <c r="DS25" s="9" t="n"/>
    </row>
    <row customHeight="true" hidden="false" ht="15" outlineLevel="0" r="26">
      <c r="A26" s="103" t="n">
        <f aca="false" ca="false" dt2D="false" dtr="false" t="normal">+A25+1</f>
        <v>9</v>
      </c>
      <c r="B26" s="104" t="n">
        <f aca="false" ca="false" dt2D="false" dtr="false" t="normal">+B25+1</f>
        <v>9</v>
      </c>
      <c r="C26" s="104" t="s">
        <v>75</v>
      </c>
      <c r="D26" s="104" t="s">
        <v>77</v>
      </c>
      <c r="E26" s="105" t="n">
        <v>1985</v>
      </c>
      <c r="F26" s="105" t="n">
        <v>1985</v>
      </c>
      <c r="G26" s="105" t="s">
        <v>68</v>
      </c>
      <c r="H26" s="105" t="n">
        <v>4</v>
      </c>
      <c r="I26" s="105" t="n">
        <v>2</v>
      </c>
      <c r="J26" s="106" t="n">
        <v>1511.1</v>
      </c>
      <c r="K26" s="106" t="n">
        <v>1366.85</v>
      </c>
      <c r="L26" s="106" t="n">
        <v>0</v>
      </c>
      <c r="M26" s="107" t="n">
        <v>62</v>
      </c>
      <c r="N26" s="108" t="n">
        <f aca="false" ca="false" dt2D="false" dtr="false" t="normal">SUM(P26:T26)</f>
        <v>3656105.716722621</v>
      </c>
      <c r="O26" s="106" t="n"/>
      <c r="P26" s="114" t="n"/>
      <c r="Q26" s="114" t="n"/>
      <c r="R26" s="114" t="n">
        <v>399040.09</v>
      </c>
      <c r="S26" s="114" t="n">
        <v>3206331.25923534</v>
      </c>
      <c r="T26" s="106" t="n">
        <v>50734.3674872811</v>
      </c>
      <c r="U26" s="114" t="n">
        <v>2704.85448237578</v>
      </c>
      <c r="V26" s="114" t="n">
        <v>2704.85448237578</v>
      </c>
      <c r="W26" s="110" t="n">
        <v>2022</v>
      </c>
      <c r="X26" s="9" t="e">
        <f aca="false" ca="false" dt2D="false" dtr="false" t="normal">+#REF!-'[9]Приложение №1'!$P404</f>
        <v>#REF!</v>
      </c>
      <c r="Z26" s="113" t="n">
        <f aca="false" ca="false" dt2D="false" dtr="false" t="normal">SUM(AA26:AO26)</f>
        <v>7089248.60211328</v>
      </c>
      <c r="AA26" s="106" t="n">
        <v>0</v>
      </c>
      <c r="AB26" s="106" t="n">
        <v>0</v>
      </c>
      <c r="AC26" s="106" t="n">
        <v>0</v>
      </c>
      <c r="AD26" s="106" t="n">
        <v>0</v>
      </c>
      <c r="AE26" s="106" t="n">
        <v>0</v>
      </c>
      <c r="AF26" s="106" t="n"/>
      <c r="AG26" s="106" t="n">
        <v>0</v>
      </c>
      <c r="AH26" s="106" t="n">
        <v>0</v>
      </c>
      <c r="AI26" s="106" t="n">
        <v>0</v>
      </c>
      <c r="AJ26" s="106" t="n">
        <v>2448913.47</v>
      </c>
      <c r="AK26" s="106" t="n">
        <v>3110879.85</v>
      </c>
      <c r="AL26" s="106" t="n">
        <v>1036083.92287794</v>
      </c>
      <c r="AM26" s="106" t="n">
        <v>392917.040656928</v>
      </c>
      <c r="AN26" s="114" t="n">
        <v>18562.6260656928</v>
      </c>
      <c r="AO26" s="115" t="n">
        <v>81891.6925127185</v>
      </c>
      <c r="AP26" s="112" t="n">
        <f aca="false" ca="false" dt2D="false" dtr="false" t="normal">+N26-'Приложение №2'!E26</f>
        <v>0</v>
      </c>
      <c r="AQ26" s="1" t="n">
        <v>593500.14</v>
      </c>
      <c r="AR26" s="3" t="n">
        <f aca="false" ca="false" dt2D="false" dtr="false" t="normal">+(K26*10+L26*20)*12*0.85</f>
        <v>139418.69999999998</v>
      </c>
      <c r="AS26" s="3" t="n">
        <f aca="false" ca="false" dt2D="false" dtr="false" t="normal">+(K26*10+L26*20)*12*30</f>
        <v>4920660</v>
      </c>
      <c r="AT26" s="9" t="n">
        <f aca="false" ca="false" dt2D="false" dtr="false" t="normal">+S26-AS26</f>
        <v>-1714328.7407646598</v>
      </c>
      <c r="AW26" s="113" t="n">
        <f aca="false" ca="true" dt2D="false" dtr="false" t="normal">SUBTOTAL(9, AX26:BL26)</f>
        <v>3697130.3492353396</v>
      </c>
      <c r="AX26" s="106" t="n">
        <v>0</v>
      </c>
      <c r="AY26" s="106" t="n">
        <v>0</v>
      </c>
      <c r="AZ26" s="106" t="n">
        <v>0</v>
      </c>
      <c r="BA26" s="106" t="n">
        <v>0</v>
      </c>
      <c r="BB26" s="106" t="n">
        <v>0</v>
      </c>
      <c r="BC26" s="106" t="n"/>
      <c r="BD26" s="106" t="n"/>
      <c r="BE26" s="106" t="n">
        <v>0</v>
      </c>
      <c r="BF26" s="106" t="n">
        <v>0</v>
      </c>
      <c r="BG26" s="106" t="n">
        <v>2388753.41</v>
      </c>
      <c r="BH26" s="106" t="n"/>
      <c r="BI26" s="106" t="n">
        <v>815005.58</v>
      </c>
      <c r="BJ26" s="106" t="n">
        <v>392917.040656928</v>
      </c>
      <c r="BK26" s="114" t="n">
        <v>18562.6260656928</v>
      </c>
      <c r="BL26" s="115" t="n">
        <v>81891.6925127185</v>
      </c>
      <c r="BM26" s="14" t="n">
        <f aca="false" ca="true" dt2D="false" dtr="false" t="normal">SUBTOTAL(9, BN26:CB26)</f>
        <v>3697130.3492353396</v>
      </c>
      <c r="BN26" s="106" t="n">
        <v>0</v>
      </c>
      <c r="BO26" s="106" t="n">
        <v>0</v>
      </c>
      <c r="BP26" s="106" t="n">
        <v>0</v>
      </c>
      <c r="BQ26" s="106" t="n">
        <v>0</v>
      </c>
      <c r="BR26" s="106" t="n">
        <v>0</v>
      </c>
      <c r="BS26" s="106" t="n"/>
      <c r="BT26" s="106" t="n"/>
      <c r="BU26" s="106" t="n">
        <v>0</v>
      </c>
      <c r="BV26" s="106" t="n">
        <v>0</v>
      </c>
      <c r="BW26" s="106" t="n">
        <v>2388753.41</v>
      </c>
      <c r="BX26" s="106" t="n"/>
      <c r="BY26" s="106" t="n">
        <v>815005.58</v>
      </c>
      <c r="BZ26" s="106" t="n">
        <v>392917.040656928</v>
      </c>
      <c r="CA26" s="114" t="n">
        <v>18562.6260656928</v>
      </c>
      <c r="CB26" s="115" t="n">
        <v>81891.6925127185</v>
      </c>
      <c r="CD26" s="116" t="n">
        <f aca="false" ca="false" dt2D="false" dtr="false" t="normal">+CD25+1</f>
        <v>9</v>
      </c>
      <c r="CE26" s="117" t="n">
        <f aca="false" ca="false" dt2D="false" dtr="false" t="normal">+CE25+1</f>
        <v>9</v>
      </c>
      <c r="CF26" s="104" t="s">
        <v>75</v>
      </c>
      <c r="CG26" s="104" t="s">
        <v>77</v>
      </c>
      <c r="CH26" s="118" t="n">
        <f aca="false" ca="true" dt2D="false" dtr="false" t="normal">SUBTOTAL(9, CI26:CW26)</f>
        <v>3697130.3492353396</v>
      </c>
      <c r="CI26" s="106" t="n">
        <v>0</v>
      </c>
      <c r="CJ26" s="106" t="n">
        <v>0</v>
      </c>
      <c r="CK26" s="106" t="n">
        <v>0</v>
      </c>
      <c r="CL26" s="106" t="n">
        <v>0</v>
      </c>
      <c r="CM26" s="106" t="n">
        <v>0</v>
      </c>
      <c r="CN26" s="106" t="n"/>
      <c r="CO26" s="106" t="n"/>
      <c r="CP26" s="106" t="n">
        <v>0</v>
      </c>
      <c r="CQ26" s="106" t="n">
        <v>0</v>
      </c>
      <c r="CR26" s="106" t="n">
        <v>2388753.41</v>
      </c>
      <c r="CS26" s="106" t="n"/>
      <c r="CT26" s="106" t="n">
        <v>815005.58</v>
      </c>
      <c r="CU26" s="106" t="n">
        <v>392917.040656928</v>
      </c>
      <c r="CV26" s="114" t="n">
        <v>18562.6260656928</v>
      </c>
      <c r="CW26" s="115" t="n">
        <v>81891.6925127185</v>
      </c>
      <c r="CZ26" s="104" t="s">
        <v>77</v>
      </c>
      <c r="DA26" s="119" t="n">
        <f aca="false" ca="true" dt2D="false" dtr="false" t="normal">SUBTOTAL(9, DB26:DP26)</f>
        <v>3656105.716722621</v>
      </c>
      <c r="DB26" s="106" t="n">
        <v>0</v>
      </c>
      <c r="DC26" s="106" t="n">
        <v>0</v>
      </c>
      <c r="DD26" s="106" t="n">
        <v>0</v>
      </c>
      <c r="DE26" s="106" t="n">
        <v>0</v>
      </c>
      <c r="DF26" s="106" t="n">
        <v>0</v>
      </c>
      <c r="DG26" s="106" t="n"/>
      <c r="DH26" s="106" t="n"/>
      <c r="DI26" s="106" t="n">
        <v>0</v>
      </c>
      <c r="DJ26" s="106" t="n">
        <v>0</v>
      </c>
      <c r="DK26" s="106" t="n">
        <v>2388753.41</v>
      </c>
      <c r="DL26" s="106" t="n"/>
      <c r="DM26" s="106" t="n">
        <v>815005.58</v>
      </c>
      <c r="DN26" s="106" t="n">
        <v>392917.040656928</v>
      </c>
      <c r="DO26" s="114" t="n">
        <v>18562.6260656928</v>
      </c>
      <c r="DP26" s="120" t="n">
        <f aca="false" ca="false" dt2D="false" dtr="false" t="normal">12130.9+28736.16</f>
        <v>40867.06</v>
      </c>
      <c r="DQ26" s="3" t="n">
        <f aca="false" ca="false" dt2D="false" dtr="false" t="normal">N26-DA26</f>
        <v>0</v>
      </c>
      <c r="DS26" s="9" t="n"/>
    </row>
    <row customHeight="true" hidden="false" ht="15" outlineLevel="0" r="27">
      <c r="A27" s="103" t="n">
        <f aca="false" ca="false" dt2D="false" dtr="false" t="normal">+A26+1</f>
        <v>10</v>
      </c>
      <c r="B27" s="104" t="n">
        <f aca="false" ca="false" dt2D="false" dtr="false" t="normal">+B26+1</f>
        <v>10</v>
      </c>
      <c r="C27" s="104" t="s">
        <v>78</v>
      </c>
      <c r="D27" s="104" t="s">
        <v>79</v>
      </c>
      <c r="E27" s="105" t="n">
        <v>1991</v>
      </c>
      <c r="F27" s="105" t="n">
        <v>1992</v>
      </c>
      <c r="G27" s="105" t="s">
        <v>68</v>
      </c>
      <c r="H27" s="105" t="n">
        <v>5</v>
      </c>
      <c r="I27" s="105" t="n">
        <v>6</v>
      </c>
      <c r="J27" s="106" t="n">
        <v>5213.3</v>
      </c>
      <c r="K27" s="106" t="n">
        <v>4504.4</v>
      </c>
      <c r="L27" s="106" t="n">
        <v>150</v>
      </c>
      <c r="M27" s="107" t="n">
        <v>215</v>
      </c>
      <c r="N27" s="108" t="n">
        <f aca="false" ca="false" dt2D="false" dtr="false" t="normal">SUM(P27:T27)</f>
        <v>3272026.074273</v>
      </c>
      <c r="O27" s="106" t="n"/>
      <c r="P27" s="114" t="n"/>
      <c r="Q27" s="114" t="n"/>
      <c r="R27" s="114" t="n">
        <v>458250.55</v>
      </c>
      <c r="S27" s="114" t="n">
        <v>2813775.524273</v>
      </c>
      <c r="T27" s="106" t="n">
        <v>0</v>
      </c>
      <c r="U27" s="114" t="n">
        <v>797.542439231479</v>
      </c>
      <c r="V27" s="114" t="n">
        <v>797.542439231479</v>
      </c>
      <c r="W27" s="110" t="n">
        <v>2022</v>
      </c>
      <c r="X27" s="9" t="e">
        <f aca="false" ca="false" dt2D="false" dtr="false" t="normal">+#REF!-'[9]Приложение №1'!$P1324</f>
        <v>#REF!</v>
      </c>
      <c r="Z27" s="113" t="n">
        <f aca="false" ca="false" dt2D="false" dtr="false" t="normal">SUM(AA27:AO27)</f>
        <v>22984871.147637248</v>
      </c>
      <c r="AA27" s="106" t="n">
        <v>8923099.04138387</v>
      </c>
      <c r="AB27" s="106" t="n">
        <v>3819284.05583513</v>
      </c>
      <c r="AC27" s="106" t="n">
        <v>3409399.79830829</v>
      </c>
      <c r="AD27" s="106" t="n">
        <v>3601025.77249387</v>
      </c>
      <c r="AE27" s="106" t="n">
        <v>0</v>
      </c>
      <c r="AF27" s="106" t="n"/>
      <c r="AG27" s="106" t="n">
        <v>370474.890457089</v>
      </c>
      <c r="AH27" s="106" t="n">
        <v>0</v>
      </c>
      <c r="AI27" s="106" t="n">
        <v>0</v>
      </c>
      <c r="AJ27" s="106" t="n">
        <v>0</v>
      </c>
      <c r="AK27" s="106" t="n">
        <v>0</v>
      </c>
      <c r="AL27" s="106" t="n">
        <v>0</v>
      </c>
      <c r="AM27" s="106" t="n">
        <v>2191683.42279663</v>
      </c>
      <c r="AN27" s="114" t="n">
        <v>229848.711476372</v>
      </c>
      <c r="AO27" s="115" t="n">
        <v>440055.454885995</v>
      </c>
      <c r="AP27" s="112" t="n">
        <f aca="false" ca="false" dt2D="false" dtr="false" t="normal">+N27-'Приложение №2'!E27</f>
        <v>0</v>
      </c>
      <c r="AQ27" s="1" t="n">
        <f aca="false" ca="false" dt2D="false" dtr="false" t="normal">2134189.71-1374751.67</f>
        <v>759438.04</v>
      </c>
      <c r="AR27" s="3" t="n">
        <f aca="false" ca="false" dt2D="false" dtr="false" t="normal">+(K27*10+L27*20)*12*0.85</f>
        <v>490048.8</v>
      </c>
      <c r="AS27" s="3" t="n">
        <f aca="false" ca="false" dt2D="false" dtr="false" t="normal">+(K27*10+L27*20)*12*30-2680584.06</f>
        <v>14615255.94</v>
      </c>
      <c r="AT27" s="9" t="n">
        <f aca="false" ca="false" dt2D="false" dtr="false" t="normal">+S27-AS27</f>
        <v>-11801480.415726999</v>
      </c>
      <c r="AW27" s="113" t="n">
        <f aca="false" ca="true" dt2D="false" dtr="false" t="normal">SUBTOTAL(9, AX27:BL27)</f>
        <v>3712081.529158997</v>
      </c>
      <c r="AX27" s="106" t="n"/>
      <c r="AY27" s="106" t="n"/>
      <c r="AZ27" s="106" t="n">
        <v>878254.94</v>
      </c>
      <c r="BA27" s="106" t="n"/>
      <c r="BB27" s="106" t="n">
        <v>0</v>
      </c>
      <c r="BC27" s="106" t="n"/>
      <c r="BD27" s="106" t="n"/>
      <c r="BE27" s="106" t="n">
        <v>0</v>
      </c>
      <c r="BF27" s="106" t="n">
        <v>0</v>
      </c>
      <c r="BG27" s="106" t="n">
        <v>0</v>
      </c>
      <c r="BH27" s="106" t="n">
        <v>0</v>
      </c>
      <c r="BI27" s="106" t="n">
        <v>0</v>
      </c>
      <c r="BJ27" s="106" t="n">
        <f aca="false" ca="false" dt2D="false" dtr="false" t="normal">2191683.42279663-27761</f>
        <v>2163922.42279663</v>
      </c>
      <c r="BK27" s="114" t="n">
        <v>229848.711476372</v>
      </c>
      <c r="BL27" s="115" t="n">
        <v>440055.454885995</v>
      </c>
      <c r="BM27" s="14" t="n">
        <f aca="false" ca="true" dt2D="false" dtr="false" t="normal">SUBTOTAL(9, BN27:CB27)</f>
        <v>3712081.529158997</v>
      </c>
      <c r="BN27" s="106" t="n"/>
      <c r="BO27" s="106" t="n"/>
      <c r="BP27" s="106" t="n">
        <v>878254.94</v>
      </c>
      <c r="BQ27" s="106" t="n"/>
      <c r="BR27" s="106" t="n">
        <v>0</v>
      </c>
      <c r="BS27" s="106" t="n"/>
      <c r="BT27" s="106" t="n"/>
      <c r="BU27" s="106" t="n">
        <v>0</v>
      </c>
      <c r="BV27" s="106" t="n">
        <v>0</v>
      </c>
      <c r="BW27" s="106" t="n">
        <v>0</v>
      </c>
      <c r="BX27" s="106" t="n">
        <v>0</v>
      </c>
      <c r="BY27" s="106" t="n">
        <v>0</v>
      </c>
      <c r="BZ27" s="106" t="n">
        <f aca="false" ca="false" dt2D="false" dtr="false" t="normal">2191683.42279663-27761</f>
        <v>2163922.42279663</v>
      </c>
      <c r="CA27" s="114" t="n">
        <v>229848.711476372</v>
      </c>
      <c r="CB27" s="115" t="n">
        <v>440055.454885995</v>
      </c>
      <c r="CD27" s="116" t="n">
        <f aca="false" ca="false" dt2D="false" dtr="false" t="normal">+CD26+1</f>
        <v>10</v>
      </c>
      <c r="CE27" s="117" t="n">
        <f aca="false" ca="false" dt2D="false" dtr="false" t="normal">+CE26+1</f>
        <v>10</v>
      </c>
      <c r="CF27" s="104" t="s">
        <v>78</v>
      </c>
      <c r="CG27" s="104" t="s">
        <v>79</v>
      </c>
      <c r="CH27" s="118" t="n">
        <f aca="false" ca="true" dt2D="false" dtr="false" t="normal">SUBTOTAL(9, CI27:CW27)</f>
        <v>3712081.529158997</v>
      </c>
      <c r="CI27" s="106" t="n"/>
      <c r="CJ27" s="106" t="n"/>
      <c r="CK27" s="106" t="n">
        <v>878254.94</v>
      </c>
      <c r="CL27" s="106" t="n"/>
      <c r="CM27" s="106" t="n">
        <v>0</v>
      </c>
      <c r="CN27" s="106" t="n"/>
      <c r="CO27" s="106" t="n"/>
      <c r="CP27" s="106" t="n">
        <v>0</v>
      </c>
      <c r="CQ27" s="106" t="n">
        <v>0</v>
      </c>
      <c r="CR27" s="106" t="n">
        <v>0</v>
      </c>
      <c r="CS27" s="106" t="n">
        <v>0</v>
      </c>
      <c r="CT27" s="106" t="n">
        <v>0</v>
      </c>
      <c r="CU27" s="106" t="n">
        <f aca="false" ca="false" dt2D="false" dtr="false" t="normal">2191683.42279663-27761</f>
        <v>2163922.42279663</v>
      </c>
      <c r="CV27" s="114" t="n">
        <v>229848.711476372</v>
      </c>
      <c r="CW27" s="115" t="n">
        <v>440055.454885995</v>
      </c>
      <c r="CZ27" s="104" t="s">
        <v>79</v>
      </c>
      <c r="DA27" s="119" t="n">
        <f aca="false" ca="true" dt2D="false" dtr="false" t="normal">SUBTOTAL(9, DB27:DP27)</f>
        <v>3272026.074273002</v>
      </c>
      <c r="DB27" s="106" t="n"/>
      <c r="DC27" s="106" t="n"/>
      <c r="DD27" s="106" t="n">
        <v>878254.94</v>
      </c>
      <c r="DE27" s="106" t="n"/>
      <c r="DF27" s="106" t="n">
        <v>0</v>
      </c>
      <c r="DG27" s="106" t="n"/>
      <c r="DH27" s="106" t="n"/>
      <c r="DI27" s="106" t="n">
        <v>0</v>
      </c>
      <c r="DJ27" s="106" t="n">
        <v>0</v>
      </c>
      <c r="DK27" s="106" t="n">
        <v>0</v>
      </c>
      <c r="DL27" s="106" t="n">
        <v>0</v>
      </c>
      <c r="DM27" s="106" t="n">
        <v>0</v>
      </c>
      <c r="DN27" s="106" t="n">
        <f aca="false" ca="false" dt2D="false" dtr="false" t="normal">2191683.42279663-27761</f>
        <v>2163922.42279663</v>
      </c>
      <c r="DO27" s="114" t="n">
        <v>229848.711476372</v>
      </c>
      <c r="DP27" s="122" t="n"/>
      <c r="DQ27" s="3" t="n">
        <f aca="false" ca="false" dt2D="false" dtr="false" t="normal">N27-DA27</f>
        <v>0</v>
      </c>
      <c r="DS27" s="9" t="n"/>
    </row>
    <row customHeight="true" hidden="false" ht="15" outlineLevel="0" r="28">
      <c r="A28" s="103" t="n">
        <f aca="false" ca="false" dt2D="false" dtr="false" t="normal">+A27+1</f>
        <v>11</v>
      </c>
      <c r="B28" s="104" t="n">
        <f aca="false" ca="false" dt2D="false" dtr="false" t="normal">+B27+1</f>
        <v>11</v>
      </c>
      <c r="C28" s="104" t="s">
        <v>78</v>
      </c>
      <c r="D28" s="104" t="s">
        <v>80</v>
      </c>
      <c r="E28" s="105" t="n">
        <v>1996</v>
      </c>
      <c r="F28" s="105" t="n">
        <v>1996</v>
      </c>
      <c r="G28" s="105" t="s">
        <v>68</v>
      </c>
      <c r="H28" s="105" t="n">
        <v>9</v>
      </c>
      <c r="I28" s="105" t="n">
        <v>2</v>
      </c>
      <c r="J28" s="106" t="n">
        <v>5868.8</v>
      </c>
      <c r="K28" s="106" t="n">
        <v>4891.1</v>
      </c>
      <c r="L28" s="106" t="n">
        <v>103.4</v>
      </c>
      <c r="M28" s="107" t="n">
        <v>176</v>
      </c>
      <c r="N28" s="108" t="n">
        <f aca="false" ca="false" dt2D="false" dtr="false" t="normal">SUM(P28:T28)</f>
        <v>5807146.38</v>
      </c>
      <c r="O28" s="106" t="n"/>
      <c r="P28" s="114" t="n">
        <v>0</v>
      </c>
      <c r="Q28" s="114" t="n"/>
      <c r="R28" s="114" t="n">
        <v>2916099.9</v>
      </c>
      <c r="S28" s="114" t="n">
        <v>2891046.48</v>
      </c>
      <c r="T28" s="106" t="n">
        <v>0</v>
      </c>
      <c r="U28" s="114" t="n">
        <v>1232.62580955488</v>
      </c>
      <c r="V28" s="114" t="n">
        <v>1232.62580955488</v>
      </c>
      <c r="W28" s="110" t="n">
        <v>2022</v>
      </c>
      <c r="X28" s="9" t="e">
        <f aca="false" ca="false" dt2D="false" dtr="false" t="normal">+#REF!-'[9]Приложение №1'!$P1325</f>
        <v>#REF!</v>
      </c>
      <c r="Z28" s="113" t="n">
        <f aca="false" ca="false" dt2D="false" dtr="false" t="normal">SUM(AA28:AO28)</f>
        <v>26916272.679462217</v>
      </c>
      <c r="AA28" s="106" t="n">
        <v>11954408.5687097</v>
      </c>
      <c r="AB28" s="106" t="n">
        <v>4782903.57021249</v>
      </c>
      <c r="AC28" s="106" t="n">
        <v>3532642.50892779</v>
      </c>
      <c r="AD28" s="106" t="n">
        <v>2257520.51415249</v>
      </c>
      <c r="AE28" s="106" t="n">
        <v>0</v>
      </c>
      <c r="AF28" s="106" t="n"/>
      <c r="AG28" s="106" t="n">
        <v>531117.68749178</v>
      </c>
      <c r="AH28" s="106" t="n">
        <v>0</v>
      </c>
      <c r="AI28" s="106" t="n"/>
      <c r="AJ28" s="106" t="n">
        <v>0</v>
      </c>
      <c r="AK28" s="106" t="n">
        <v>0</v>
      </c>
      <c r="AL28" s="106" t="n">
        <v>0</v>
      </c>
      <c r="AM28" s="106" t="n">
        <v>2917548.10150334</v>
      </c>
      <c r="AN28" s="114" t="n">
        <v>321479.91337036</v>
      </c>
      <c r="AO28" s="115" t="n">
        <v>618651.815094273</v>
      </c>
      <c r="AP28" s="112" t="n">
        <f aca="false" ca="false" dt2D="false" dtr="false" t="normal">+N28-'Приложение №2'!E28</f>
        <v>0</v>
      </c>
      <c r="AQ28" s="1" t="n">
        <f aca="false" ca="false" dt2D="false" dtr="false" t="normal">3041149.84-317048.16</f>
        <v>2724101.6799999997</v>
      </c>
      <c r="AR28" s="3" t="n">
        <f aca="false" ca="false" dt2D="false" dtr="false" t="normal">+(K28*13.29+L28*22.52)*12*0.85</f>
        <v>686779.1273999999</v>
      </c>
      <c r="AS28" s="3" t="n">
        <f aca="false" ca="false" dt2D="false" dtr="false" t="normal">+(K28*13.29+L28*22.52)*12*30-2665031.47</f>
        <v>21574231.849999998</v>
      </c>
      <c r="AT28" s="9" t="n">
        <f aca="false" ca="false" dt2D="false" dtr="false" t="normal">+S28-AS28</f>
        <v>-18683185.369999997</v>
      </c>
      <c r="AW28" s="113" t="n">
        <f aca="false" ca="true" dt2D="false" dtr="false" t="normal">SUBTOTAL(9, AX28:BL28)</f>
        <v>6156349.605821848</v>
      </c>
      <c r="AX28" s="106" t="n">
        <v>2699032.56</v>
      </c>
      <c r="AY28" s="106" t="n">
        <v>2261633.31</v>
      </c>
      <c r="AZ28" s="106" t="n"/>
      <c r="BA28" s="106" t="n">
        <v>818058.15</v>
      </c>
      <c r="BB28" s="106" t="n">
        <v>0</v>
      </c>
      <c r="BC28" s="106" t="n"/>
      <c r="BD28" s="106" t="n"/>
      <c r="BE28" s="106" t="n">
        <v>0</v>
      </c>
      <c r="BF28" s="106" t="n"/>
      <c r="BG28" s="106" t="n">
        <v>0</v>
      </c>
      <c r="BH28" s="106" t="n">
        <v>0</v>
      </c>
      <c r="BI28" s="106" t="n">
        <v>0</v>
      </c>
      <c r="BJ28" s="106" t="n"/>
      <c r="BK28" s="114" t="n"/>
      <c r="BL28" s="115" t="n">
        <v>377625.585821847</v>
      </c>
      <c r="BM28" s="14" t="n">
        <f aca="false" ca="true" dt2D="false" dtr="false" t="normal">SUBTOTAL(9, BN28:CB28)</f>
        <v>6156349.605821848</v>
      </c>
      <c r="BN28" s="106" t="n">
        <v>2699032.56</v>
      </c>
      <c r="BO28" s="106" t="n">
        <v>2261633.31</v>
      </c>
      <c r="BP28" s="106" t="n"/>
      <c r="BQ28" s="106" t="n">
        <v>818058.15</v>
      </c>
      <c r="BR28" s="106" t="n">
        <v>0</v>
      </c>
      <c r="BS28" s="106" t="n"/>
      <c r="BT28" s="106" t="n"/>
      <c r="BU28" s="106" t="n">
        <v>0</v>
      </c>
      <c r="BV28" s="106" t="n"/>
      <c r="BW28" s="106" t="n">
        <v>0</v>
      </c>
      <c r="BX28" s="106" t="n">
        <v>0</v>
      </c>
      <c r="BY28" s="106" t="n">
        <v>0</v>
      </c>
      <c r="BZ28" s="106" t="n"/>
      <c r="CA28" s="114" t="n"/>
      <c r="CB28" s="115" t="n">
        <v>377625.585821847</v>
      </c>
      <c r="CD28" s="116" t="n">
        <f aca="false" ca="false" dt2D="false" dtr="false" t="normal">+CD27+1</f>
        <v>11</v>
      </c>
      <c r="CE28" s="117" t="n">
        <f aca="false" ca="false" dt2D="false" dtr="false" t="normal">+CE27+1</f>
        <v>11</v>
      </c>
      <c r="CF28" s="104" t="s">
        <v>78</v>
      </c>
      <c r="CG28" s="104" t="s">
        <v>80</v>
      </c>
      <c r="CH28" s="118" t="n">
        <f aca="false" ca="true" dt2D="false" dtr="false" t="normal">SUBTOTAL(9, CI28:CW28)</f>
        <v>6156349.605821848</v>
      </c>
      <c r="CI28" s="106" t="n">
        <v>2699032.56</v>
      </c>
      <c r="CJ28" s="106" t="n">
        <v>2261633.31</v>
      </c>
      <c r="CK28" s="106" t="n"/>
      <c r="CL28" s="106" t="n">
        <v>818058.15</v>
      </c>
      <c r="CM28" s="106" t="n">
        <v>0</v>
      </c>
      <c r="CN28" s="106" t="n"/>
      <c r="CO28" s="106" t="n"/>
      <c r="CP28" s="106" t="n">
        <v>0</v>
      </c>
      <c r="CQ28" s="106" t="n"/>
      <c r="CR28" s="106" t="n">
        <v>0</v>
      </c>
      <c r="CS28" s="106" t="n">
        <v>0</v>
      </c>
      <c r="CT28" s="106" t="n">
        <v>0</v>
      </c>
      <c r="CU28" s="106" t="n"/>
      <c r="CV28" s="114" t="n"/>
      <c r="CW28" s="115" t="n">
        <v>377625.585821847</v>
      </c>
      <c r="CZ28" s="104" t="s">
        <v>80</v>
      </c>
      <c r="DA28" s="119" t="n">
        <f aca="false" ca="true" dt2D="false" dtr="false" t="normal">SUBTOTAL(9, DB28:DP28)</f>
        <v>5807146.380000001</v>
      </c>
      <c r="DB28" s="106" t="n">
        <v>2699032.56</v>
      </c>
      <c r="DC28" s="106" t="n">
        <v>2261633.31</v>
      </c>
      <c r="DD28" s="106" t="n"/>
      <c r="DE28" s="106" t="n">
        <v>818058.15</v>
      </c>
      <c r="DF28" s="106" t="n">
        <v>0</v>
      </c>
      <c r="DG28" s="106" t="n"/>
      <c r="DH28" s="106" t="n"/>
      <c r="DI28" s="106" t="n">
        <v>0</v>
      </c>
      <c r="DJ28" s="106" t="n"/>
      <c r="DK28" s="106" t="n">
        <v>0</v>
      </c>
      <c r="DL28" s="106" t="n">
        <v>0</v>
      </c>
      <c r="DM28" s="106" t="n">
        <v>0</v>
      </c>
      <c r="DN28" s="106" t="n"/>
      <c r="DO28" s="114" t="n"/>
      <c r="DP28" s="120" t="n">
        <f aca="false" ca="false" dt2D="false" dtr="false" t="normal">28422.36</f>
        <v>28422.36</v>
      </c>
      <c r="DQ28" s="3" t="n">
        <f aca="false" ca="false" dt2D="false" dtr="false" t="normal">N28-DA28</f>
        <v>0</v>
      </c>
      <c r="DS28" s="9" t="n"/>
    </row>
    <row hidden="false" ht="15" outlineLevel="0" r="29">
      <c r="A29" s="103" t="n">
        <f aca="false" ca="false" dt2D="false" dtr="false" t="normal">+A28+1</f>
        <v>12</v>
      </c>
      <c r="B29" s="104" t="n">
        <f aca="false" ca="false" dt2D="false" dtr="false" t="normal">+B28+1</f>
        <v>12</v>
      </c>
      <c r="C29" s="104" t="s">
        <v>81</v>
      </c>
      <c r="D29" s="104" t="s">
        <v>82</v>
      </c>
      <c r="E29" s="105" t="n">
        <v>1986</v>
      </c>
      <c r="F29" s="105" t="n">
        <v>2016</v>
      </c>
      <c r="G29" s="105" t="s">
        <v>68</v>
      </c>
      <c r="H29" s="105" t="n">
        <v>9</v>
      </c>
      <c r="I29" s="105" t="n">
        <v>1</v>
      </c>
      <c r="J29" s="106" t="n">
        <v>3158.3</v>
      </c>
      <c r="K29" s="106" t="n">
        <v>2706.55</v>
      </c>
      <c r="L29" s="106" t="n">
        <v>0</v>
      </c>
      <c r="M29" s="107" t="n">
        <v>111</v>
      </c>
      <c r="N29" s="108" t="n">
        <f aca="false" ca="false" dt2D="false" dtr="false" t="normal">SUM(P29:T29)</f>
        <v>12771162.56</v>
      </c>
      <c r="O29" s="106" t="n"/>
      <c r="P29" s="123" t="n">
        <v>12411219.705962</v>
      </c>
      <c r="Q29" s="124" t="n"/>
      <c r="R29" s="124" t="n">
        <v>359942.854038</v>
      </c>
      <c r="S29" s="114" t="n"/>
      <c r="T29" s="106" t="n"/>
      <c r="U29" s="114" t="n">
        <v>4816.54348524875</v>
      </c>
      <c r="V29" s="114" t="n">
        <v>4816.54348524875</v>
      </c>
      <c r="W29" s="110" t="n">
        <v>2022</v>
      </c>
      <c r="X29" s="9" t="e">
        <f aca="false" ca="false" dt2D="false" dtr="false" t="normal">+#REF!-#REF!</f>
        <v>#REF!</v>
      </c>
      <c r="Z29" s="113" t="n">
        <f aca="false" ca="false" dt2D="false" dtr="false" t="normal">SUM(AA29:AO29)</f>
        <v>13982972.132639853</v>
      </c>
      <c r="AA29" s="106" t="n">
        <v>0</v>
      </c>
      <c r="AB29" s="106" t="n">
        <v>0</v>
      </c>
      <c r="AC29" s="106" t="n">
        <v>0</v>
      </c>
      <c r="AD29" s="106" t="n">
        <v>0</v>
      </c>
      <c r="AE29" s="106" t="n">
        <v>0</v>
      </c>
      <c r="AF29" s="106" t="n"/>
      <c r="AG29" s="106" t="n">
        <v>0</v>
      </c>
      <c r="AH29" s="106" t="n">
        <v>0</v>
      </c>
      <c r="AI29" s="106" t="n">
        <v>2807713.83146342</v>
      </c>
      <c r="AJ29" s="106" t="n">
        <v>0</v>
      </c>
      <c r="AK29" s="106" t="n">
        <v>9402008.49969738</v>
      </c>
      <c r="AL29" s="106" t="n">
        <v>0</v>
      </c>
      <c r="AM29" s="106" t="n">
        <v>1366418.18163759</v>
      </c>
      <c r="AN29" s="114" t="n">
        <v>139829.721326399</v>
      </c>
      <c r="AO29" s="115" t="n">
        <v>267001.898515064</v>
      </c>
      <c r="AP29" s="112" t="n">
        <f aca="false" ca="false" dt2D="false" dtr="false" t="normal">+N29-'Приложение №2'!E29</f>
        <v>0</v>
      </c>
      <c r="AR29" s="3" t="n">
        <f aca="false" ca="false" dt2D="false" dtr="false" t="normal">+(K29*13.29+L29*22.52)*12*0.85</f>
        <v>366894.5049</v>
      </c>
      <c r="AT29" s="9" t="n"/>
      <c r="AW29" s="113" t="n">
        <f aca="false" ca="true" dt2D="false" dtr="false" t="normal">SUBTOTAL(9, AX29:BL29)</f>
        <v>13036215.770000001</v>
      </c>
      <c r="AX29" s="106" t="n">
        <v>0</v>
      </c>
      <c r="AY29" s="106" t="n">
        <v>0</v>
      </c>
      <c r="AZ29" s="106" t="n">
        <v>0</v>
      </c>
      <c r="BA29" s="106" t="n">
        <v>0</v>
      </c>
      <c r="BB29" s="106" t="n">
        <v>0</v>
      </c>
      <c r="BC29" s="106" t="n"/>
      <c r="BD29" s="106" t="n"/>
      <c r="BE29" s="106" t="n">
        <v>0</v>
      </c>
      <c r="BF29" s="125" t="n">
        <v>2807713.83</v>
      </c>
      <c r="BG29" s="125" t="n">
        <v>0</v>
      </c>
      <c r="BH29" s="125" t="n">
        <v>9577950</v>
      </c>
      <c r="BI29" s="125" t="n">
        <v>0</v>
      </c>
      <c r="BJ29" s="125" t="n">
        <v>377498.73</v>
      </c>
      <c r="BK29" s="124" t="n">
        <v>8000</v>
      </c>
      <c r="BL29" s="126" t="n">
        <v>265053.21</v>
      </c>
      <c r="BM29" s="14" t="n">
        <f aca="false" ca="true" dt2D="false" dtr="false" t="normal">SUBTOTAL(9, BN29:CB29)</f>
        <v>13036215.770000001</v>
      </c>
      <c r="BN29" s="106" t="n">
        <v>0</v>
      </c>
      <c r="BO29" s="106" t="n">
        <v>0</v>
      </c>
      <c r="BP29" s="106" t="n">
        <v>0</v>
      </c>
      <c r="BQ29" s="106" t="n">
        <v>0</v>
      </c>
      <c r="BR29" s="106" t="n">
        <v>0</v>
      </c>
      <c r="BS29" s="106" t="n"/>
      <c r="BT29" s="106" t="n"/>
      <c r="BU29" s="106" t="n">
        <v>0</v>
      </c>
      <c r="BV29" s="125" t="n">
        <v>2807713.83</v>
      </c>
      <c r="BW29" s="125" t="n">
        <v>0</v>
      </c>
      <c r="BX29" s="125" t="n">
        <v>9577950</v>
      </c>
      <c r="BY29" s="125" t="n">
        <v>0</v>
      </c>
      <c r="BZ29" s="125" t="n">
        <v>377498.73</v>
      </c>
      <c r="CA29" s="124" t="n">
        <v>8000</v>
      </c>
      <c r="CB29" s="126" t="n">
        <v>265053.21</v>
      </c>
      <c r="CD29" s="116" t="n">
        <f aca="false" ca="false" dt2D="false" dtr="false" t="normal">+CD28+1</f>
        <v>12</v>
      </c>
      <c r="CE29" s="117" t="n">
        <f aca="false" ca="false" dt2D="false" dtr="false" t="normal">+CE28+1</f>
        <v>12</v>
      </c>
      <c r="CF29" s="104" t="s">
        <v>78</v>
      </c>
      <c r="CG29" s="104" t="s">
        <v>82</v>
      </c>
      <c r="CH29" s="118" t="n">
        <f aca="false" ca="true" dt2D="false" dtr="false" t="normal">SUBTOTAL(9, CI29:CW29)</f>
        <v>13036215.770000001</v>
      </c>
      <c r="CI29" s="106" t="n">
        <v>0</v>
      </c>
      <c r="CJ29" s="106" t="n">
        <v>0</v>
      </c>
      <c r="CK29" s="106" t="n">
        <v>0</v>
      </c>
      <c r="CL29" s="106" t="n">
        <v>0</v>
      </c>
      <c r="CM29" s="106" t="n">
        <v>0</v>
      </c>
      <c r="CN29" s="106" t="n"/>
      <c r="CO29" s="106" t="n"/>
      <c r="CP29" s="106" t="n">
        <v>0</v>
      </c>
      <c r="CQ29" s="125" t="n">
        <v>2807713.83</v>
      </c>
      <c r="CR29" s="125" t="n">
        <v>0</v>
      </c>
      <c r="CS29" s="125" t="n">
        <v>9577950</v>
      </c>
      <c r="CT29" s="125" t="n">
        <v>0</v>
      </c>
      <c r="CU29" s="125" t="n">
        <v>377498.73</v>
      </c>
      <c r="CV29" s="124" t="n">
        <v>8000</v>
      </c>
      <c r="CW29" s="126" t="n">
        <v>265053.21</v>
      </c>
      <c r="CZ29" s="104" t="s">
        <v>82</v>
      </c>
      <c r="DA29" s="119" t="n">
        <f aca="false" ca="true" dt2D="false" dtr="false" t="normal">SUBTOTAL(9, DB29:DP29)</f>
        <v>12771162.56</v>
      </c>
      <c r="DB29" s="106" t="n">
        <v>0</v>
      </c>
      <c r="DC29" s="106" t="n">
        <v>0</v>
      </c>
      <c r="DD29" s="106" t="n">
        <v>0</v>
      </c>
      <c r="DE29" s="106" t="n">
        <v>0</v>
      </c>
      <c r="DF29" s="106" t="n">
        <v>0</v>
      </c>
      <c r="DG29" s="106" t="n"/>
      <c r="DH29" s="106" t="n"/>
      <c r="DI29" s="106" t="n">
        <v>0</v>
      </c>
      <c r="DJ29" s="125" t="n">
        <v>2807713.83</v>
      </c>
      <c r="DK29" s="125" t="n">
        <v>0</v>
      </c>
      <c r="DL29" s="125" t="n">
        <v>9577950</v>
      </c>
      <c r="DM29" s="125" t="n">
        <v>0</v>
      </c>
      <c r="DN29" s="125" t="n">
        <v>377498.73</v>
      </c>
      <c r="DO29" s="124" t="n">
        <v>8000</v>
      </c>
      <c r="DP29" s="127" t="n"/>
      <c r="DQ29" s="3" t="n">
        <f aca="false" ca="false" dt2D="false" dtr="false" t="normal">N29-DA29</f>
        <v>0</v>
      </c>
      <c r="DS29" s="17" t="n"/>
    </row>
    <row hidden="false" ht="15" outlineLevel="0" r="30">
      <c r="A30" s="103" t="n">
        <f aca="false" ca="false" dt2D="false" dtr="false" t="normal">+A29+1</f>
        <v>13</v>
      </c>
      <c r="B30" s="104" t="n">
        <f aca="false" ca="false" dt2D="false" dtr="false" t="normal">+B29+1</f>
        <v>13</v>
      </c>
      <c r="C30" s="104" t="s">
        <v>78</v>
      </c>
      <c r="D30" s="104" t="s">
        <v>83</v>
      </c>
      <c r="E30" s="105" t="n">
        <v>1990</v>
      </c>
      <c r="F30" s="105" t="n">
        <v>2017</v>
      </c>
      <c r="G30" s="105" t="s">
        <v>68</v>
      </c>
      <c r="H30" s="105" t="n">
        <v>10</v>
      </c>
      <c r="I30" s="105" t="n">
        <v>3</v>
      </c>
      <c r="J30" s="106" t="n">
        <v>10664.8</v>
      </c>
      <c r="K30" s="106" t="n">
        <v>8965.7</v>
      </c>
      <c r="L30" s="106" t="n">
        <v>241.2</v>
      </c>
      <c r="M30" s="107" t="n">
        <v>365</v>
      </c>
      <c r="N30" s="108" t="n">
        <f aca="false" ca="false" dt2D="false" dtr="false" t="normal">SUM(P30:T30)</f>
        <v>856822.6799999999</v>
      </c>
      <c r="O30" s="106" t="n"/>
      <c r="P30" s="114" t="n"/>
      <c r="Q30" s="114" t="n"/>
      <c r="R30" s="114" t="n">
        <v>529034.98</v>
      </c>
      <c r="S30" s="114" t="n">
        <v>327787.7</v>
      </c>
      <c r="T30" s="106" t="n">
        <v>0</v>
      </c>
      <c r="U30" s="114" t="n">
        <v>102.94371879825</v>
      </c>
      <c r="V30" s="114" t="n">
        <v>102.94371879825</v>
      </c>
      <c r="W30" s="110" t="n">
        <v>2022</v>
      </c>
      <c r="X30" s="9" t="e">
        <f aca="false" ca="false" dt2D="false" dtr="false" t="normal">+#REF!-'[9]Приложение №1'!$P919</f>
        <v>#REF!</v>
      </c>
      <c r="Z30" s="113" t="n">
        <f aca="false" ca="false" dt2D="false" dtr="false" t="normal">SUM(AA30:AO30)</f>
        <v>17451465.54755237</v>
      </c>
      <c r="AA30" s="106" t="n"/>
      <c r="AB30" s="106" t="n"/>
      <c r="AC30" s="106" t="n">
        <v>6509638.56738441</v>
      </c>
      <c r="AD30" s="106" t="n">
        <v>4159957.47332183</v>
      </c>
      <c r="AE30" s="106" t="n">
        <v>0</v>
      </c>
      <c r="AF30" s="106" t="n"/>
      <c r="AG30" s="106" t="n">
        <v>978696.308380742</v>
      </c>
      <c r="AH30" s="106" t="n">
        <v>0</v>
      </c>
      <c r="AI30" s="106" t="n">
        <v>0</v>
      </c>
      <c r="AJ30" s="106" t="n">
        <v>0</v>
      </c>
      <c r="AK30" s="106" t="n">
        <v>0</v>
      </c>
      <c r="AL30" s="106" t="n">
        <v>0</v>
      </c>
      <c r="AM30" s="106" t="n">
        <v>4391061.07358151</v>
      </c>
      <c r="AN30" s="114" t="n">
        <v>482934.916904548</v>
      </c>
      <c r="AO30" s="115" t="n">
        <v>929177.207979331</v>
      </c>
      <c r="AP30" s="112" t="n">
        <f aca="false" ca="false" dt2D="false" dtr="false" t="normal">+N30-'Приложение №2'!E30</f>
        <v>0</v>
      </c>
      <c r="AQ30" s="1" t="n">
        <v>6040448.13</v>
      </c>
      <c r="AR30" s="3" t="n">
        <f aca="false" ca="false" dt2D="false" dtr="false" t="normal">+(K30*13.29+L30*22.52)*12*0.85</f>
        <v>1270776.9653999999</v>
      </c>
      <c r="AS30" s="3" t="n">
        <f aca="false" ca="false" dt2D="false" dtr="false" t="normal">+(K30*13.29+L30*22.52)*12*30-11155353.44</f>
        <v>33695598.28</v>
      </c>
      <c r="AT30" s="9" t="n">
        <f aca="false" ca="false" dt2D="false" dtr="false" t="normal">+S30-AS30</f>
        <v>-33367810.580000002</v>
      </c>
      <c r="AW30" s="113" t="n">
        <f aca="false" ca="true" dt2D="false" dtr="false" t="normal">SUBTOTAL(9, AX30:BL30)</f>
        <v>947792.5246036043</v>
      </c>
      <c r="AX30" s="106" t="n"/>
      <c r="AY30" s="106" t="n"/>
      <c r="AZ30" s="106" t="n"/>
      <c r="BA30" s="106" t="n">
        <v>856822.68</v>
      </c>
      <c r="BB30" s="106" t="n">
        <v>0</v>
      </c>
      <c r="BC30" s="106" t="n"/>
      <c r="BD30" s="106" t="n"/>
      <c r="BE30" s="106" t="n">
        <v>0</v>
      </c>
      <c r="BF30" s="106" t="n">
        <v>0</v>
      </c>
      <c r="BG30" s="106" t="n">
        <v>0</v>
      </c>
      <c r="BH30" s="106" t="n">
        <v>0</v>
      </c>
      <c r="BI30" s="106" t="n">
        <v>0</v>
      </c>
      <c r="BJ30" s="106" t="n"/>
      <c r="BK30" s="114" t="n"/>
      <c r="BL30" s="115" t="n">
        <v>90969.8446036043</v>
      </c>
      <c r="BM30" s="14" t="n">
        <f aca="false" ca="true" dt2D="false" dtr="false" t="normal">SUBTOTAL(9, BN30:CB30)</f>
        <v>947792.5246036043</v>
      </c>
      <c r="BN30" s="106" t="n"/>
      <c r="BO30" s="106" t="n"/>
      <c r="BP30" s="106" t="n"/>
      <c r="BQ30" s="106" t="n">
        <v>856822.68</v>
      </c>
      <c r="BR30" s="106" t="n">
        <v>0</v>
      </c>
      <c r="BS30" s="106" t="n"/>
      <c r="BT30" s="106" t="n"/>
      <c r="BU30" s="106" t="n">
        <v>0</v>
      </c>
      <c r="BV30" s="106" t="n">
        <v>0</v>
      </c>
      <c r="BW30" s="106" t="n">
        <v>0</v>
      </c>
      <c r="BX30" s="106" t="n">
        <v>0</v>
      </c>
      <c r="BY30" s="106" t="n">
        <v>0</v>
      </c>
      <c r="BZ30" s="106" t="n"/>
      <c r="CA30" s="114" t="n"/>
      <c r="CB30" s="115" t="n">
        <v>90969.8446036043</v>
      </c>
      <c r="CD30" s="116" t="n">
        <f aca="false" ca="false" dt2D="false" dtr="false" t="normal">+CD29+1</f>
        <v>13</v>
      </c>
      <c r="CE30" s="117" t="n">
        <f aca="false" ca="false" dt2D="false" dtr="false" t="normal">+CE29+1</f>
        <v>13</v>
      </c>
      <c r="CF30" s="104" t="s">
        <v>78</v>
      </c>
      <c r="CG30" s="104" t="s">
        <v>83</v>
      </c>
      <c r="CH30" s="118" t="n">
        <f aca="false" ca="true" dt2D="false" dtr="false" t="normal">SUBTOTAL(9, CI30:CW30)</f>
        <v>947792.5246036043</v>
      </c>
      <c r="CI30" s="106" t="n"/>
      <c r="CJ30" s="106" t="n"/>
      <c r="CK30" s="106" t="n"/>
      <c r="CL30" s="106" t="n">
        <v>856822.68</v>
      </c>
      <c r="CM30" s="106" t="n">
        <v>0</v>
      </c>
      <c r="CN30" s="106" t="n"/>
      <c r="CO30" s="106" t="n"/>
      <c r="CP30" s="106" t="n">
        <v>0</v>
      </c>
      <c r="CQ30" s="106" t="n">
        <v>0</v>
      </c>
      <c r="CR30" s="106" t="n">
        <v>0</v>
      </c>
      <c r="CS30" s="106" t="n">
        <v>0</v>
      </c>
      <c r="CT30" s="106" t="n">
        <v>0</v>
      </c>
      <c r="CU30" s="106" t="n"/>
      <c r="CV30" s="114" t="n"/>
      <c r="CW30" s="115" t="n">
        <v>90969.8446036043</v>
      </c>
      <c r="CZ30" s="104" t="s">
        <v>83</v>
      </c>
      <c r="DA30" s="119" t="n">
        <f aca="false" ca="true" dt2D="false" dtr="false" t="normal">SUBTOTAL(9, DB30:DP30)</f>
        <v>856822.68</v>
      </c>
      <c r="DB30" s="106" t="n"/>
      <c r="DC30" s="106" t="n"/>
      <c r="DD30" s="106" t="n"/>
      <c r="DE30" s="106" t="n">
        <v>856822.68</v>
      </c>
      <c r="DF30" s="106" t="n">
        <v>0</v>
      </c>
      <c r="DG30" s="106" t="n"/>
      <c r="DH30" s="106" t="n"/>
      <c r="DI30" s="106" t="n">
        <v>0</v>
      </c>
      <c r="DJ30" s="106" t="n">
        <v>0</v>
      </c>
      <c r="DK30" s="106" t="n">
        <v>0</v>
      </c>
      <c r="DL30" s="106" t="n">
        <v>0</v>
      </c>
      <c r="DM30" s="106" t="n">
        <v>0</v>
      </c>
      <c r="DN30" s="106" t="n"/>
      <c r="DO30" s="114" t="n"/>
      <c r="DP30" s="122" t="n"/>
      <c r="DQ30" s="3" t="n">
        <f aca="false" ca="false" dt2D="false" dtr="false" t="normal">N30-DA30</f>
        <v>0</v>
      </c>
      <c r="DS30" s="9" t="n"/>
    </row>
    <row hidden="false" ht="15" outlineLevel="0" r="31">
      <c r="A31" s="103" t="n">
        <f aca="false" ca="false" dt2D="false" dtr="false" t="normal">+A30+1</f>
        <v>14</v>
      </c>
      <c r="B31" s="104" t="n">
        <f aca="false" ca="false" dt2D="false" dtr="false" t="normal">+B30+1</f>
        <v>14</v>
      </c>
      <c r="C31" s="104" t="s">
        <v>78</v>
      </c>
      <c r="D31" s="104" t="s">
        <v>84</v>
      </c>
      <c r="E31" s="105" t="n">
        <v>1990</v>
      </c>
      <c r="F31" s="105" t="n">
        <v>2017</v>
      </c>
      <c r="G31" s="105" t="s">
        <v>68</v>
      </c>
      <c r="H31" s="105" t="n">
        <v>9</v>
      </c>
      <c r="I31" s="105" t="n">
        <v>1</v>
      </c>
      <c r="J31" s="106" t="n">
        <v>4531.3</v>
      </c>
      <c r="K31" s="106" t="n">
        <v>3818.4</v>
      </c>
      <c r="L31" s="106" t="n">
        <v>61.2</v>
      </c>
      <c r="M31" s="107" t="n">
        <v>144</v>
      </c>
      <c r="N31" s="108" t="n">
        <f aca="false" ca="false" dt2D="false" dtr="false" t="normal">SUM(P31:T31)</f>
        <v>3114754.5799999973</v>
      </c>
      <c r="O31" s="106" t="n"/>
      <c r="P31" s="114" t="n">
        <v>339282.04</v>
      </c>
      <c r="Q31" s="114" t="n"/>
      <c r="R31" s="114" t="n">
        <v>120075.015726597</v>
      </c>
      <c r="S31" s="114" t="n">
        <v>2655397.5242734</v>
      </c>
      <c r="T31" s="106" t="n">
        <v>0</v>
      </c>
      <c r="U31" s="114" t="n">
        <v>826.067268720125</v>
      </c>
      <c r="V31" s="114" t="n">
        <v>826.067268720125</v>
      </c>
      <c r="W31" s="110" t="n">
        <v>2022</v>
      </c>
      <c r="X31" s="9" t="e">
        <f aca="false" ca="false" dt2D="false" dtr="false" t="normal">+#REF!-'[9]Приложение №1'!$P921</f>
        <v>#REF!</v>
      </c>
      <c r="Z31" s="113" t="n">
        <f aca="false" ca="false" dt2D="false" dtr="false" t="normal">SUM(AA31:AO31)</f>
        <v>27882965.040892042</v>
      </c>
      <c r="AA31" s="106" t="n">
        <v>9323379.56262757</v>
      </c>
      <c r="AB31" s="106" t="n">
        <v>3730241.03536647</v>
      </c>
      <c r="AC31" s="106" t="n">
        <v>2755148.17654937</v>
      </c>
      <c r="AD31" s="106" t="n">
        <v>1760665.99220588</v>
      </c>
      <c r="AE31" s="106" t="n">
        <v>0</v>
      </c>
      <c r="AF31" s="106" t="n"/>
      <c r="AG31" s="106" t="n">
        <v>414224.740977323</v>
      </c>
      <c r="AH31" s="106" t="n">
        <v>0</v>
      </c>
      <c r="AI31" s="106" t="n">
        <v>0</v>
      </c>
      <c r="AJ31" s="106" t="n">
        <v>6482652.33395266</v>
      </c>
      <c r="AK31" s="106" t="n">
        <v>0</v>
      </c>
      <c r="AL31" s="106" t="n">
        <v>0</v>
      </c>
      <c r="AM31" s="106" t="n">
        <v>2602794.86148325</v>
      </c>
      <c r="AN31" s="114" t="n">
        <v>278829.65040892</v>
      </c>
      <c r="AO31" s="115" t="n">
        <v>535028.687320597</v>
      </c>
      <c r="AP31" s="112" t="n">
        <f aca="false" ca="false" dt2D="false" dtr="false" t="normal">+N31-'Приложение №2'!E31</f>
        <v>0</v>
      </c>
      <c r="AQ31" s="1" t="e">
        <f aca="false" ca="false" dt2D="false" dtr="false" t="normal">2472188.7-'[11]Приложение №1'!$R$83</f>
        <v>#REF!</v>
      </c>
      <c r="AR31" s="3" t="n">
        <f aca="false" ca="false" dt2D="false" dtr="false" t="normal">+(K31*13.29+L31*22.52)*12*0.85</f>
        <v>531672.552</v>
      </c>
      <c r="AS31" s="3" t="e">
        <f aca="false" ca="false" dt2D="false" dtr="false" t="normal">+(K31*13.29+L31*22.52)*12*30-'[11]Приложение №1'!$S$83</f>
        <v>#REF!</v>
      </c>
      <c r="AT31" s="9" t="e">
        <f aca="false" ca="false" dt2D="false" dtr="false" t="normal">+S31-AS31</f>
        <v>#REF!</v>
      </c>
      <c r="AW31" s="113" t="n">
        <f aca="false" ca="true" dt2D="false" dtr="false" t="normal">SUBTOTAL(9, AX31:BL31)</f>
        <v>3204810.5757265966</v>
      </c>
      <c r="AX31" s="106" t="n"/>
      <c r="AY31" s="106" t="n">
        <v>1900545.16</v>
      </c>
      <c r="AZ31" s="106" t="n"/>
      <c r="BA31" s="106" t="n">
        <v>1184190.4</v>
      </c>
      <c r="BB31" s="106" t="n">
        <v>0</v>
      </c>
      <c r="BC31" s="106" t="n"/>
      <c r="BD31" s="106" t="n"/>
      <c r="BE31" s="106" t="n">
        <v>0</v>
      </c>
      <c r="BF31" s="106" t="n">
        <v>0</v>
      </c>
      <c r="BG31" s="106" t="n"/>
      <c r="BH31" s="106" t="n">
        <v>0</v>
      </c>
      <c r="BI31" s="106" t="n">
        <v>0</v>
      </c>
      <c r="BJ31" s="106" t="n"/>
      <c r="BK31" s="114" t="n"/>
      <c r="BL31" s="115" t="n">
        <v>120075.015726597</v>
      </c>
      <c r="BM31" s="14" t="n">
        <f aca="false" ca="true" dt2D="false" dtr="false" t="normal">SUBTOTAL(9, BN31:CB31)</f>
        <v>3204810.5757265966</v>
      </c>
      <c r="BN31" s="106" t="n"/>
      <c r="BO31" s="106" t="n">
        <v>1900545.16</v>
      </c>
      <c r="BP31" s="106" t="n"/>
      <c r="BQ31" s="106" t="n">
        <v>1184190.4</v>
      </c>
      <c r="BR31" s="106" t="n">
        <v>0</v>
      </c>
      <c r="BS31" s="106" t="n"/>
      <c r="BT31" s="106" t="n"/>
      <c r="BU31" s="106" t="n">
        <v>0</v>
      </c>
      <c r="BV31" s="106" t="n">
        <v>0</v>
      </c>
      <c r="BW31" s="106" t="n"/>
      <c r="BX31" s="106" t="n">
        <v>0</v>
      </c>
      <c r="BY31" s="106" t="n">
        <v>0</v>
      </c>
      <c r="BZ31" s="106" t="n"/>
      <c r="CA31" s="114" t="n"/>
      <c r="CB31" s="115" t="n">
        <v>120075.015726597</v>
      </c>
      <c r="CD31" s="116" t="n">
        <f aca="false" ca="false" dt2D="false" dtr="false" t="normal">+CD30+1</f>
        <v>14</v>
      </c>
      <c r="CE31" s="117" t="n">
        <f aca="false" ca="false" dt2D="false" dtr="false" t="normal">+CE30+1</f>
        <v>14</v>
      </c>
      <c r="CF31" s="104" t="s">
        <v>78</v>
      </c>
      <c r="CG31" s="104" t="s">
        <v>84</v>
      </c>
      <c r="CH31" s="118" t="n">
        <f aca="false" ca="true" dt2D="false" dtr="false" t="normal">SUBTOTAL(9, CI31:CW31)</f>
        <v>3204810.5757265966</v>
      </c>
      <c r="CI31" s="106" t="n"/>
      <c r="CJ31" s="106" t="n">
        <v>1900545.16</v>
      </c>
      <c r="CK31" s="106" t="n"/>
      <c r="CL31" s="106" t="n">
        <v>1184190.4</v>
      </c>
      <c r="CM31" s="106" t="n">
        <v>0</v>
      </c>
      <c r="CN31" s="106" t="n"/>
      <c r="CO31" s="106" t="n"/>
      <c r="CP31" s="106" t="n">
        <v>0</v>
      </c>
      <c r="CQ31" s="106" t="n">
        <v>0</v>
      </c>
      <c r="CR31" s="106" t="n"/>
      <c r="CS31" s="106" t="n">
        <v>0</v>
      </c>
      <c r="CT31" s="106" t="n">
        <v>0</v>
      </c>
      <c r="CU31" s="106" t="n"/>
      <c r="CV31" s="114" t="n"/>
      <c r="CW31" s="115" t="n">
        <v>120075.015726597</v>
      </c>
      <c r="CZ31" s="104" t="s">
        <v>84</v>
      </c>
      <c r="DA31" s="119" t="n">
        <f aca="false" ca="true" dt2D="false" dtr="false" t="normal">SUBTOTAL(9, DB31:DP31)</f>
        <v>3114754.5799999996</v>
      </c>
      <c r="DB31" s="106" t="n"/>
      <c r="DC31" s="106" t="n">
        <v>1900545.16</v>
      </c>
      <c r="DD31" s="106" t="n"/>
      <c r="DE31" s="106" t="n">
        <v>1184190.4</v>
      </c>
      <c r="DF31" s="106" t="n">
        <v>0</v>
      </c>
      <c r="DG31" s="106" t="n"/>
      <c r="DH31" s="106" t="n"/>
      <c r="DI31" s="106" t="n">
        <v>0</v>
      </c>
      <c r="DJ31" s="106" t="n">
        <v>0</v>
      </c>
      <c r="DK31" s="106" t="n"/>
      <c r="DL31" s="106" t="n">
        <v>0</v>
      </c>
      <c r="DM31" s="106" t="n">
        <v>0</v>
      </c>
      <c r="DN31" s="106" t="n"/>
      <c r="DO31" s="114" t="n"/>
      <c r="DP31" s="120" t="n">
        <v>30019.02</v>
      </c>
      <c r="DQ31" s="3" t="n">
        <f aca="false" ca="false" dt2D="false" dtr="false" t="normal">N31-DA31</f>
        <v>0</v>
      </c>
      <c r="DS31" s="9" t="n"/>
    </row>
    <row hidden="false" ht="15" outlineLevel="0" r="32">
      <c r="A32" s="103" t="n">
        <f aca="false" ca="false" dt2D="false" dtr="false" t="normal">+A31+1</f>
        <v>15</v>
      </c>
      <c r="B32" s="104" t="n">
        <f aca="false" ca="false" dt2D="false" dtr="false" t="normal">+B31+1</f>
        <v>15</v>
      </c>
      <c r="C32" s="104" t="s">
        <v>78</v>
      </c>
      <c r="D32" s="104" t="s">
        <v>85</v>
      </c>
      <c r="E32" s="105" t="n">
        <v>1988</v>
      </c>
      <c r="F32" s="105" t="n">
        <v>2016</v>
      </c>
      <c r="G32" s="105" t="s">
        <v>68</v>
      </c>
      <c r="H32" s="105" t="n">
        <v>5</v>
      </c>
      <c r="I32" s="105" t="n">
        <v>2</v>
      </c>
      <c r="J32" s="106" t="n">
        <v>4465.5</v>
      </c>
      <c r="K32" s="106" t="n">
        <v>2945.85</v>
      </c>
      <c r="L32" s="106" t="n">
        <v>451.6</v>
      </c>
      <c r="M32" s="107" t="n">
        <v>169</v>
      </c>
      <c r="N32" s="108" t="n">
        <f aca="false" ca="false" dt2D="false" dtr="false" t="normal">SUM(P32:T32)</f>
        <v>6822761.389999998</v>
      </c>
      <c r="O32" s="106" t="n"/>
      <c r="P32" s="114" t="n"/>
      <c r="Q32" s="114" t="n"/>
      <c r="R32" s="114" t="n">
        <v>2137034.25</v>
      </c>
      <c r="S32" s="114" t="n">
        <v>3849733.41</v>
      </c>
      <c r="T32" s="106" t="n">
        <v>835993.729999998</v>
      </c>
      <c r="U32" s="114" t="n">
        <v>2087.30316218709</v>
      </c>
      <c r="V32" s="114" t="n">
        <v>2087.30316218709</v>
      </c>
      <c r="W32" s="110" t="n">
        <v>2022</v>
      </c>
      <c r="X32" s="9" t="e">
        <f aca="false" ca="false" dt2D="false" dtr="false" t="normal">+#REF!-'[9]Приложение №1'!$P927</f>
        <v>#REF!</v>
      </c>
      <c r="Z32" s="113" t="n">
        <f aca="false" ca="false" dt2D="false" dtr="false" t="normal">SUM(AA32:AO32)</f>
        <v>40635058.08237659</v>
      </c>
      <c r="AA32" s="106" t="n">
        <v>7511049.48066122</v>
      </c>
      <c r="AB32" s="106" t="n">
        <v>3214895.56386557</v>
      </c>
      <c r="AC32" s="106" t="n">
        <v>0</v>
      </c>
      <c r="AD32" s="106" t="n">
        <v>3031175.89896693</v>
      </c>
      <c r="AE32" s="106" t="n">
        <v>0</v>
      </c>
      <c r="AF32" s="106" t="n"/>
      <c r="AG32" s="106" t="n">
        <v>311848.520414291</v>
      </c>
      <c r="AH32" s="106" t="n">
        <v>0</v>
      </c>
      <c r="AI32" s="106" t="n">
        <v>0</v>
      </c>
      <c r="AJ32" s="106" t="n">
        <v>5678337.16104455</v>
      </c>
      <c r="AK32" s="106" t="n">
        <v>15731938.2183736</v>
      </c>
      <c r="AL32" s="106" t="n">
        <v>0</v>
      </c>
      <c r="AM32" s="106" t="n">
        <v>3973603.43111939</v>
      </c>
      <c r="AN32" s="114" t="n">
        <v>406350.580823766</v>
      </c>
      <c r="AO32" s="115" t="n">
        <v>775859.227107275</v>
      </c>
      <c r="AP32" s="112" t="n">
        <f aca="false" ca="false" dt2D="false" dtr="false" t="normal">+N32-'Приложение №2'!E32</f>
        <v>0</v>
      </c>
      <c r="AQ32" s="1" t="n">
        <v>1790670.12</v>
      </c>
      <c r="AR32" s="3" t="n">
        <f aca="false" ca="false" dt2D="false" dtr="false" t="normal">+(K32*10+L32*20)*12*0.85</f>
        <v>392603.1</v>
      </c>
      <c r="AS32" s="3" t="n">
        <f aca="false" ca="false" dt2D="false" dtr="false" t="normal">+(K32*10+L32*20)*12*30</f>
        <v>13856580</v>
      </c>
      <c r="AT32" s="9" t="n">
        <f aca="false" ca="false" dt2D="false" dtr="false" t="normal">+S32-AS32</f>
        <v>-10006846.59</v>
      </c>
      <c r="AW32" s="113" t="n">
        <f aca="false" ca="true" dt2D="false" dtr="false" t="normal">SUBTOTAL(9, AX32:BL32)</f>
        <v>7091508.128372541</v>
      </c>
      <c r="AX32" s="106" t="n">
        <v>2005222.15</v>
      </c>
      <c r="AY32" s="106" t="n"/>
      <c r="AZ32" s="106" t="n">
        <v>0</v>
      </c>
      <c r="BA32" s="106" t="n"/>
      <c r="BB32" s="106" t="n">
        <v>0</v>
      </c>
      <c r="BC32" s="106" t="n"/>
      <c r="BD32" s="106" t="n"/>
      <c r="BE32" s="106" t="n">
        <v>0</v>
      </c>
      <c r="BF32" s="106" t="n">
        <v>0</v>
      </c>
      <c r="BG32" s="106" t="n">
        <v>4791041.31</v>
      </c>
      <c r="BH32" s="106" t="n"/>
      <c r="BI32" s="106" t="n">
        <v>0</v>
      </c>
      <c r="BJ32" s="106" t="n"/>
      <c r="BK32" s="114" t="n"/>
      <c r="BL32" s="115" t="n">
        <v>295244.668372542</v>
      </c>
      <c r="BM32" s="14" t="n">
        <f aca="false" ca="true" dt2D="false" dtr="false" t="normal">SUBTOTAL(9, BN32:CB32)</f>
        <v>7091508.128372541</v>
      </c>
      <c r="BN32" s="106" t="n">
        <v>2005222.15</v>
      </c>
      <c r="BO32" s="106" t="n"/>
      <c r="BP32" s="106" t="n">
        <v>0</v>
      </c>
      <c r="BQ32" s="106" t="n"/>
      <c r="BR32" s="106" t="n">
        <v>0</v>
      </c>
      <c r="BS32" s="106" t="n"/>
      <c r="BT32" s="106" t="n"/>
      <c r="BU32" s="106" t="n">
        <v>0</v>
      </c>
      <c r="BV32" s="106" t="n">
        <v>0</v>
      </c>
      <c r="BW32" s="106" t="n">
        <v>4791041.31</v>
      </c>
      <c r="BX32" s="106" t="n"/>
      <c r="BY32" s="106" t="n">
        <v>0</v>
      </c>
      <c r="BZ32" s="106" t="n"/>
      <c r="CA32" s="114" t="n"/>
      <c r="CB32" s="115" t="n">
        <v>295244.668372542</v>
      </c>
      <c r="CD32" s="116" t="n">
        <f aca="false" ca="false" dt2D="false" dtr="false" t="normal">+CD31+1</f>
        <v>15</v>
      </c>
      <c r="CE32" s="117" t="n">
        <f aca="false" ca="false" dt2D="false" dtr="false" t="normal">+CE31+1</f>
        <v>15</v>
      </c>
      <c r="CF32" s="104" t="s">
        <v>78</v>
      </c>
      <c r="CG32" s="104" t="s">
        <v>85</v>
      </c>
      <c r="CH32" s="118" t="n">
        <f aca="false" ca="true" dt2D="false" dtr="false" t="normal">SUBTOTAL(9, CI32:CW32)</f>
        <v>7091508.128372541</v>
      </c>
      <c r="CI32" s="106" t="n">
        <v>2005222.15</v>
      </c>
      <c r="CJ32" s="106" t="n"/>
      <c r="CK32" s="106" t="n">
        <v>0</v>
      </c>
      <c r="CL32" s="106" t="n"/>
      <c r="CM32" s="106" t="n">
        <v>0</v>
      </c>
      <c r="CN32" s="106" t="n"/>
      <c r="CO32" s="106" t="n"/>
      <c r="CP32" s="106" t="n">
        <v>0</v>
      </c>
      <c r="CQ32" s="106" t="n">
        <v>0</v>
      </c>
      <c r="CR32" s="106" t="n">
        <v>4791041.31</v>
      </c>
      <c r="CS32" s="106" t="n"/>
      <c r="CT32" s="106" t="n">
        <v>0</v>
      </c>
      <c r="CU32" s="106" t="n"/>
      <c r="CV32" s="114" t="n"/>
      <c r="CW32" s="115" t="n">
        <v>295244.668372542</v>
      </c>
      <c r="CZ32" s="104" t="s">
        <v>85</v>
      </c>
      <c r="DA32" s="119" t="n">
        <f aca="false" ca="true" dt2D="false" dtr="false" t="normal">SUBTOTAL(9, DB32:DP32)</f>
        <v>6822761.389999999</v>
      </c>
      <c r="DB32" s="106" t="n">
        <v>2005222.15</v>
      </c>
      <c r="DC32" s="106" t="n"/>
      <c r="DD32" s="106" t="n">
        <v>0</v>
      </c>
      <c r="DE32" s="106" t="n"/>
      <c r="DF32" s="106" t="n">
        <v>0</v>
      </c>
      <c r="DG32" s="106" t="n"/>
      <c r="DH32" s="106" t="n"/>
      <c r="DI32" s="106" t="n">
        <v>0</v>
      </c>
      <c r="DJ32" s="106" t="n">
        <v>0</v>
      </c>
      <c r="DK32" s="106" t="n">
        <v>4791041.31</v>
      </c>
      <c r="DL32" s="106" t="n"/>
      <c r="DM32" s="106" t="n">
        <v>0</v>
      </c>
      <c r="DN32" s="106" t="n"/>
      <c r="DO32" s="114" t="n"/>
      <c r="DP32" s="120" t="n">
        <f aca="false" ca="false" dt2D="false" dtr="false" t="normal">26497.93</f>
        <v>26497.93</v>
      </c>
      <c r="DQ32" s="3" t="n">
        <f aca="false" ca="false" dt2D="false" dtr="false" t="normal">N32-DA32</f>
        <v>0</v>
      </c>
      <c r="DS32" s="9" t="n"/>
    </row>
    <row hidden="false" ht="15" outlineLevel="0" r="33">
      <c r="A33" s="103" t="n">
        <f aca="false" ca="false" dt2D="false" dtr="false" t="normal">+A32+1</f>
        <v>16</v>
      </c>
      <c r="B33" s="104" t="n">
        <f aca="false" ca="false" dt2D="false" dtr="false" t="normal">+B32+1</f>
        <v>16</v>
      </c>
      <c r="C33" s="104" t="s">
        <v>81</v>
      </c>
      <c r="D33" s="104" t="s">
        <v>86</v>
      </c>
      <c r="E33" s="105" t="n">
        <v>1985</v>
      </c>
      <c r="F33" s="105" t="n">
        <v>2011</v>
      </c>
      <c r="G33" s="105" t="s">
        <v>68</v>
      </c>
      <c r="H33" s="105" t="n">
        <v>5</v>
      </c>
      <c r="I33" s="105" t="n">
        <v>12</v>
      </c>
      <c r="J33" s="106" t="n">
        <v>12985.9</v>
      </c>
      <c r="K33" s="106" t="n">
        <v>10520.9</v>
      </c>
      <c r="L33" s="106" t="n">
        <v>299.1</v>
      </c>
      <c r="M33" s="107" t="n">
        <v>439</v>
      </c>
      <c r="N33" s="108" t="n">
        <f aca="false" ca="false" dt2D="false" dtr="false" t="normal">SUM(P33:T33)</f>
        <v>49595204.57</v>
      </c>
      <c r="O33" s="106" t="n"/>
      <c r="P33" s="124" t="n">
        <v>44003584.14</v>
      </c>
      <c r="Q33" s="124" t="n"/>
      <c r="R33" s="124" t="n">
        <v>5591620.43</v>
      </c>
      <c r="S33" s="114" t="n"/>
      <c r="T33" s="106" t="n">
        <v>0</v>
      </c>
      <c r="U33" s="114" t="n">
        <v>4702.31163678373</v>
      </c>
      <c r="V33" s="114" t="n">
        <v>4702.31163678373</v>
      </c>
      <c r="W33" s="110" t="n">
        <v>2022</v>
      </c>
      <c r="X33" s="9" t="e">
        <f aca="false" ca="false" dt2D="false" dtr="false" t="normal">+#REF!-#REF!</f>
        <v>#REF!</v>
      </c>
      <c r="Z33" s="113" t="n">
        <f aca="false" ca="false" dt2D="false" dtr="false" t="normal">SUM(AA33:AO33)</f>
        <v>68774286.83345295</v>
      </c>
      <c r="AA33" s="106" t="n">
        <v>0</v>
      </c>
      <c r="AB33" s="106" t="n">
        <v>0</v>
      </c>
      <c r="AC33" s="106" t="n">
        <v>0</v>
      </c>
      <c r="AD33" s="106" t="n">
        <v>8603725.49716007</v>
      </c>
      <c r="AE33" s="106" t="n">
        <v>0</v>
      </c>
      <c r="AF33" s="106" t="n"/>
      <c r="AG33" s="106" t="n">
        <v>0</v>
      </c>
      <c r="AH33" s="106" t="n">
        <v>0</v>
      </c>
      <c r="AI33" s="106" t="n">
        <v>35269812.250871</v>
      </c>
      <c r="AJ33" s="106" t="n">
        <v>16117459.3102963</v>
      </c>
      <c r="AK33" s="106" t="n">
        <v>0</v>
      </c>
      <c r="AL33" s="106" t="n">
        <v>0</v>
      </c>
      <c r="AM33" s="106" t="n">
        <v>6783665.30343093</v>
      </c>
      <c r="AN33" s="114" t="n">
        <v>687742.868334529</v>
      </c>
      <c r="AO33" s="115" t="n">
        <v>1311881.60336011</v>
      </c>
      <c r="AP33" s="112" t="n">
        <f aca="false" ca="false" dt2D="false" dtr="false" t="normal">+N33-'Приложение №2'!E33</f>
        <v>0</v>
      </c>
      <c r="AR33" s="3" t="n">
        <f aca="false" ca="false" dt2D="false" dtr="false" t="normal">+(K33*10+L33*20)*12*0.85</f>
        <v>1134148.2</v>
      </c>
      <c r="AT33" s="9" t="n"/>
      <c r="AW33" s="113" t="n">
        <f aca="false" ca="true" dt2D="false" dtr="false" t="normal">SUBTOTAL(9, AX33:BL33)</f>
        <v>50879011.910000004</v>
      </c>
      <c r="AX33" s="106" t="n">
        <v>0</v>
      </c>
      <c r="AY33" s="106" t="n">
        <v>0</v>
      </c>
      <c r="AZ33" s="106" t="n">
        <v>0</v>
      </c>
      <c r="BA33" s="125" t="n">
        <v>6678313.6</v>
      </c>
      <c r="BB33" s="125" t="n">
        <v>0</v>
      </c>
      <c r="BC33" s="125" t="n"/>
      <c r="BD33" s="125" t="n"/>
      <c r="BE33" s="125" t="n">
        <v>0</v>
      </c>
      <c r="BF33" s="125" t="n">
        <v>25055410.8</v>
      </c>
      <c r="BG33" s="125" t="n">
        <v>16117459.31</v>
      </c>
      <c r="BH33" s="125" t="n">
        <v>0</v>
      </c>
      <c r="BI33" s="125" t="n">
        <v>0</v>
      </c>
      <c r="BJ33" s="125" t="n">
        <v>1734020.86</v>
      </c>
      <c r="BK33" s="124" t="n">
        <v>10000</v>
      </c>
      <c r="BL33" s="126" t="n">
        <v>1283807.34</v>
      </c>
      <c r="BM33" s="14" t="n">
        <f aca="false" ca="true" dt2D="false" dtr="false" t="normal">SUBTOTAL(9, BN33:CB33)</f>
        <v>50879011.910000004</v>
      </c>
      <c r="BN33" s="106" t="n">
        <v>0</v>
      </c>
      <c r="BO33" s="106" t="n">
        <v>0</v>
      </c>
      <c r="BP33" s="106" t="n">
        <v>0</v>
      </c>
      <c r="BQ33" s="125" t="n">
        <v>6678313.6</v>
      </c>
      <c r="BR33" s="125" t="n">
        <v>0</v>
      </c>
      <c r="BS33" s="125" t="n"/>
      <c r="BT33" s="125" t="n"/>
      <c r="BU33" s="125" t="n">
        <v>0</v>
      </c>
      <c r="BV33" s="125" t="n">
        <v>25055410.8</v>
      </c>
      <c r="BW33" s="125" t="n">
        <v>16117459.31</v>
      </c>
      <c r="BX33" s="125" t="n">
        <v>0</v>
      </c>
      <c r="BY33" s="125" t="n">
        <v>0</v>
      </c>
      <c r="BZ33" s="125" t="n">
        <v>1734020.86</v>
      </c>
      <c r="CA33" s="124" t="n">
        <v>10000</v>
      </c>
      <c r="CB33" s="126" t="n">
        <v>1283807.34</v>
      </c>
      <c r="CD33" s="116" t="n">
        <f aca="false" ca="false" dt2D="false" dtr="false" t="normal">+CD32+1</f>
        <v>16</v>
      </c>
      <c r="CE33" s="117" t="n">
        <f aca="false" ca="false" dt2D="false" dtr="false" t="normal">+CE32+1</f>
        <v>16</v>
      </c>
      <c r="CF33" s="104" t="s">
        <v>81</v>
      </c>
      <c r="CG33" s="104" t="s">
        <v>86</v>
      </c>
      <c r="CH33" s="118" t="n">
        <f aca="false" ca="true" dt2D="false" dtr="false" t="normal">SUBTOTAL(9, CI33:CW33)</f>
        <v>50879011.910000004</v>
      </c>
      <c r="CI33" s="106" t="n">
        <v>0</v>
      </c>
      <c r="CJ33" s="106" t="n">
        <v>0</v>
      </c>
      <c r="CK33" s="106" t="n">
        <v>0</v>
      </c>
      <c r="CL33" s="125" t="n">
        <v>6678313.6</v>
      </c>
      <c r="CM33" s="125" t="n">
        <v>0</v>
      </c>
      <c r="CN33" s="125" t="n"/>
      <c r="CO33" s="125" t="n"/>
      <c r="CP33" s="125" t="n">
        <v>0</v>
      </c>
      <c r="CQ33" s="125" t="n">
        <v>25055410.8</v>
      </c>
      <c r="CR33" s="125" t="n">
        <v>16117459.31</v>
      </c>
      <c r="CS33" s="125" t="n">
        <v>0</v>
      </c>
      <c r="CT33" s="125" t="n">
        <v>0</v>
      </c>
      <c r="CU33" s="125" t="n">
        <v>1734020.86</v>
      </c>
      <c r="CV33" s="124" t="n">
        <v>10000</v>
      </c>
      <c r="CW33" s="126" t="n">
        <v>1283807.34</v>
      </c>
      <c r="CZ33" s="104" t="s">
        <v>86</v>
      </c>
      <c r="DA33" s="119" t="n">
        <f aca="false" ca="true" dt2D="false" dtr="false" t="normal">SUBTOTAL(9, DB33:DP33)</f>
        <v>49595204.57</v>
      </c>
      <c r="DB33" s="106" t="n">
        <v>0</v>
      </c>
      <c r="DC33" s="106" t="n">
        <v>0</v>
      </c>
      <c r="DD33" s="106" t="n">
        <v>0</v>
      </c>
      <c r="DE33" s="125" t="n">
        <v>6678313.6</v>
      </c>
      <c r="DF33" s="125" t="n">
        <v>0</v>
      </c>
      <c r="DG33" s="125" t="n"/>
      <c r="DH33" s="125" t="n"/>
      <c r="DI33" s="125" t="n">
        <v>0</v>
      </c>
      <c r="DJ33" s="125" t="n">
        <v>25055410.8</v>
      </c>
      <c r="DK33" s="125" t="n">
        <v>16117459.31</v>
      </c>
      <c r="DL33" s="125" t="n">
        <v>0</v>
      </c>
      <c r="DM33" s="125" t="n">
        <v>0</v>
      </c>
      <c r="DN33" s="125" t="n">
        <v>1734020.86</v>
      </c>
      <c r="DO33" s="124" t="n">
        <v>10000</v>
      </c>
      <c r="DP33" s="127" t="n"/>
      <c r="DQ33" s="3" t="n">
        <f aca="false" ca="false" dt2D="false" dtr="false" t="normal">N33-DA33</f>
        <v>0</v>
      </c>
      <c r="DS33" s="17" t="n"/>
    </row>
    <row hidden="false" ht="15" outlineLevel="0" r="34">
      <c r="A34" s="103" t="n">
        <f aca="false" ca="false" dt2D="false" dtr="false" t="normal">+A33+1</f>
        <v>17</v>
      </c>
      <c r="B34" s="104" t="n">
        <f aca="false" ca="false" dt2D="false" dtr="false" t="normal">+B33+1</f>
        <v>17</v>
      </c>
      <c r="C34" s="104" t="s">
        <v>78</v>
      </c>
      <c r="D34" s="104" t="s">
        <v>87</v>
      </c>
      <c r="E34" s="105" t="n">
        <v>1981</v>
      </c>
      <c r="F34" s="105" t="n">
        <v>2016</v>
      </c>
      <c r="G34" s="105" t="s">
        <v>68</v>
      </c>
      <c r="H34" s="105" t="n">
        <v>4</v>
      </c>
      <c r="I34" s="105" t="n">
        <v>3</v>
      </c>
      <c r="J34" s="106" t="n">
        <v>3910.2</v>
      </c>
      <c r="K34" s="106" t="n">
        <v>2017.9</v>
      </c>
      <c r="L34" s="106" t="n">
        <v>997.9</v>
      </c>
      <c r="M34" s="107" t="n">
        <v>113</v>
      </c>
      <c r="N34" s="108" t="n">
        <f aca="false" ca="false" dt2D="false" dtr="false" t="normal">SUM(P34:T34)</f>
        <v>10120631.58</v>
      </c>
      <c r="O34" s="106" t="n"/>
      <c r="P34" s="114" t="n"/>
      <c r="Q34" s="114" t="n"/>
      <c r="R34" s="114" t="n">
        <v>806677.1</v>
      </c>
      <c r="S34" s="114" t="n">
        <v>9313954.48</v>
      </c>
      <c r="T34" s="106" t="n">
        <v>0</v>
      </c>
      <c r="U34" s="114" t="n">
        <v>3500.96756961872</v>
      </c>
      <c r="V34" s="114" t="n">
        <v>3500.96756961872</v>
      </c>
      <c r="W34" s="110" t="n">
        <v>2022</v>
      </c>
      <c r="X34" s="9" t="e">
        <f aca="false" ca="false" dt2D="false" dtr="false" t="normal">+#REF!-'[9]Приложение №1'!$P1338</f>
        <v>#REF!</v>
      </c>
      <c r="Z34" s="113" t="n">
        <f aca="false" ca="false" dt2D="false" dtr="false" t="normal">SUM(AA34:AO34)</f>
        <v>33549604.466355488</v>
      </c>
      <c r="AA34" s="106" t="n">
        <v>9163753.05585479</v>
      </c>
      <c r="AB34" s="106" t="n">
        <v>4716823.2</v>
      </c>
      <c r="AC34" s="106" t="n">
        <v>2695930.73160361</v>
      </c>
      <c r="AD34" s="106" t="n">
        <v>0</v>
      </c>
      <c r="AE34" s="106" t="n">
        <v>0</v>
      </c>
      <c r="AF34" s="106" t="n"/>
      <c r="AG34" s="106" t="n">
        <v>295975.888796841</v>
      </c>
      <c r="AH34" s="106" t="n">
        <v>0</v>
      </c>
      <c r="AI34" s="106" t="n">
        <v>13238455.1326721</v>
      </c>
      <c r="AJ34" s="106" t="n">
        <v>0</v>
      </c>
      <c r="AK34" s="106" t="n">
        <v>0</v>
      </c>
      <c r="AL34" s="106" t="n">
        <v>0</v>
      </c>
      <c r="AM34" s="106" t="n">
        <v>2552926.04851368</v>
      </c>
      <c r="AN34" s="114" t="n">
        <v>295470.267540775</v>
      </c>
      <c r="AO34" s="115" t="n">
        <v>590270.141373693</v>
      </c>
      <c r="AP34" s="112" t="n">
        <f aca="false" ca="false" dt2D="false" dtr="false" t="normal">+N34-'Приложение №2'!E34</f>
        <v>0</v>
      </c>
      <c r="AQ34" s="1" t="n">
        <v>954415.48</v>
      </c>
      <c r="AR34" s="3" t="n">
        <f aca="false" ca="false" dt2D="false" dtr="false" t="normal">+(K34*10+L34*20)*12*0.85</f>
        <v>409397.39999999997</v>
      </c>
      <c r="AS34" s="3" t="n">
        <f aca="false" ca="false" dt2D="false" dtr="false" t="normal">+(K34*10+L34*20)*12*30</f>
        <v>14449320</v>
      </c>
      <c r="AT34" s="9" t="n">
        <f aca="false" ca="false" dt2D="false" dtr="false" t="normal">+S34-AS34</f>
        <v>-5135365.52</v>
      </c>
      <c r="AW34" s="113" t="n">
        <f aca="false" ca="true" dt2D="false" dtr="false" t="normal">SUBTOTAL(9, AX34:BL34)</f>
        <v>10558217.99645614</v>
      </c>
      <c r="AX34" s="106" t="n"/>
      <c r="AY34" s="106" t="n">
        <v>4716823.2</v>
      </c>
      <c r="AZ34" s="106" t="n"/>
      <c r="BA34" s="106" t="n">
        <v>0</v>
      </c>
      <c r="BB34" s="106" t="n">
        <v>0</v>
      </c>
      <c r="BC34" s="106" t="n"/>
      <c r="BD34" s="106" t="n"/>
      <c r="BE34" s="106" t="n">
        <v>0</v>
      </c>
      <c r="BF34" s="106" t="n">
        <v>5310079.2</v>
      </c>
      <c r="BG34" s="106" t="n">
        <v>0</v>
      </c>
      <c r="BH34" s="106" t="n">
        <v>0</v>
      </c>
      <c r="BI34" s="106" t="n">
        <v>0</v>
      </c>
      <c r="BJ34" s="106" t="n"/>
      <c r="BK34" s="114" t="n"/>
      <c r="BL34" s="115" t="n">
        <v>531315.59645614</v>
      </c>
      <c r="BM34" s="14" t="n">
        <f aca="false" ca="true" dt2D="false" dtr="false" t="normal">SUBTOTAL(9, BN34:CB34)</f>
        <v>10558217.99645614</v>
      </c>
      <c r="BN34" s="106" t="n"/>
      <c r="BO34" s="106" t="n">
        <v>4716823.2</v>
      </c>
      <c r="BP34" s="106" t="n"/>
      <c r="BQ34" s="106" t="n">
        <v>0</v>
      </c>
      <c r="BR34" s="106" t="n">
        <v>0</v>
      </c>
      <c r="BS34" s="106" t="n"/>
      <c r="BT34" s="106" t="n"/>
      <c r="BU34" s="106" t="n">
        <v>0</v>
      </c>
      <c r="BV34" s="106" t="n">
        <v>5310079.2</v>
      </c>
      <c r="BW34" s="106" t="n">
        <v>0</v>
      </c>
      <c r="BX34" s="106" t="n">
        <v>0</v>
      </c>
      <c r="BY34" s="106" t="n">
        <v>0</v>
      </c>
      <c r="BZ34" s="106" t="n"/>
      <c r="CA34" s="114" t="n"/>
      <c r="CB34" s="115" t="n">
        <v>531315.59645614</v>
      </c>
      <c r="CD34" s="116" t="n">
        <f aca="false" ca="false" dt2D="false" dtr="false" t="normal">+CD33+1</f>
        <v>17</v>
      </c>
      <c r="CE34" s="117" t="n">
        <f aca="false" ca="false" dt2D="false" dtr="false" t="normal">+CE33+1</f>
        <v>17</v>
      </c>
      <c r="CF34" s="104" t="s">
        <v>78</v>
      </c>
      <c r="CG34" s="104" t="s">
        <v>87</v>
      </c>
      <c r="CH34" s="118" t="n">
        <f aca="false" ca="true" dt2D="false" dtr="false" t="normal">SUBTOTAL(9, CI34:CW34)</f>
        <v>10558217.99645614</v>
      </c>
      <c r="CI34" s="106" t="n"/>
      <c r="CJ34" s="106" t="n">
        <v>4716823.2</v>
      </c>
      <c r="CK34" s="106" t="n"/>
      <c r="CL34" s="106" t="n">
        <v>0</v>
      </c>
      <c r="CM34" s="106" t="n">
        <v>0</v>
      </c>
      <c r="CN34" s="106" t="n"/>
      <c r="CO34" s="106" t="n"/>
      <c r="CP34" s="106" t="n">
        <v>0</v>
      </c>
      <c r="CQ34" s="106" t="n">
        <v>5310079.2</v>
      </c>
      <c r="CR34" s="106" t="n">
        <v>0</v>
      </c>
      <c r="CS34" s="106" t="n">
        <v>0</v>
      </c>
      <c r="CT34" s="106" t="n">
        <v>0</v>
      </c>
      <c r="CU34" s="106" t="n"/>
      <c r="CV34" s="114" t="n"/>
      <c r="CW34" s="115" t="n">
        <v>531315.59645614</v>
      </c>
      <c r="CZ34" s="104" t="s">
        <v>87</v>
      </c>
      <c r="DA34" s="119" t="n">
        <f aca="false" ca="true" dt2D="false" dtr="false" t="normal">SUBTOTAL(9, DB34:DP34)</f>
        <v>10120631.58</v>
      </c>
      <c r="DB34" s="106" t="n"/>
      <c r="DC34" s="106" t="n">
        <v>4716823.2</v>
      </c>
      <c r="DD34" s="106" t="n"/>
      <c r="DE34" s="106" t="n">
        <v>0</v>
      </c>
      <c r="DF34" s="106" t="n">
        <v>0</v>
      </c>
      <c r="DG34" s="106" t="n"/>
      <c r="DH34" s="106" t="n"/>
      <c r="DI34" s="106" t="n">
        <v>0</v>
      </c>
      <c r="DJ34" s="106" t="n">
        <v>5310079.2</v>
      </c>
      <c r="DK34" s="106" t="n">
        <v>0</v>
      </c>
      <c r="DL34" s="106" t="n">
        <v>0</v>
      </c>
      <c r="DM34" s="106" t="n">
        <v>0</v>
      </c>
      <c r="DN34" s="106" t="n"/>
      <c r="DO34" s="114" t="n"/>
      <c r="DP34" s="120" t="n">
        <f aca="false" ca="false" dt2D="false" dtr="false" t="normal">29302.97+64426.21</f>
        <v>93729.18</v>
      </c>
      <c r="DQ34" s="3" t="n">
        <f aca="false" ca="false" dt2D="false" dtr="false" t="normal">N34-DA34</f>
        <v>0</v>
      </c>
      <c r="DS34" s="9" t="n"/>
    </row>
    <row hidden="false" ht="15" outlineLevel="0" r="35">
      <c r="A35" s="103" t="n">
        <f aca="false" ca="false" dt2D="false" dtr="false" t="normal">+A34+1</f>
        <v>18</v>
      </c>
      <c r="B35" s="104" t="n">
        <f aca="false" ca="false" dt2D="false" dtr="false" t="normal">+B34+1</f>
        <v>18</v>
      </c>
      <c r="C35" s="104" t="s">
        <v>78</v>
      </c>
      <c r="D35" s="104" t="s">
        <v>88</v>
      </c>
      <c r="E35" s="105" t="n">
        <v>1990</v>
      </c>
      <c r="F35" s="105" t="n">
        <v>2017</v>
      </c>
      <c r="G35" s="105" t="s">
        <v>68</v>
      </c>
      <c r="H35" s="105" t="n">
        <v>10</v>
      </c>
      <c r="I35" s="105" t="n">
        <v>3</v>
      </c>
      <c r="J35" s="106" t="n">
        <v>9593.3</v>
      </c>
      <c r="K35" s="106" t="n">
        <v>8146.5</v>
      </c>
      <c r="L35" s="106" t="n">
        <v>251.7</v>
      </c>
      <c r="M35" s="107" t="n">
        <v>290</v>
      </c>
      <c r="N35" s="108" t="n">
        <f aca="false" ca="false" dt2D="false" dtr="false" t="normal">SUM(P35:T35)</f>
        <v>11326258.890000004</v>
      </c>
      <c r="O35" s="106" t="n"/>
      <c r="P35" s="114" t="n">
        <v>4826750.29</v>
      </c>
      <c r="Q35" s="114" t="n"/>
      <c r="R35" s="114" t="n">
        <v>554751.742439215</v>
      </c>
      <c r="S35" s="114" t="n">
        <v>5944756.85756079</v>
      </c>
      <c r="T35" s="106" t="n">
        <v>0</v>
      </c>
      <c r="U35" s="114" t="n">
        <v>1414.7091796384</v>
      </c>
      <c r="V35" s="114" t="n">
        <v>1414.7091796384</v>
      </c>
      <c r="W35" s="110" t="n">
        <v>2022</v>
      </c>
      <c r="X35" s="9" t="e">
        <f aca="false" ca="false" dt2D="false" dtr="false" t="normal">+#REF!-'[9]Приложение №1'!$P943</f>
        <v>#REF!</v>
      </c>
      <c r="Z35" s="113" t="n">
        <f aca="false" ca="false" dt2D="false" dtr="false" t="normal">SUM(AA35:AO35)</f>
        <v>59075280.94042444</v>
      </c>
      <c r="AA35" s="106" t="n">
        <v>19753324.8766292</v>
      </c>
      <c r="AB35" s="106" t="n">
        <v>7903213.90915906</v>
      </c>
      <c r="AC35" s="106" t="n">
        <v>5837297.15700799</v>
      </c>
      <c r="AD35" s="106" t="n">
        <v>3730300.48917948</v>
      </c>
      <c r="AE35" s="106" t="n">
        <v>0</v>
      </c>
      <c r="AF35" s="106" t="n"/>
      <c r="AG35" s="106" t="n">
        <v>877612.653812912</v>
      </c>
      <c r="AH35" s="106" t="n">
        <v>0</v>
      </c>
      <c r="AI35" s="106" t="n">
        <v>0</v>
      </c>
      <c r="AJ35" s="106" t="n">
        <v>13734712.4778771</v>
      </c>
      <c r="AK35" s="106" t="n">
        <v>0</v>
      </c>
      <c r="AL35" s="106" t="n">
        <v>0</v>
      </c>
      <c r="AM35" s="106" t="n">
        <v>5514508.1395367</v>
      </c>
      <c r="AN35" s="114" t="n">
        <v>590752.809404245</v>
      </c>
      <c r="AO35" s="115" t="n">
        <v>1133558.42781775</v>
      </c>
      <c r="AP35" s="112" t="n">
        <f aca="false" ca="false" dt2D="false" dtr="false" t="normal">+N35-'Приложение №2'!E35</f>
        <v>0</v>
      </c>
      <c r="AQ35" s="1" t="n">
        <v>5009993.34</v>
      </c>
      <c r="AR35" s="3" t="n">
        <f aca="false" ca="false" dt2D="false" dtr="false" t="normal">+(K35*13.29+L35*22.52)*12*0.85</f>
        <v>1162139.7437999998</v>
      </c>
      <c r="AS35" s="3" t="n">
        <f aca="false" ca="false" dt2D="false" dtr="false" t="normal">+(K35*13.29+L35*22.52)*12*30</f>
        <v>41016696.839999996</v>
      </c>
      <c r="AT35" s="9" t="n">
        <f aca="false" ca="false" dt2D="false" dtr="false" t="normal">+S35-AS35</f>
        <v>-35071939.982439205</v>
      </c>
      <c r="AW35" s="113" t="n">
        <f aca="false" ca="true" dt2D="false" dtr="false" t="normal">SUBTOTAL(9, AX35:BL35)</f>
        <v>11881010.632439215</v>
      </c>
      <c r="AX35" s="106" t="n"/>
      <c r="AY35" s="106" t="n">
        <v>4815586.08</v>
      </c>
      <c r="AZ35" s="106" t="n"/>
      <c r="BA35" s="106" t="n">
        <v>2345570.74</v>
      </c>
      <c r="BB35" s="106" t="n">
        <v>0</v>
      </c>
      <c r="BC35" s="106" t="n"/>
      <c r="BD35" s="106" t="n"/>
      <c r="BE35" s="106" t="n">
        <v>0</v>
      </c>
      <c r="BF35" s="106" t="n">
        <v>0</v>
      </c>
      <c r="BG35" s="106" t="n">
        <v>4165102.07</v>
      </c>
      <c r="BH35" s="106" t="n">
        <v>0</v>
      </c>
      <c r="BI35" s="106" t="n">
        <v>0</v>
      </c>
      <c r="BJ35" s="106" t="n"/>
      <c r="BK35" s="114" t="n"/>
      <c r="BL35" s="115" t="n">
        <v>554751.742439215</v>
      </c>
      <c r="BM35" s="14" t="n">
        <f aca="false" ca="true" dt2D="false" dtr="false" t="normal">SUBTOTAL(9, BN35:CB35)</f>
        <v>11881010.632439215</v>
      </c>
      <c r="BN35" s="106" t="n"/>
      <c r="BO35" s="106" t="n">
        <v>4815586.08</v>
      </c>
      <c r="BP35" s="106" t="n"/>
      <c r="BQ35" s="106" t="n">
        <v>2345570.74</v>
      </c>
      <c r="BR35" s="106" t="n">
        <v>0</v>
      </c>
      <c r="BS35" s="106" t="n"/>
      <c r="BT35" s="106" t="n"/>
      <c r="BU35" s="106" t="n">
        <v>0</v>
      </c>
      <c r="BV35" s="106" t="n">
        <v>0</v>
      </c>
      <c r="BW35" s="106" t="n">
        <v>4165102.07</v>
      </c>
      <c r="BX35" s="106" t="n">
        <v>0</v>
      </c>
      <c r="BY35" s="106" t="n">
        <v>0</v>
      </c>
      <c r="BZ35" s="106" t="n"/>
      <c r="CA35" s="114" t="n"/>
      <c r="CB35" s="115" t="n">
        <v>554751.742439215</v>
      </c>
      <c r="CD35" s="116" t="n">
        <f aca="false" ca="false" dt2D="false" dtr="false" t="normal">+CD34+1</f>
        <v>18</v>
      </c>
      <c r="CE35" s="117" t="n">
        <f aca="false" ca="false" dt2D="false" dtr="false" t="normal">+CE34+1</f>
        <v>18</v>
      </c>
      <c r="CF35" s="104" t="s">
        <v>78</v>
      </c>
      <c r="CG35" s="104" t="s">
        <v>88</v>
      </c>
      <c r="CH35" s="118" t="n">
        <f aca="false" ca="true" dt2D="false" dtr="false" t="normal">SUBTOTAL(9, CI35:CW35)</f>
        <v>11881010.632439215</v>
      </c>
      <c r="CI35" s="106" t="n"/>
      <c r="CJ35" s="106" t="n">
        <v>4815586.08</v>
      </c>
      <c r="CK35" s="106" t="n"/>
      <c r="CL35" s="106" t="n">
        <v>2345570.74</v>
      </c>
      <c r="CM35" s="106" t="n">
        <v>0</v>
      </c>
      <c r="CN35" s="106" t="n"/>
      <c r="CO35" s="106" t="n"/>
      <c r="CP35" s="106" t="n">
        <v>0</v>
      </c>
      <c r="CQ35" s="106" t="n">
        <v>0</v>
      </c>
      <c r="CR35" s="106" t="n">
        <v>4165102.07</v>
      </c>
      <c r="CS35" s="106" t="n">
        <v>0</v>
      </c>
      <c r="CT35" s="106" t="n">
        <v>0</v>
      </c>
      <c r="CU35" s="106" t="n"/>
      <c r="CV35" s="114" t="n"/>
      <c r="CW35" s="115" t="n">
        <v>554751.742439215</v>
      </c>
      <c r="CZ35" s="104" t="s">
        <v>88</v>
      </c>
      <c r="DA35" s="119" t="n">
        <f aca="false" ca="true" dt2D="false" dtr="false" t="normal">SUBTOTAL(9, DB35:DP35)</f>
        <v>11326258.89</v>
      </c>
      <c r="DB35" s="106" t="n"/>
      <c r="DC35" s="106" t="n">
        <v>4815586.08</v>
      </c>
      <c r="DD35" s="106" t="n"/>
      <c r="DE35" s="106" t="n">
        <v>2345570.74</v>
      </c>
      <c r="DF35" s="106" t="n">
        <v>0</v>
      </c>
      <c r="DG35" s="106" t="n"/>
      <c r="DH35" s="106" t="n"/>
      <c r="DI35" s="106" t="n">
        <v>0</v>
      </c>
      <c r="DJ35" s="106" t="n">
        <v>0</v>
      </c>
      <c r="DK35" s="106" t="n">
        <v>4165102.07</v>
      </c>
      <c r="DL35" s="106" t="n">
        <v>0</v>
      </c>
      <c r="DM35" s="106" t="n">
        <v>0</v>
      </c>
      <c r="DN35" s="106" t="n"/>
      <c r="DO35" s="114" t="n"/>
      <c r="DP35" s="122" t="n"/>
      <c r="DQ35" s="3" t="n">
        <f aca="false" ca="false" dt2D="false" dtr="false" t="normal">N35-DA35</f>
        <v>0</v>
      </c>
      <c r="DS35" s="9" t="n"/>
    </row>
    <row hidden="false" ht="15" outlineLevel="0" r="36">
      <c r="A36" s="103" t="n">
        <f aca="false" ca="false" dt2D="false" dtr="false" t="normal">+A35+1</f>
        <v>19</v>
      </c>
      <c r="B36" s="104" t="n">
        <f aca="false" ca="false" dt2D="false" dtr="false" t="normal">+B35+1</f>
        <v>19</v>
      </c>
      <c r="C36" s="104" t="s">
        <v>78</v>
      </c>
      <c r="D36" s="104" t="s">
        <v>89</v>
      </c>
      <c r="E36" s="105" t="n">
        <v>1990</v>
      </c>
      <c r="F36" s="105" t="n">
        <v>2017</v>
      </c>
      <c r="G36" s="105" t="s">
        <v>68</v>
      </c>
      <c r="H36" s="105" t="n">
        <v>9</v>
      </c>
      <c r="I36" s="105" t="n">
        <v>2</v>
      </c>
      <c r="J36" s="106" t="n">
        <v>9044.7</v>
      </c>
      <c r="K36" s="106" t="n">
        <v>7731.7</v>
      </c>
      <c r="L36" s="106" t="n">
        <v>0</v>
      </c>
      <c r="M36" s="107" t="n">
        <v>294</v>
      </c>
      <c r="N36" s="108" t="n">
        <f aca="false" ca="false" dt2D="false" dtr="false" t="normal">SUM(P36:T36)</f>
        <v>12466406.29</v>
      </c>
      <c r="O36" s="106" t="n"/>
      <c r="P36" s="114" t="n">
        <v>0</v>
      </c>
      <c r="Q36" s="114" t="n"/>
      <c r="R36" s="114" t="n">
        <v>9626752.0343422</v>
      </c>
      <c r="S36" s="114" t="n">
        <v>2839654.2556578</v>
      </c>
      <c r="T36" s="106" t="n">
        <v>0</v>
      </c>
      <c r="U36" s="114" t="n">
        <v>1717.03968782314</v>
      </c>
      <c r="V36" s="114" t="n">
        <v>1717.03968782314</v>
      </c>
      <c r="W36" s="110" t="n">
        <v>2022</v>
      </c>
      <c r="X36" s="9" t="e">
        <f aca="false" ca="false" dt2D="false" dtr="false" t="normal">+#REF!-'[9]Приложение №1'!$P944</f>
        <v>#REF!</v>
      </c>
      <c r="Z36" s="113" t="n">
        <f aca="false" ca="false" dt2D="false" dtr="false" t="normal">SUM(AA36:AO36)</f>
        <v>55666319.91085491</v>
      </c>
      <c r="AA36" s="106" t="n">
        <v>18613451.927455</v>
      </c>
      <c r="AB36" s="106" t="n">
        <v>7447156.01496393</v>
      </c>
      <c r="AC36" s="106" t="n">
        <v>5500453.75635916</v>
      </c>
      <c r="AD36" s="106" t="n">
        <v>3515042.11386982</v>
      </c>
      <c r="AE36" s="106" t="n">
        <v>0</v>
      </c>
      <c r="AF36" s="106" t="n"/>
      <c r="AG36" s="106" t="n">
        <v>826969.68964449</v>
      </c>
      <c r="AH36" s="106" t="n">
        <v>0</v>
      </c>
      <c r="AI36" s="106" t="n">
        <v>0</v>
      </c>
      <c r="AJ36" s="106" t="n">
        <v>12942145.7927243</v>
      </c>
      <c r="AK36" s="106" t="n">
        <v>0</v>
      </c>
      <c r="AL36" s="106" t="n">
        <v>0</v>
      </c>
      <c r="AM36" s="106" t="n">
        <v>5196291.39903769</v>
      </c>
      <c r="AN36" s="114" t="n">
        <v>556663.199108549</v>
      </c>
      <c r="AO36" s="115" t="n">
        <v>1068146.01769197</v>
      </c>
      <c r="AP36" s="112" t="n">
        <f aca="false" ca="false" dt2D="false" dtr="false" t="normal">+N36-'Приложение №2'!E36</f>
        <v>0</v>
      </c>
      <c r="AQ36" s="1" t="n">
        <v>4614966.51</v>
      </c>
      <c r="AR36" s="3" t="n">
        <f aca="false" ca="false" dt2D="false" dtr="false" t="normal">+(K36*13.29+L36*22.52)*12*0.85</f>
        <v>1048093.7885999999</v>
      </c>
      <c r="AS36" s="3" t="n">
        <f aca="false" ca="false" dt2D="false" dtr="false" t="normal">+(K36*13.29+L36*22.52)*12*30</f>
        <v>36991545.48</v>
      </c>
      <c r="AT36" s="9" t="n">
        <f aca="false" ca="false" dt2D="false" dtr="false" t="normal">+S36-AS36</f>
        <v>-34151891.2243422</v>
      </c>
      <c r="AW36" s="113" t="n">
        <f aca="false" ca="true" dt2D="false" dtr="false" t="normal">SUBTOTAL(9, AX36:BL36)</f>
        <v>13275635.754342193</v>
      </c>
      <c r="AX36" s="106" t="n">
        <v>5601164.74</v>
      </c>
      <c r="AY36" s="106" t="n">
        <v>4132221.15</v>
      </c>
      <c r="AZ36" s="106" t="n"/>
      <c r="BA36" s="106" t="n">
        <v>2594387.63</v>
      </c>
      <c r="BB36" s="106" t="n">
        <v>0</v>
      </c>
      <c r="BC36" s="106" t="n"/>
      <c r="BD36" s="106" t="n"/>
      <c r="BE36" s="106" t="n">
        <v>0</v>
      </c>
      <c r="BF36" s="106" t="n">
        <v>0</v>
      </c>
      <c r="BG36" s="106" t="n"/>
      <c r="BH36" s="106" t="n">
        <v>0</v>
      </c>
      <c r="BI36" s="106" t="n">
        <v>0</v>
      </c>
      <c r="BJ36" s="106" t="n"/>
      <c r="BK36" s="114" t="n"/>
      <c r="BL36" s="115" t="n">
        <v>947862.234342194</v>
      </c>
      <c r="BM36" s="14" t="n">
        <f aca="false" ca="true" dt2D="false" dtr="false" t="normal">SUBTOTAL(9, BN36:CB36)</f>
        <v>13275635.754342193</v>
      </c>
      <c r="BN36" s="106" t="n">
        <v>5601164.74</v>
      </c>
      <c r="BO36" s="106" t="n">
        <v>4132221.15</v>
      </c>
      <c r="BP36" s="106" t="n"/>
      <c r="BQ36" s="106" t="n">
        <v>2594387.63</v>
      </c>
      <c r="BR36" s="106" t="n">
        <v>0</v>
      </c>
      <c r="BS36" s="106" t="n"/>
      <c r="BT36" s="106" t="n"/>
      <c r="BU36" s="106" t="n">
        <v>0</v>
      </c>
      <c r="BV36" s="106" t="n">
        <v>0</v>
      </c>
      <c r="BW36" s="106" t="n"/>
      <c r="BX36" s="106" t="n">
        <v>0</v>
      </c>
      <c r="BY36" s="106" t="n">
        <v>0</v>
      </c>
      <c r="BZ36" s="106" t="n"/>
      <c r="CA36" s="114" t="n"/>
      <c r="CB36" s="115" t="n">
        <v>947862.234342194</v>
      </c>
      <c r="CD36" s="116" t="n">
        <f aca="false" ca="false" dt2D="false" dtr="false" t="normal">+CD35+1</f>
        <v>19</v>
      </c>
      <c r="CE36" s="117" t="n">
        <f aca="false" ca="false" dt2D="false" dtr="false" t="normal">+CE35+1</f>
        <v>19</v>
      </c>
      <c r="CF36" s="104" t="s">
        <v>78</v>
      </c>
      <c r="CG36" s="104" t="s">
        <v>89</v>
      </c>
      <c r="CH36" s="118" t="n">
        <f aca="false" ca="true" dt2D="false" dtr="false" t="normal">SUBTOTAL(9, CI36:CW36)</f>
        <v>13275635.754342193</v>
      </c>
      <c r="CI36" s="106" t="n">
        <v>5601164.74</v>
      </c>
      <c r="CJ36" s="106" t="n">
        <v>4132221.15</v>
      </c>
      <c r="CK36" s="106" t="n"/>
      <c r="CL36" s="106" t="n">
        <v>2594387.63</v>
      </c>
      <c r="CM36" s="106" t="n">
        <v>0</v>
      </c>
      <c r="CN36" s="106" t="n"/>
      <c r="CO36" s="106" t="n"/>
      <c r="CP36" s="106" t="n">
        <v>0</v>
      </c>
      <c r="CQ36" s="106" t="n">
        <v>0</v>
      </c>
      <c r="CR36" s="106" t="n"/>
      <c r="CS36" s="106" t="n">
        <v>0</v>
      </c>
      <c r="CT36" s="106" t="n">
        <v>0</v>
      </c>
      <c r="CU36" s="106" t="n"/>
      <c r="CV36" s="114" t="n"/>
      <c r="CW36" s="115" t="n">
        <v>947862.234342194</v>
      </c>
      <c r="CZ36" s="104" t="s">
        <v>89</v>
      </c>
      <c r="DA36" s="119" t="n">
        <f aca="false" ca="true" dt2D="false" dtr="false" t="normal">SUBTOTAL(9, DB36:DP36)</f>
        <v>12466406.29</v>
      </c>
      <c r="DB36" s="106" t="n">
        <v>5601164.74</v>
      </c>
      <c r="DC36" s="106" t="n">
        <v>4132221.15</v>
      </c>
      <c r="DD36" s="106" t="n"/>
      <c r="DE36" s="106" t="n">
        <v>2594387.63</v>
      </c>
      <c r="DF36" s="106" t="n">
        <v>0</v>
      </c>
      <c r="DG36" s="106" t="n"/>
      <c r="DH36" s="106" t="n"/>
      <c r="DI36" s="106" t="n">
        <v>0</v>
      </c>
      <c r="DJ36" s="106" t="n">
        <v>0</v>
      </c>
      <c r="DK36" s="106" t="n"/>
      <c r="DL36" s="106" t="n">
        <v>0</v>
      </c>
      <c r="DM36" s="106" t="n">
        <v>0</v>
      </c>
      <c r="DN36" s="106" t="n"/>
      <c r="DO36" s="114" t="n"/>
      <c r="DP36" s="120" t="n">
        <f aca="false" ca="false" dt2D="false" dtr="false" t="normal">138632.77</f>
        <v>138632.77</v>
      </c>
      <c r="DQ36" s="3" t="n">
        <f aca="false" ca="false" dt2D="false" dtr="false" t="normal">N36-DA36</f>
        <v>0</v>
      </c>
      <c r="DS36" s="9" t="n"/>
    </row>
    <row hidden="false" ht="15" outlineLevel="0" r="37">
      <c r="A37" s="103" t="n">
        <f aca="false" ca="false" dt2D="false" dtr="false" t="normal">+A36+1</f>
        <v>20</v>
      </c>
      <c r="B37" s="104" t="n">
        <f aca="false" ca="false" dt2D="false" dtr="false" t="normal">+B36+1</f>
        <v>20</v>
      </c>
      <c r="C37" s="104" t="s">
        <v>78</v>
      </c>
      <c r="D37" s="104" t="s">
        <v>90</v>
      </c>
      <c r="E37" s="105" t="n">
        <v>1990</v>
      </c>
      <c r="F37" s="105" t="n">
        <v>2017</v>
      </c>
      <c r="G37" s="105" t="s">
        <v>68</v>
      </c>
      <c r="H37" s="105" t="n">
        <v>9</v>
      </c>
      <c r="I37" s="105" t="n">
        <v>1</v>
      </c>
      <c r="J37" s="106" t="n">
        <v>4527.8</v>
      </c>
      <c r="K37" s="106" t="n">
        <v>3876.4</v>
      </c>
      <c r="L37" s="106" t="n">
        <v>0</v>
      </c>
      <c r="M37" s="107" t="n">
        <v>153</v>
      </c>
      <c r="N37" s="108" t="n">
        <f aca="false" ca="false" dt2D="false" dtr="false" t="normal">SUM(P37:T37)</f>
        <v>4707613.74</v>
      </c>
      <c r="O37" s="106" t="n"/>
      <c r="P37" s="114" t="n">
        <v>54608.39</v>
      </c>
      <c r="Q37" s="114" t="n"/>
      <c r="R37" s="114" t="n">
        <v>1459981.25421846</v>
      </c>
      <c r="S37" s="114" t="n">
        <v>3193024.09578154</v>
      </c>
      <c r="T37" s="106" t="n">
        <v>0</v>
      </c>
      <c r="U37" s="114" t="n">
        <v>1351.9760149155</v>
      </c>
      <c r="V37" s="114" t="n">
        <v>1351.9760149155</v>
      </c>
      <c r="W37" s="110" t="n">
        <v>2022</v>
      </c>
      <c r="X37" s="9" t="e">
        <f aca="false" ca="false" dt2D="false" dtr="false" t="normal">+#REF!-'[9]Приложение №1'!$P945</f>
        <v>#REF!</v>
      </c>
      <c r="Z37" s="113" t="n">
        <f aca="false" ca="false" dt2D="false" dtr="false" t="normal">SUM(AA37:AO37)</f>
        <v>27786937.96963656</v>
      </c>
      <c r="AA37" s="106" t="n">
        <v>9291270.46546773</v>
      </c>
      <c r="AB37" s="106" t="n">
        <v>3717394.33412153</v>
      </c>
      <c r="AC37" s="106" t="n">
        <v>2745659.63005222</v>
      </c>
      <c r="AD37" s="106" t="n">
        <v>1754602.37599998</v>
      </c>
      <c r="AE37" s="106" t="n">
        <v>0</v>
      </c>
      <c r="AF37" s="106" t="n"/>
      <c r="AG37" s="106" t="n">
        <v>412798.178606382</v>
      </c>
      <c r="AH37" s="106" t="n">
        <v>0</v>
      </c>
      <c r="AI37" s="106" t="n">
        <v>0</v>
      </c>
      <c r="AJ37" s="106" t="n">
        <v>6460326.51183568</v>
      </c>
      <c r="AK37" s="106" t="n">
        <v>0</v>
      </c>
      <c r="AL37" s="106" t="n">
        <v>0</v>
      </c>
      <c r="AM37" s="106" t="n">
        <v>2593831.00963821</v>
      </c>
      <c r="AN37" s="114" t="n">
        <v>277869.379696366</v>
      </c>
      <c r="AO37" s="115" t="n">
        <v>533186.084218462</v>
      </c>
      <c r="AP37" s="112" t="n">
        <f aca="false" ca="false" dt2D="false" dtr="false" t="normal">+N37-'Приложение №2'!E37</f>
        <v>0</v>
      </c>
      <c r="AQ37" s="1" t="n">
        <v>2413836.61</v>
      </c>
      <c r="AR37" s="3" t="n">
        <f aca="false" ca="false" dt2D="false" dtr="false" t="normal">+(K37*13.29+L37*22.52)*12*0.85</f>
        <v>525477.0312</v>
      </c>
      <c r="AS37" s="3" t="n">
        <f aca="false" ca="false" dt2D="false" dtr="false" t="normal">+(K37*13.29+L37*22.52)*12*30</f>
        <v>18546248.16</v>
      </c>
      <c r="AT37" s="9" t="n">
        <f aca="false" ca="false" dt2D="false" dtr="false" t="normal">+S37-AS37</f>
        <v>-15353224.06421846</v>
      </c>
      <c r="AW37" s="113" t="n">
        <f aca="false" ca="true" dt2D="false" dtr="false" t="normal">SUBTOTAL(9, AX37:BL37)</f>
        <v>5240799.824218462</v>
      </c>
      <c r="AX37" s="106" t="n"/>
      <c r="AY37" s="106" t="n">
        <v>1792691.85</v>
      </c>
      <c r="AZ37" s="106" t="n"/>
      <c r="BA37" s="106" t="n">
        <v>1124322.94</v>
      </c>
      <c r="BB37" s="106" t="n">
        <v>0</v>
      </c>
      <c r="BC37" s="106" t="n"/>
      <c r="BD37" s="106" t="n"/>
      <c r="BE37" s="106" t="n">
        <v>0</v>
      </c>
      <c r="BF37" s="106" t="n">
        <v>0</v>
      </c>
      <c r="BG37" s="106" t="n">
        <v>1790598.95</v>
      </c>
      <c r="BH37" s="106" t="n">
        <v>0</v>
      </c>
      <c r="BI37" s="106" t="n">
        <v>0</v>
      </c>
      <c r="BJ37" s="106" t="n"/>
      <c r="BK37" s="114" t="n"/>
      <c r="BL37" s="115" t="n">
        <v>533186.084218462</v>
      </c>
      <c r="BM37" s="14" t="n">
        <f aca="false" ca="true" dt2D="false" dtr="false" t="normal">SUBTOTAL(9, BN37:CB37)</f>
        <v>5240799.824218462</v>
      </c>
      <c r="BN37" s="106" t="n"/>
      <c r="BO37" s="106" t="n">
        <v>1792691.85</v>
      </c>
      <c r="BP37" s="106" t="n"/>
      <c r="BQ37" s="106" t="n">
        <v>1124322.94</v>
      </c>
      <c r="BR37" s="106" t="n">
        <v>0</v>
      </c>
      <c r="BS37" s="106" t="n"/>
      <c r="BT37" s="106" t="n"/>
      <c r="BU37" s="106" t="n">
        <v>0</v>
      </c>
      <c r="BV37" s="106" t="n">
        <v>0</v>
      </c>
      <c r="BW37" s="106" t="n">
        <v>1790598.95</v>
      </c>
      <c r="BX37" s="106" t="n">
        <v>0</v>
      </c>
      <c r="BY37" s="106" t="n">
        <v>0</v>
      </c>
      <c r="BZ37" s="106" t="n"/>
      <c r="CA37" s="114" t="n"/>
      <c r="CB37" s="115" t="n">
        <v>533186.084218462</v>
      </c>
      <c r="CD37" s="116" t="n">
        <f aca="false" ca="false" dt2D="false" dtr="false" t="normal">+CD36+1</f>
        <v>20</v>
      </c>
      <c r="CE37" s="117" t="n">
        <f aca="false" ca="false" dt2D="false" dtr="false" t="normal">+CE36+1</f>
        <v>20</v>
      </c>
      <c r="CF37" s="104" t="s">
        <v>78</v>
      </c>
      <c r="CG37" s="104" t="s">
        <v>90</v>
      </c>
      <c r="CH37" s="118" t="n">
        <f aca="false" ca="true" dt2D="false" dtr="false" t="normal">SUBTOTAL(9, CI37:CW37)</f>
        <v>5240799.824218462</v>
      </c>
      <c r="CI37" s="106" t="n"/>
      <c r="CJ37" s="106" t="n">
        <v>1792691.85</v>
      </c>
      <c r="CK37" s="106" t="n"/>
      <c r="CL37" s="106" t="n">
        <v>1124322.94</v>
      </c>
      <c r="CM37" s="106" t="n">
        <v>0</v>
      </c>
      <c r="CN37" s="106" t="n"/>
      <c r="CO37" s="106" t="n"/>
      <c r="CP37" s="106" t="n">
        <v>0</v>
      </c>
      <c r="CQ37" s="106" t="n">
        <v>0</v>
      </c>
      <c r="CR37" s="106" t="n">
        <v>1790598.95</v>
      </c>
      <c r="CS37" s="106" t="n">
        <v>0</v>
      </c>
      <c r="CT37" s="106" t="n">
        <v>0</v>
      </c>
      <c r="CU37" s="106" t="n"/>
      <c r="CV37" s="114" t="n"/>
      <c r="CW37" s="115" t="n">
        <v>533186.084218462</v>
      </c>
      <c r="CZ37" s="104" t="s">
        <v>90</v>
      </c>
      <c r="DA37" s="119" t="n">
        <f aca="false" ca="true" dt2D="false" dtr="false" t="normal">SUBTOTAL(9, DB37:DP37)</f>
        <v>4707613.74</v>
      </c>
      <c r="DB37" s="106" t="n"/>
      <c r="DC37" s="106" t="n">
        <v>1792691.85</v>
      </c>
      <c r="DD37" s="106" t="n"/>
      <c r="DE37" s="106" t="n">
        <v>1124322.94</v>
      </c>
      <c r="DF37" s="106" t="n">
        <v>0</v>
      </c>
      <c r="DG37" s="106" t="n"/>
      <c r="DH37" s="106" t="n"/>
      <c r="DI37" s="106" t="n">
        <v>0</v>
      </c>
      <c r="DJ37" s="106" t="n">
        <v>0</v>
      </c>
      <c r="DK37" s="106" t="n">
        <v>1790598.95</v>
      </c>
      <c r="DL37" s="106" t="n">
        <v>0</v>
      </c>
      <c r="DM37" s="106" t="n">
        <v>0</v>
      </c>
      <c r="DN37" s="106" t="n"/>
      <c r="DO37" s="114" t="n"/>
      <c r="DP37" s="122" t="n"/>
      <c r="DQ37" s="3" t="n">
        <f aca="false" ca="false" dt2D="false" dtr="false" t="normal">N37-DA37</f>
        <v>0</v>
      </c>
      <c r="DS37" s="9" t="n"/>
    </row>
    <row hidden="false" ht="15" outlineLevel="0" r="38">
      <c r="A38" s="103" t="n">
        <f aca="false" ca="false" dt2D="false" dtr="false" t="normal">+A37+1</f>
        <v>21</v>
      </c>
      <c r="B38" s="104" t="n">
        <f aca="false" ca="false" dt2D="false" dtr="false" t="normal">+B37+1</f>
        <v>21</v>
      </c>
      <c r="C38" s="104" t="s">
        <v>78</v>
      </c>
      <c r="D38" s="104" t="s">
        <v>91</v>
      </c>
      <c r="E38" s="105" t="n">
        <v>1990</v>
      </c>
      <c r="F38" s="105" t="n">
        <v>2017</v>
      </c>
      <c r="G38" s="105" t="s">
        <v>68</v>
      </c>
      <c r="H38" s="105" t="n">
        <v>10</v>
      </c>
      <c r="I38" s="105" t="n">
        <v>1</v>
      </c>
      <c r="J38" s="106" t="n">
        <v>3578</v>
      </c>
      <c r="K38" s="106" t="n">
        <v>3065.8</v>
      </c>
      <c r="L38" s="106" t="n">
        <v>0</v>
      </c>
      <c r="M38" s="107" t="n">
        <v>111</v>
      </c>
      <c r="N38" s="108" t="n">
        <f aca="false" ca="false" dt2D="false" dtr="false" t="normal">SUM(P38:T38)</f>
        <v>1520132.82</v>
      </c>
      <c r="O38" s="106" t="n"/>
      <c r="P38" s="114" t="n"/>
      <c r="Q38" s="114" t="n"/>
      <c r="R38" s="114" t="n">
        <v>73156.3600000001</v>
      </c>
      <c r="S38" s="114" t="n">
        <v>1446976.46</v>
      </c>
      <c r="T38" s="106" t="n">
        <v>0</v>
      </c>
      <c r="U38" s="114" t="n">
        <v>514.863086307</v>
      </c>
      <c r="V38" s="114" t="n">
        <v>514.863086307</v>
      </c>
      <c r="W38" s="110" t="n">
        <v>2022</v>
      </c>
      <c r="X38" s="9" t="e">
        <f aca="false" ca="false" dt2D="false" dtr="false" t="normal">+#REF!-'[9]Приложение №1'!$P946</f>
        <v>#REF!</v>
      </c>
      <c r="Z38" s="113" t="n">
        <f aca="false" ca="false" dt2D="false" dtr="false" t="normal">SUM(AA38:AO38)</f>
        <v>16117442.631482765</v>
      </c>
      <c r="AA38" s="106" t="n">
        <v>7351785.14896236</v>
      </c>
      <c r="AB38" s="106" t="n">
        <v>2941415.23056564</v>
      </c>
      <c r="AC38" s="106" t="n">
        <v>2172523.09760495</v>
      </c>
      <c r="AD38" s="106" t="n">
        <v>1388341.85681638</v>
      </c>
      <c r="AE38" s="106" t="n">
        <v>0</v>
      </c>
      <c r="AF38" s="106" t="n"/>
      <c r="AG38" s="106" t="n">
        <v>326629.55300638</v>
      </c>
      <c r="AH38" s="106" t="n">
        <v>0</v>
      </c>
      <c r="AI38" s="106" t="n">
        <v>0</v>
      </c>
      <c r="AJ38" s="106" t="n">
        <v>0</v>
      </c>
      <c r="AK38" s="106" t="n">
        <v>0</v>
      </c>
      <c r="AL38" s="106" t="n">
        <v>0</v>
      </c>
      <c r="AM38" s="106" t="n">
        <v>1465470.24179607</v>
      </c>
      <c r="AN38" s="114" t="n">
        <v>161174.426314828</v>
      </c>
      <c r="AO38" s="115" t="n">
        <v>310103.076416158</v>
      </c>
      <c r="AP38" s="112" t="n">
        <f aca="false" ca="false" dt2D="false" dtr="false" t="normal">+N38-'Приложение №2'!E38</f>
        <v>0</v>
      </c>
      <c r="AQ38" s="1" t="n">
        <v>2001885.98</v>
      </c>
      <c r="AR38" s="3" t="n">
        <f aca="false" ca="false" dt2D="false" dtr="false" t="normal">+(K38*13.29+L38*22.52)*12*0.85</f>
        <v>415593.7164</v>
      </c>
      <c r="AS38" s="3" t="n">
        <f aca="false" ca="false" dt2D="false" dtr="false" t="normal">+(K38*13.29+L38*22.52)*12*30</f>
        <v>14668013.52</v>
      </c>
      <c r="AT38" s="9" t="n">
        <f aca="false" ca="false" dt2D="false" dtr="false" t="normal">+S38-AS38</f>
        <v>-13221037.059999999</v>
      </c>
      <c r="AW38" s="113" t="n">
        <f aca="false" ca="true" dt2D="false" dtr="false" t="normal">SUBTOTAL(9, AX38:BL38)</f>
        <v>1569633.6837197065</v>
      </c>
      <c r="AX38" s="106" t="n"/>
      <c r="AY38" s="106" t="n">
        <v>991956.22</v>
      </c>
      <c r="AZ38" s="106" t="n"/>
      <c r="BA38" s="106" t="n">
        <v>513354.67</v>
      </c>
      <c r="BB38" s="106" t="n">
        <v>0</v>
      </c>
      <c r="BC38" s="106" t="n"/>
      <c r="BD38" s="106" t="n"/>
      <c r="BE38" s="106" t="n">
        <v>0</v>
      </c>
      <c r="BF38" s="106" t="n">
        <v>0</v>
      </c>
      <c r="BG38" s="106" t="n">
        <v>0</v>
      </c>
      <c r="BH38" s="106" t="n">
        <v>0</v>
      </c>
      <c r="BI38" s="106" t="n">
        <v>0</v>
      </c>
      <c r="BJ38" s="106" t="n"/>
      <c r="BK38" s="114" t="n"/>
      <c r="BL38" s="115" t="n">
        <v>64322.7937197065</v>
      </c>
      <c r="BM38" s="14" t="n">
        <f aca="false" ca="true" dt2D="false" dtr="false" t="normal">SUBTOTAL(9, BN38:CB38)</f>
        <v>1578467.25</v>
      </c>
      <c r="BN38" s="106" t="n"/>
      <c r="BO38" s="106" t="n">
        <v>991956.22</v>
      </c>
      <c r="BP38" s="106" t="n"/>
      <c r="BQ38" s="106" t="n">
        <v>513354.67</v>
      </c>
      <c r="BR38" s="106" t="n">
        <v>0</v>
      </c>
      <c r="BS38" s="106" t="n"/>
      <c r="BT38" s="106" t="n"/>
      <c r="BU38" s="106" t="n">
        <v>0</v>
      </c>
      <c r="BV38" s="106" t="n">
        <v>0</v>
      </c>
      <c r="BW38" s="106" t="n">
        <v>0</v>
      </c>
      <c r="BX38" s="106" t="n">
        <v>0</v>
      </c>
      <c r="BY38" s="106" t="n">
        <v>0</v>
      </c>
      <c r="BZ38" s="106" t="n"/>
      <c r="CA38" s="114" t="n"/>
      <c r="CB38" s="115" t="n">
        <v>73156.36</v>
      </c>
      <c r="CD38" s="116" t="n">
        <f aca="false" ca="false" dt2D="false" dtr="false" t="normal">+CD37+1</f>
        <v>21</v>
      </c>
      <c r="CE38" s="117" t="n">
        <f aca="false" ca="false" dt2D="false" dtr="false" t="normal">+CE37+1</f>
        <v>21</v>
      </c>
      <c r="CF38" s="104" t="s">
        <v>78</v>
      </c>
      <c r="CG38" s="104" t="s">
        <v>91</v>
      </c>
      <c r="CH38" s="118" t="n">
        <f aca="false" ca="true" dt2D="false" dtr="false" t="normal">SUBTOTAL(9, CI38:CW38)</f>
        <v>1578467.25</v>
      </c>
      <c r="CI38" s="106" t="n"/>
      <c r="CJ38" s="106" t="n">
        <v>991956.22</v>
      </c>
      <c r="CK38" s="106" t="n"/>
      <c r="CL38" s="106" t="n">
        <v>513354.67</v>
      </c>
      <c r="CM38" s="106" t="n">
        <v>0</v>
      </c>
      <c r="CN38" s="106" t="n"/>
      <c r="CO38" s="106" t="n"/>
      <c r="CP38" s="106" t="n">
        <v>0</v>
      </c>
      <c r="CQ38" s="106" t="n">
        <v>0</v>
      </c>
      <c r="CR38" s="106" t="n">
        <v>0</v>
      </c>
      <c r="CS38" s="106" t="n">
        <v>0</v>
      </c>
      <c r="CT38" s="106" t="n">
        <v>0</v>
      </c>
      <c r="CU38" s="106" t="n"/>
      <c r="CV38" s="114" t="n"/>
      <c r="CW38" s="115" t="n">
        <v>73156.36</v>
      </c>
      <c r="CZ38" s="104" t="s">
        <v>91</v>
      </c>
      <c r="DA38" s="119" t="n">
        <f aca="false" ca="true" dt2D="false" dtr="false" t="normal">SUBTOTAL(9, DB38:DP38)</f>
        <v>1520132.8199999998</v>
      </c>
      <c r="DB38" s="106" t="n"/>
      <c r="DC38" s="106" t="n">
        <v>991956.22</v>
      </c>
      <c r="DD38" s="106" t="n"/>
      <c r="DE38" s="106" t="n">
        <v>513354.67</v>
      </c>
      <c r="DF38" s="106" t="n">
        <v>0</v>
      </c>
      <c r="DG38" s="106" t="n"/>
      <c r="DH38" s="106" t="n"/>
      <c r="DI38" s="106" t="n">
        <v>0</v>
      </c>
      <c r="DJ38" s="106" t="n">
        <v>0</v>
      </c>
      <c r="DK38" s="106" t="n">
        <v>0</v>
      </c>
      <c r="DL38" s="106" t="n">
        <v>0</v>
      </c>
      <c r="DM38" s="106" t="n">
        <v>0</v>
      </c>
      <c r="DN38" s="106" t="n"/>
      <c r="DO38" s="114" t="n"/>
      <c r="DP38" s="120" t="n">
        <f aca="false" ca="false" dt2D="false" dtr="false" t="normal">14821.93</f>
        <v>14821.93</v>
      </c>
      <c r="DQ38" s="3" t="n">
        <f aca="false" ca="false" dt2D="false" dtr="false" t="normal">N38-DA38</f>
        <v>0</v>
      </c>
      <c r="DS38" s="9" t="n"/>
    </row>
    <row hidden="false" ht="15" outlineLevel="0" r="39">
      <c r="A39" s="103" t="n">
        <f aca="false" ca="false" dt2D="false" dtr="false" t="normal">+A38+1</f>
        <v>22</v>
      </c>
      <c r="B39" s="104" t="n">
        <f aca="false" ca="false" dt2D="false" dtr="false" t="normal">+B38+1</f>
        <v>22</v>
      </c>
      <c r="C39" s="104" t="s">
        <v>78</v>
      </c>
      <c r="D39" s="104" t="s">
        <v>92</v>
      </c>
      <c r="E39" s="105" t="n">
        <v>1990</v>
      </c>
      <c r="F39" s="105" t="n">
        <v>2017</v>
      </c>
      <c r="G39" s="105" t="s">
        <v>68</v>
      </c>
      <c r="H39" s="105" t="n">
        <v>10</v>
      </c>
      <c r="I39" s="105" t="n">
        <v>1</v>
      </c>
      <c r="J39" s="106" t="n">
        <v>3562.9</v>
      </c>
      <c r="K39" s="106" t="n">
        <v>3045.6</v>
      </c>
      <c r="L39" s="106" t="n">
        <v>0</v>
      </c>
      <c r="M39" s="107" t="n">
        <v>121</v>
      </c>
      <c r="N39" s="108" t="n">
        <f aca="false" ca="false" dt2D="false" dtr="false" t="normal">SUM(P39:T39)</f>
        <v>6194141.05</v>
      </c>
      <c r="O39" s="106" t="n"/>
      <c r="P39" s="114" t="n"/>
      <c r="Q39" s="114" t="n"/>
      <c r="R39" s="114" t="n">
        <v>2146649.1226294</v>
      </c>
      <c r="S39" s="114" t="n">
        <v>4047491.9273706</v>
      </c>
      <c r="T39" s="106" t="n">
        <v>0</v>
      </c>
      <c r="U39" s="114" t="n">
        <v>2155.86296054288</v>
      </c>
      <c r="V39" s="114" t="n">
        <v>2155.86296054288</v>
      </c>
      <c r="W39" s="110" t="n">
        <v>2022</v>
      </c>
      <c r="X39" s="9" t="e">
        <f aca="false" ca="false" dt2D="false" dtr="false" t="normal">+#REF!-'[9]Приложение №1'!$P947</f>
        <v>#REF!</v>
      </c>
      <c r="Z39" s="113" t="n">
        <f aca="false" ca="false" dt2D="false" dtr="false" t="normal">SUM(AA39:AO39)</f>
        <v>21832542.93186196</v>
      </c>
      <c r="AA39" s="106" t="n">
        <v>7300266.82142979</v>
      </c>
      <c r="AB39" s="106" t="n">
        <v>2920802.98603086</v>
      </c>
      <c r="AC39" s="106" t="n">
        <v>2157298.93718042</v>
      </c>
      <c r="AD39" s="106" t="n">
        <v>1378612.92036661</v>
      </c>
      <c r="AE39" s="106" t="n">
        <v>0</v>
      </c>
      <c r="AF39" s="106" t="n"/>
      <c r="AG39" s="106" t="n">
        <v>324340.665620168</v>
      </c>
      <c r="AH39" s="106" t="n">
        <v>0</v>
      </c>
      <c r="AI39" s="106" t="n">
        <v>0</v>
      </c>
      <c r="AJ39" s="106" t="n">
        <v>5075958.92996997</v>
      </c>
      <c r="AK39" s="106" t="n">
        <v>0</v>
      </c>
      <c r="AL39" s="106" t="n">
        <v>0</v>
      </c>
      <c r="AM39" s="106" t="n">
        <v>2038005.30082883</v>
      </c>
      <c r="AN39" s="114" t="n">
        <v>218325.42931862</v>
      </c>
      <c r="AO39" s="115" t="n">
        <v>418930.941116691</v>
      </c>
      <c r="AP39" s="112" t="n">
        <f aca="false" ca="false" dt2D="false" dtr="false" t="normal">+N39-'Приложение №2'!E39</f>
        <v>0</v>
      </c>
      <c r="AQ39" s="1" t="n">
        <v>1845490.3</v>
      </c>
      <c r="AR39" s="3" t="n">
        <f aca="false" ca="false" dt2D="false" dtr="false" t="normal">+(K39*13.29+L39*22.52)*12*0.85</f>
        <v>412855.44479999994</v>
      </c>
      <c r="AS39" s="3" t="n">
        <f aca="false" ca="false" dt2D="false" dtr="false" t="normal">+(K39*13.29+L39*22.52)*12*30</f>
        <v>14571368.639999999</v>
      </c>
      <c r="AT39" s="9" t="n">
        <f aca="false" ca="false" dt2D="false" dtr="false" t="normal">+S39-AS39</f>
        <v>-10523876.712629398</v>
      </c>
      <c r="AW39" s="113" t="n">
        <f aca="false" ca="true" dt2D="false" dtr="false" t="normal">SUBTOTAL(9, AX39:BL39)</f>
        <v>6565896.232629403</v>
      </c>
      <c r="AX39" s="106" t="n">
        <v>2562057.49</v>
      </c>
      <c r="AY39" s="106" t="n">
        <v>1395411.2</v>
      </c>
      <c r="AZ39" s="106" t="n"/>
      <c r="BA39" s="106" t="n">
        <v>767119.01</v>
      </c>
      <c r="BB39" s="106" t="n">
        <v>0</v>
      </c>
      <c r="BC39" s="106" t="n"/>
      <c r="BD39" s="106" t="n"/>
      <c r="BE39" s="106" t="n">
        <v>0</v>
      </c>
      <c r="BF39" s="106" t="n">
        <v>0</v>
      </c>
      <c r="BG39" s="106" t="n">
        <v>1469553.35</v>
      </c>
      <c r="BH39" s="106" t="n">
        <v>0</v>
      </c>
      <c r="BI39" s="106" t="n">
        <v>0</v>
      </c>
      <c r="BJ39" s="106" t="n"/>
      <c r="BK39" s="114" t="n"/>
      <c r="BL39" s="115" t="n">
        <v>371755.182629402</v>
      </c>
      <c r="BM39" s="14" t="n">
        <f aca="false" ca="true" dt2D="false" dtr="false" t="normal">SUBTOTAL(9, BN39:CB39)</f>
        <v>6565896.232629403</v>
      </c>
      <c r="BN39" s="106" t="n">
        <v>2562057.49</v>
      </c>
      <c r="BO39" s="106" t="n">
        <v>1395411.2</v>
      </c>
      <c r="BP39" s="106" t="n"/>
      <c r="BQ39" s="106" t="n">
        <v>767119.01</v>
      </c>
      <c r="BR39" s="106" t="n">
        <v>0</v>
      </c>
      <c r="BS39" s="106" t="n"/>
      <c r="BT39" s="106" t="n"/>
      <c r="BU39" s="106" t="n">
        <v>0</v>
      </c>
      <c r="BV39" s="106" t="n">
        <v>0</v>
      </c>
      <c r="BW39" s="106" t="n">
        <v>1469553.35</v>
      </c>
      <c r="BX39" s="106" t="n">
        <v>0</v>
      </c>
      <c r="BY39" s="106" t="n">
        <v>0</v>
      </c>
      <c r="BZ39" s="106" t="n"/>
      <c r="CA39" s="114" t="n"/>
      <c r="CB39" s="115" t="n">
        <v>371755.182629402</v>
      </c>
      <c r="CD39" s="116" t="n">
        <f aca="false" ca="false" dt2D="false" dtr="false" t="normal">+CD38+1</f>
        <v>22</v>
      </c>
      <c r="CE39" s="117" t="n">
        <f aca="false" ca="false" dt2D="false" dtr="false" t="normal">+CE38+1</f>
        <v>22</v>
      </c>
      <c r="CF39" s="104" t="s">
        <v>78</v>
      </c>
      <c r="CG39" s="104" t="s">
        <v>92</v>
      </c>
      <c r="CH39" s="118" t="n">
        <f aca="false" ca="true" dt2D="false" dtr="false" t="normal">SUBTOTAL(9, CI39:CW39)</f>
        <v>6565896.232629403</v>
      </c>
      <c r="CI39" s="106" t="n">
        <v>2562057.49</v>
      </c>
      <c r="CJ39" s="106" t="n">
        <v>1395411.2</v>
      </c>
      <c r="CK39" s="106" t="n"/>
      <c r="CL39" s="106" t="n">
        <v>767119.01</v>
      </c>
      <c r="CM39" s="106" t="n">
        <v>0</v>
      </c>
      <c r="CN39" s="106" t="n"/>
      <c r="CO39" s="106" t="n"/>
      <c r="CP39" s="106" t="n">
        <v>0</v>
      </c>
      <c r="CQ39" s="106" t="n">
        <v>0</v>
      </c>
      <c r="CR39" s="106" t="n">
        <v>1469553.35</v>
      </c>
      <c r="CS39" s="106" t="n">
        <v>0</v>
      </c>
      <c r="CT39" s="106" t="n">
        <v>0</v>
      </c>
      <c r="CU39" s="106" t="n"/>
      <c r="CV39" s="114" t="n"/>
      <c r="CW39" s="115" t="n">
        <v>371755.182629402</v>
      </c>
      <c r="CZ39" s="104" t="s">
        <v>92</v>
      </c>
      <c r="DA39" s="119" t="n">
        <f aca="false" ca="true" dt2D="false" dtr="false" t="normal">SUBTOTAL(9, DB39:DP39)</f>
        <v>6194141.050000001</v>
      </c>
      <c r="DB39" s="106" t="n">
        <v>2562057.49</v>
      </c>
      <c r="DC39" s="106" t="n">
        <v>1395411.2</v>
      </c>
      <c r="DD39" s="106" t="n"/>
      <c r="DE39" s="106" t="n">
        <v>767119.01</v>
      </c>
      <c r="DF39" s="106" t="n">
        <v>0</v>
      </c>
      <c r="DG39" s="106" t="n"/>
      <c r="DH39" s="106" t="n"/>
      <c r="DI39" s="106" t="n">
        <v>0</v>
      </c>
      <c r="DJ39" s="106" t="n">
        <v>0</v>
      </c>
      <c r="DK39" s="106" t="n">
        <v>1469553.35</v>
      </c>
      <c r="DL39" s="106" t="n">
        <v>0</v>
      </c>
      <c r="DM39" s="106" t="n">
        <v>0</v>
      </c>
      <c r="DN39" s="106" t="n"/>
      <c r="DO39" s="114" t="n"/>
      <c r="DP39" s="122" t="n"/>
      <c r="DQ39" s="3" t="n">
        <f aca="false" ca="false" dt2D="false" dtr="false" t="normal">N39-DA39</f>
        <v>0</v>
      </c>
      <c r="DS39" s="9" t="n"/>
    </row>
    <row hidden="false" ht="15" outlineLevel="0" r="40">
      <c r="A40" s="103" t="n">
        <f aca="false" ca="false" dt2D="false" dtr="false" t="normal">+A39+1</f>
        <v>23</v>
      </c>
      <c r="B40" s="104" t="n">
        <f aca="false" ca="false" dt2D="false" dtr="false" t="normal">+B39+1</f>
        <v>23</v>
      </c>
      <c r="C40" s="104" t="s">
        <v>78</v>
      </c>
      <c r="D40" s="104" t="s">
        <v>93</v>
      </c>
      <c r="E40" s="105" t="n">
        <v>1990</v>
      </c>
      <c r="F40" s="105" t="n">
        <v>2017</v>
      </c>
      <c r="G40" s="105" t="s">
        <v>68</v>
      </c>
      <c r="H40" s="105" t="n">
        <v>9</v>
      </c>
      <c r="I40" s="105" t="n">
        <v>1</v>
      </c>
      <c r="J40" s="106" t="n">
        <v>3197.5</v>
      </c>
      <c r="K40" s="106" t="n">
        <v>2621.1</v>
      </c>
      <c r="L40" s="106" t="n">
        <v>132.4</v>
      </c>
      <c r="M40" s="107" t="n">
        <v>94</v>
      </c>
      <c r="N40" s="108" t="n">
        <f aca="false" ca="false" dt2D="false" dtr="false" t="normal">SUM(P40:T40)</f>
        <v>2223790.75</v>
      </c>
      <c r="O40" s="106" t="n"/>
      <c r="P40" s="114" t="n"/>
      <c r="Q40" s="114" t="n"/>
      <c r="R40" s="114" t="n">
        <v>1017398.54</v>
      </c>
      <c r="S40" s="114" t="n">
        <v>1206392.21</v>
      </c>
      <c r="T40" s="106" t="n">
        <v>0</v>
      </c>
      <c r="U40" s="114" t="n">
        <v>898.299109442218</v>
      </c>
      <c r="V40" s="114" t="n">
        <v>898.299109442218</v>
      </c>
      <c r="W40" s="110" t="n">
        <v>2022</v>
      </c>
      <c r="X40" s="9" t="e">
        <f aca="false" ca="false" dt2D="false" dtr="false" t="normal">+#REF!-'[9]Приложение №1'!$P948</f>
        <v>#REF!</v>
      </c>
      <c r="Z40" s="113" t="n">
        <f aca="false" ca="false" dt2D="false" dtr="false" t="normal">SUM(AA40:AO40)</f>
        <v>19626786.772724852</v>
      </c>
      <c r="AA40" s="106" t="n">
        <v>6562716.06726577</v>
      </c>
      <c r="AB40" s="106" t="n">
        <v>2625712.34101665</v>
      </c>
      <c r="AC40" s="106" t="n">
        <v>1939345.60793991</v>
      </c>
      <c r="AD40" s="106" t="n">
        <v>1239330.75109961</v>
      </c>
      <c r="AE40" s="106" t="n">
        <v>0</v>
      </c>
      <c r="AF40" s="106" t="n"/>
      <c r="AG40" s="106" t="n">
        <v>291572.315039886</v>
      </c>
      <c r="AH40" s="106" t="n">
        <v>0</v>
      </c>
      <c r="AI40" s="106" t="n">
        <v>0</v>
      </c>
      <c r="AJ40" s="106" t="n">
        <v>4563131.46373064</v>
      </c>
      <c r="AK40" s="106" t="n">
        <v>0</v>
      </c>
      <c r="AL40" s="106" t="n">
        <v>0</v>
      </c>
      <c r="AM40" s="106" t="n">
        <v>1832104.28605987</v>
      </c>
      <c r="AN40" s="114" t="n">
        <v>196267.867727248</v>
      </c>
      <c r="AO40" s="115" t="n">
        <v>376606.072845267</v>
      </c>
      <c r="AP40" s="112" t="n">
        <f aca="false" ca="false" dt2D="false" dtr="false" t="normal">+N40-'Приложение №2'!E40</f>
        <v>0</v>
      </c>
      <c r="AQ40" s="1" t="n">
        <v>1678059.52</v>
      </c>
      <c r="AR40" s="3" t="n">
        <f aca="false" ca="false" dt2D="false" dtr="false" t="normal">+(K40*13.29+L40*22.52)*12*0.85</f>
        <v>385723.88339999993</v>
      </c>
      <c r="AS40" s="3" t="n">
        <f aca="false" ca="false" dt2D="false" dtr="false" t="normal">+(K40*13.29+L40*22.52)*12*30</f>
        <v>13613784.12</v>
      </c>
      <c r="AT40" s="9" t="n">
        <f aca="false" ca="false" dt2D="false" dtr="false" t="normal">+S40-AS40</f>
        <v>-12407391.91</v>
      </c>
      <c r="AW40" s="113" t="n">
        <f aca="false" ca="true" dt2D="false" dtr="false" t="normal">SUBTOTAL(9, AX40:BL40)</f>
        <v>2473466.597849148</v>
      </c>
      <c r="AX40" s="106" t="n">
        <v>2223790.75</v>
      </c>
      <c r="AY40" s="106" t="n"/>
      <c r="AZ40" s="106" t="n"/>
      <c r="BA40" s="106" t="n"/>
      <c r="BB40" s="106" t="n">
        <v>0</v>
      </c>
      <c r="BC40" s="106" t="n"/>
      <c r="BD40" s="106" t="n"/>
      <c r="BE40" s="106" t="n">
        <v>0</v>
      </c>
      <c r="BF40" s="106" t="n">
        <v>0</v>
      </c>
      <c r="BG40" s="106" t="n"/>
      <c r="BH40" s="106" t="n">
        <v>0</v>
      </c>
      <c r="BI40" s="106" t="n">
        <v>0</v>
      </c>
      <c r="BJ40" s="106" t="n"/>
      <c r="BK40" s="114" t="n"/>
      <c r="BL40" s="115" t="n">
        <v>249675.847849148</v>
      </c>
      <c r="BM40" s="14" t="n">
        <f aca="false" ca="true" dt2D="false" dtr="false" t="normal">SUBTOTAL(9, BN40:CB40)</f>
        <v>2473466.597849148</v>
      </c>
      <c r="BN40" s="106" t="n">
        <v>2223790.75</v>
      </c>
      <c r="BO40" s="106" t="n"/>
      <c r="BP40" s="106" t="n"/>
      <c r="BQ40" s="106" t="n"/>
      <c r="BR40" s="106" t="n">
        <v>0</v>
      </c>
      <c r="BS40" s="106" t="n"/>
      <c r="BT40" s="106" t="n"/>
      <c r="BU40" s="106" t="n">
        <v>0</v>
      </c>
      <c r="BV40" s="106" t="n">
        <v>0</v>
      </c>
      <c r="BW40" s="106" t="n"/>
      <c r="BX40" s="106" t="n">
        <v>0</v>
      </c>
      <c r="BY40" s="106" t="n">
        <v>0</v>
      </c>
      <c r="BZ40" s="106" t="n"/>
      <c r="CA40" s="114" t="n"/>
      <c r="CB40" s="115" t="n">
        <v>249675.847849148</v>
      </c>
      <c r="CD40" s="116" t="n">
        <f aca="false" ca="false" dt2D="false" dtr="false" t="normal">+CD39+1</f>
        <v>23</v>
      </c>
      <c r="CE40" s="117" t="n">
        <f aca="false" ca="false" dt2D="false" dtr="false" t="normal">+CE39+1</f>
        <v>23</v>
      </c>
      <c r="CF40" s="104" t="s">
        <v>78</v>
      </c>
      <c r="CG40" s="104" t="s">
        <v>93</v>
      </c>
      <c r="CH40" s="118" t="n">
        <f aca="false" ca="true" dt2D="false" dtr="false" t="normal">SUBTOTAL(9, CI40:CW40)</f>
        <v>2473466.597849148</v>
      </c>
      <c r="CI40" s="106" t="n">
        <v>2223790.75</v>
      </c>
      <c r="CJ40" s="106" t="n"/>
      <c r="CK40" s="106" t="n"/>
      <c r="CL40" s="106" t="n"/>
      <c r="CM40" s="106" t="n">
        <v>0</v>
      </c>
      <c r="CN40" s="106" t="n"/>
      <c r="CO40" s="106" t="n"/>
      <c r="CP40" s="106" t="n">
        <v>0</v>
      </c>
      <c r="CQ40" s="106" t="n">
        <v>0</v>
      </c>
      <c r="CR40" s="106" t="n"/>
      <c r="CS40" s="106" t="n">
        <v>0</v>
      </c>
      <c r="CT40" s="106" t="n">
        <v>0</v>
      </c>
      <c r="CU40" s="106" t="n"/>
      <c r="CV40" s="114" t="n"/>
      <c r="CW40" s="115" t="n">
        <v>249675.847849148</v>
      </c>
      <c r="CZ40" s="104" t="s">
        <v>93</v>
      </c>
      <c r="DA40" s="119" t="n">
        <f aca="false" ca="true" dt2D="false" dtr="false" t="normal">SUBTOTAL(9, DB40:DP40)</f>
        <v>2223790.75</v>
      </c>
      <c r="DB40" s="106" t="n">
        <v>2223790.75</v>
      </c>
      <c r="DC40" s="106" t="n"/>
      <c r="DD40" s="106" t="n"/>
      <c r="DE40" s="106" t="n"/>
      <c r="DF40" s="106" t="n">
        <v>0</v>
      </c>
      <c r="DG40" s="106" t="n"/>
      <c r="DH40" s="106" t="n"/>
      <c r="DI40" s="106" t="n">
        <v>0</v>
      </c>
      <c r="DJ40" s="106" t="n">
        <v>0</v>
      </c>
      <c r="DK40" s="106" t="n"/>
      <c r="DL40" s="106" t="n">
        <v>0</v>
      </c>
      <c r="DM40" s="106" t="n">
        <v>0</v>
      </c>
      <c r="DN40" s="106" t="n"/>
      <c r="DO40" s="114" t="n"/>
      <c r="DP40" s="122" t="n"/>
      <c r="DQ40" s="3" t="n">
        <f aca="false" ca="false" dt2D="false" dtr="false" t="normal">N40-DA40</f>
        <v>0</v>
      </c>
      <c r="DS40" s="9" t="n"/>
    </row>
    <row hidden="false" ht="15" outlineLevel="0" r="41">
      <c r="A41" s="103" t="n">
        <f aca="false" ca="false" dt2D="false" dtr="false" t="normal">+A40+1</f>
        <v>24</v>
      </c>
      <c r="B41" s="104" t="n">
        <f aca="false" ca="false" dt2D="false" dtr="false" t="normal">+B40+1</f>
        <v>24</v>
      </c>
      <c r="C41" s="104" t="s">
        <v>81</v>
      </c>
      <c r="D41" s="104" t="s">
        <v>94</v>
      </c>
      <c r="E41" s="105" t="n">
        <v>1994</v>
      </c>
      <c r="F41" s="105" t="n">
        <v>2017</v>
      </c>
      <c r="G41" s="105" t="s">
        <v>68</v>
      </c>
      <c r="H41" s="105" t="n">
        <v>10</v>
      </c>
      <c r="I41" s="105" t="n">
        <v>1</v>
      </c>
      <c r="J41" s="106" t="n">
        <v>3224</v>
      </c>
      <c r="K41" s="106" t="n">
        <v>2850</v>
      </c>
      <c r="L41" s="106" t="n">
        <v>0</v>
      </c>
      <c r="M41" s="107" t="n">
        <v>96</v>
      </c>
      <c r="N41" s="108" t="n">
        <f aca="false" ca="false" dt2D="false" dtr="false" t="normal">SUM(P41:T41)</f>
        <v>3218799.54</v>
      </c>
      <c r="O41" s="106" t="n"/>
      <c r="P41" s="124" t="n">
        <v>2383274.134</v>
      </c>
      <c r="Q41" s="124" t="n"/>
      <c r="R41" s="124" t="n">
        <v>835525.406</v>
      </c>
      <c r="S41" s="114" t="n"/>
      <c r="T41" s="106" t="n"/>
      <c r="U41" s="114" t="n">
        <v>1943.39953893812</v>
      </c>
      <c r="V41" s="114" t="n">
        <v>1943.39953893812</v>
      </c>
      <c r="W41" s="110" t="n">
        <v>2022</v>
      </c>
      <c r="X41" s="9" t="e">
        <f aca="false" ca="false" dt2D="false" dtr="false" t="normal">+#REF!-#REF!</f>
        <v>#REF!</v>
      </c>
      <c r="Z41" s="113" t="n">
        <f aca="false" ca="false" dt2D="false" dtr="false" t="normal">SUM(AA41:AO41)</f>
        <v>3305541.480585927</v>
      </c>
      <c r="AA41" s="106" t="n">
        <v>0</v>
      </c>
      <c r="AB41" s="106" t="n">
        <v>0</v>
      </c>
      <c r="AC41" s="106" t="n">
        <v>0</v>
      </c>
      <c r="AD41" s="106" t="n">
        <v>0</v>
      </c>
      <c r="AE41" s="106" t="n">
        <v>0</v>
      </c>
      <c r="AF41" s="106" t="n"/>
      <c r="AG41" s="106" t="n">
        <v>0</v>
      </c>
      <c r="AH41" s="106" t="n">
        <v>0</v>
      </c>
      <c r="AI41" s="106" t="n">
        <v>2911322.60361125</v>
      </c>
      <c r="AJ41" s="106" t="n">
        <v>0</v>
      </c>
      <c r="AK41" s="106" t="n">
        <v>0</v>
      </c>
      <c r="AL41" s="106" t="n">
        <v>0</v>
      </c>
      <c r="AM41" s="106" t="n">
        <v>297498.733252733</v>
      </c>
      <c r="AN41" s="114" t="n">
        <v>33055.4148058593</v>
      </c>
      <c r="AO41" s="115" t="n">
        <v>63664.7289160849</v>
      </c>
      <c r="AP41" s="112" t="n">
        <f aca="false" ca="false" dt2D="false" dtr="false" t="normal">+N41-'Приложение №2'!E41</f>
        <v>0</v>
      </c>
      <c r="AR41" s="3" t="n">
        <f aca="false" ca="false" dt2D="false" dtr="false" t="normal">+(K41*13.29+L41*22.52)*12*0.85</f>
        <v>386340.3</v>
      </c>
      <c r="AT41" s="9" t="n"/>
      <c r="AW41" s="113" t="n">
        <f aca="false" ca="true" dt2D="false" dtr="false" t="normal">SUBTOTAL(9, AX41:BL41)</f>
        <v>3289538.05</v>
      </c>
      <c r="AX41" s="106" t="n">
        <v>0</v>
      </c>
      <c r="AY41" s="106" t="n">
        <v>0</v>
      </c>
      <c r="AZ41" s="106" t="n">
        <v>0</v>
      </c>
      <c r="BA41" s="106" t="n">
        <v>0</v>
      </c>
      <c r="BB41" s="106" t="n">
        <v>0</v>
      </c>
      <c r="BC41" s="106" t="n"/>
      <c r="BD41" s="106" t="n"/>
      <c r="BE41" s="106" t="n">
        <v>0</v>
      </c>
      <c r="BF41" s="125" t="n">
        <v>2913300.81</v>
      </c>
      <c r="BG41" s="125" t="n">
        <v>0</v>
      </c>
      <c r="BH41" s="125" t="n">
        <v>0</v>
      </c>
      <c r="BI41" s="125" t="n">
        <v>0</v>
      </c>
      <c r="BJ41" s="125" t="n">
        <v>297498.73</v>
      </c>
      <c r="BK41" s="124" t="n">
        <v>8000</v>
      </c>
      <c r="BL41" s="126" t="n">
        <v>70738.51</v>
      </c>
      <c r="BM41" s="14" t="n">
        <f aca="false" ca="true" dt2D="false" dtr="false" t="normal">SUBTOTAL(9, BN41:CB41)</f>
        <v>3289538.05</v>
      </c>
      <c r="BN41" s="106" t="n">
        <v>0</v>
      </c>
      <c r="BO41" s="106" t="n">
        <v>0</v>
      </c>
      <c r="BP41" s="106" t="n">
        <v>0</v>
      </c>
      <c r="BQ41" s="106" t="n">
        <v>0</v>
      </c>
      <c r="BR41" s="106" t="n">
        <v>0</v>
      </c>
      <c r="BS41" s="106" t="n"/>
      <c r="BT41" s="106" t="n"/>
      <c r="BU41" s="106" t="n">
        <v>0</v>
      </c>
      <c r="BV41" s="125" t="n">
        <v>2913300.81</v>
      </c>
      <c r="BW41" s="125" t="n">
        <v>0</v>
      </c>
      <c r="BX41" s="125" t="n">
        <v>0</v>
      </c>
      <c r="BY41" s="125" t="n">
        <v>0</v>
      </c>
      <c r="BZ41" s="125" t="n">
        <v>297498.73</v>
      </c>
      <c r="CA41" s="124" t="n">
        <v>8000</v>
      </c>
      <c r="CB41" s="126" t="n">
        <v>70738.51</v>
      </c>
      <c r="CD41" s="116" t="n">
        <f aca="false" ca="false" dt2D="false" dtr="false" t="normal">+CD40+1</f>
        <v>24</v>
      </c>
      <c r="CE41" s="117" t="n">
        <f aca="false" ca="false" dt2D="false" dtr="false" t="normal">+CE40+1</f>
        <v>24</v>
      </c>
      <c r="CF41" s="104" t="s">
        <v>81</v>
      </c>
      <c r="CG41" s="104" t="s">
        <v>94</v>
      </c>
      <c r="CH41" s="118" t="n">
        <f aca="false" ca="true" dt2D="false" dtr="false" t="normal">SUBTOTAL(9, CI41:CW41)</f>
        <v>3289538.05</v>
      </c>
      <c r="CI41" s="106" t="n">
        <v>0</v>
      </c>
      <c r="CJ41" s="106" t="n">
        <v>0</v>
      </c>
      <c r="CK41" s="106" t="n">
        <v>0</v>
      </c>
      <c r="CL41" s="106" t="n">
        <v>0</v>
      </c>
      <c r="CM41" s="106" t="n">
        <v>0</v>
      </c>
      <c r="CN41" s="106" t="n"/>
      <c r="CO41" s="106" t="n"/>
      <c r="CP41" s="106" t="n">
        <v>0</v>
      </c>
      <c r="CQ41" s="125" t="n">
        <v>2913300.81</v>
      </c>
      <c r="CR41" s="125" t="n">
        <v>0</v>
      </c>
      <c r="CS41" s="125" t="n">
        <v>0</v>
      </c>
      <c r="CT41" s="125" t="n">
        <v>0</v>
      </c>
      <c r="CU41" s="125" t="n">
        <v>297498.73</v>
      </c>
      <c r="CV41" s="124" t="n">
        <v>8000</v>
      </c>
      <c r="CW41" s="126" t="n">
        <v>70738.51</v>
      </c>
      <c r="CZ41" s="104" t="s">
        <v>94</v>
      </c>
      <c r="DA41" s="119" t="n">
        <f aca="false" ca="true" dt2D="false" dtr="false" t="normal">SUBTOTAL(9, DB41:DP41)</f>
        <v>3218799.54</v>
      </c>
      <c r="DB41" s="106" t="n">
        <v>0</v>
      </c>
      <c r="DC41" s="106" t="n">
        <v>0</v>
      </c>
      <c r="DD41" s="106" t="n">
        <v>0</v>
      </c>
      <c r="DE41" s="106" t="n">
        <v>0</v>
      </c>
      <c r="DF41" s="106" t="n">
        <v>0</v>
      </c>
      <c r="DG41" s="106" t="n"/>
      <c r="DH41" s="106" t="n"/>
      <c r="DI41" s="106" t="n">
        <v>0</v>
      </c>
      <c r="DJ41" s="125" t="n">
        <v>2913300.81</v>
      </c>
      <c r="DK41" s="125" t="n">
        <v>0</v>
      </c>
      <c r="DL41" s="125" t="n">
        <v>0</v>
      </c>
      <c r="DM41" s="125" t="n">
        <v>0</v>
      </c>
      <c r="DN41" s="125" t="n">
        <v>297498.73</v>
      </c>
      <c r="DO41" s="124" t="n">
        <v>8000</v>
      </c>
      <c r="DP41" s="127" t="n"/>
      <c r="DQ41" s="3" t="n">
        <f aca="false" ca="false" dt2D="false" dtr="false" t="normal">N41-DA41</f>
        <v>0</v>
      </c>
      <c r="DS41" s="17" t="n"/>
    </row>
    <row hidden="false" ht="15" outlineLevel="0" r="42">
      <c r="A42" s="103" t="n">
        <f aca="false" ca="false" dt2D="false" dtr="false" t="normal">+A41+1</f>
        <v>25</v>
      </c>
      <c r="B42" s="104" t="n">
        <f aca="false" ca="false" dt2D="false" dtr="false" t="normal">+B41+1</f>
        <v>25</v>
      </c>
      <c r="C42" s="104" t="s">
        <v>78</v>
      </c>
      <c r="D42" s="104" t="s">
        <v>95</v>
      </c>
      <c r="E42" s="105" t="n">
        <v>1991</v>
      </c>
      <c r="F42" s="105" t="n">
        <v>1991</v>
      </c>
      <c r="G42" s="105" t="s">
        <v>68</v>
      </c>
      <c r="H42" s="105" t="n">
        <v>5</v>
      </c>
      <c r="I42" s="105" t="n">
        <v>8</v>
      </c>
      <c r="J42" s="106" t="n">
        <v>7532.7</v>
      </c>
      <c r="K42" s="106" t="n">
        <v>6513.5</v>
      </c>
      <c r="L42" s="106" t="n">
        <v>98.2</v>
      </c>
      <c r="M42" s="107" t="n">
        <v>288</v>
      </c>
      <c r="N42" s="108" t="n">
        <f aca="false" ca="false" dt2D="false" dtr="false" t="normal">SUM(P42:T42)</f>
        <v>2578445.07</v>
      </c>
      <c r="O42" s="109" t="n"/>
      <c r="P42" s="114" t="n">
        <v>0</v>
      </c>
      <c r="Q42" s="114" t="n"/>
      <c r="R42" s="114" t="n">
        <v>809686.14</v>
      </c>
      <c r="S42" s="114" t="n">
        <v>1768758.93</v>
      </c>
      <c r="T42" s="106" t="n">
        <v>0</v>
      </c>
      <c r="U42" s="114" t="n">
        <v>465.571120730634</v>
      </c>
      <c r="V42" s="114" t="n">
        <v>465.571120730634</v>
      </c>
      <c r="W42" s="110" t="n">
        <v>2022</v>
      </c>
      <c r="X42" s="9" t="e">
        <f aca="false" ca="false" dt2D="false" dtr="false" t="normal">+#REF!-'[9]Приложение №1'!$P574</f>
        <v>#REF!</v>
      </c>
      <c r="Z42" s="113" t="n">
        <f aca="false" ca="false" dt2D="false" dtr="false" t="normal">SUM(AA42:AO42)</f>
        <v>28038201.105236765</v>
      </c>
      <c r="AA42" s="106" t="n">
        <v>13119220.4977216</v>
      </c>
      <c r="AB42" s="106" t="n">
        <v>5615316.99239804</v>
      </c>
      <c r="AC42" s="106" t="n">
        <v>0</v>
      </c>
      <c r="AD42" s="106" t="n">
        <v>5294421.91644648</v>
      </c>
      <c r="AE42" s="106" t="n">
        <v>0</v>
      </c>
      <c r="AF42" s="106" t="n"/>
      <c r="AG42" s="106" t="n">
        <v>544692.12481385</v>
      </c>
      <c r="AH42" s="106" t="n">
        <v>0</v>
      </c>
      <c r="AI42" s="106" t="n">
        <v>0</v>
      </c>
      <c r="AJ42" s="106" t="n">
        <v>0</v>
      </c>
      <c r="AK42" s="106" t="n">
        <v>0</v>
      </c>
      <c r="AL42" s="106" t="n">
        <v>0</v>
      </c>
      <c r="AM42" s="106" t="n">
        <v>2646791.57386969</v>
      </c>
      <c r="AN42" s="114" t="n">
        <v>280382.011052368</v>
      </c>
      <c r="AO42" s="115" t="n">
        <v>537375.988934735</v>
      </c>
      <c r="AP42" s="112" t="n">
        <f aca="false" ca="false" dt2D="false" dtr="false" t="normal">+N42-'Приложение №2'!E42</f>
        <v>0</v>
      </c>
      <c r="AQ42" s="1" t="e">
        <f aca="false" ca="false" dt2D="false" dtr="false" t="normal">3159895.02-'[10]Приложение №1'!$R$23-542094.29</f>
        <v>#REF!</v>
      </c>
      <c r="AR42" s="3" t="n">
        <f aca="false" ca="false" dt2D="false" dtr="false" t="normal">+(K42*10+L42*20)*12*0.85</f>
        <v>684409.7999999999</v>
      </c>
      <c r="AS42" s="3" t="e">
        <f aca="false" ca="false" dt2D="false" dtr="false" t="normal">+(K42*10+L42*20)*12*30-'[10]Приложение №1'!$S$23-4668048.56</f>
        <v>#REF!</v>
      </c>
      <c r="AT42" s="9" t="e">
        <f aca="false" ca="false" dt2D="false" dtr="false" t="normal">+S42-AS42</f>
        <v>#REF!</v>
      </c>
      <c r="AW42" s="113" t="n">
        <f aca="false" ca="true" dt2D="false" dtr="false" t="normal">SUBTOTAL(9, AX42:BL42)</f>
        <v>3078216.5789347347</v>
      </c>
      <c r="AX42" s="106" t="n"/>
      <c r="AY42" s="106" t="n">
        <v>2540840.59</v>
      </c>
      <c r="AZ42" s="106" t="n">
        <v>0</v>
      </c>
      <c r="BB42" s="106" t="n">
        <v>0</v>
      </c>
      <c r="BC42" s="106" t="n"/>
      <c r="BD42" s="106" t="n"/>
      <c r="BE42" s="106" t="n">
        <v>0</v>
      </c>
      <c r="BF42" s="106" t="n">
        <v>0</v>
      </c>
      <c r="BG42" s="106" t="n">
        <v>0</v>
      </c>
      <c r="BH42" s="106" t="n">
        <v>0</v>
      </c>
      <c r="BI42" s="106" t="n">
        <v>0</v>
      </c>
      <c r="BJ42" s="106" t="n"/>
      <c r="BK42" s="114" t="n"/>
      <c r="BL42" s="115" t="n">
        <v>537375.988934735</v>
      </c>
      <c r="BM42" s="14" t="n">
        <f aca="false" ca="true" dt2D="false" dtr="false" t="normal">SUBTOTAL(9, BN42:CB42)</f>
        <v>3078216.5789347347</v>
      </c>
      <c r="BN42" s="106" t="n"/>
      <c r="BO42" s="106" t="n">
        <v>2540840.59</v>
      </c>
      <c r="BP42" s="106" t="n">
        <v>0</v>
      </c>
      <c r="BR42" s="106" t="n">
        <v>0</v>
      </c>
      <c r="BS42" s="106" t="n"/>
      <c r="BT42" s="106" t="n"/>
      <c r="BU42" s="106" t="n">
        <v>0</v>
      </c>
      <c r="BV42" s="106" t="n">
        <v>0</v>
      </c>
      <c r="BW42" s="106" t="n">
        <v>0</v>
      </c>
      <c r="BX42" s="106" t="n">
        <v>0</v>
      </c>
      <c r="BY42" s="106" t="n">
        <v>0</v>
      </c>
      <c r="BZ42" s="106" t="n"/>
      <c r="CA42" s="114" t="n"/>
      <c r="CB42" s="115" t="n">
        <v>537375.988934735</v>
      </c>
      <c r="CD42" s="116" t="n">
        <f aca="false" ca="false" dt2D="false" dtr="false" t="normal">+CD41+1</f>
        <v>25</v>
      </c>
      <c r="CE42" s="117" t="n">
        <f aca="false" ca="false" dt2D="false" dtr="false" t="normal">+CE41+1</f>
        <v>25</v>
      </c>
      <c r="CF42" s="104" t="s">
        <v>78</v>
      </c>
      <c r="CG42" s="104" t="s">
        <v>95</v>
      </c>
      <c r="CH42" s="118" t="n">
        <f aca="false" ca="true" dt2D="false" dtr="false" t="normal">SUBTOTAL(9, CI42:CW42)</f>
        <v>3078216.5789347347</v>
      </c>
      <c r="CI42" s="106" t="n"/>
      <c r="CJ42" s="106" t="n">
        <v>2540840.59</v>
      </c>
      <c r="CK42" s="106" t="n">
        <v>0</v>
      </c>
      <c r="CM42" s="106" t="n">
        <v>0</v>
      </c>
      <c r="CN42" s="106" t="n"/>
      <c r="CO42" s="106" t="n"/>
      <c r="CP42" s="106" t="n">
        <v>0</v>
      </c>
      <c r="CQ42" s="106" t="n">
        <v>0</v>
      </c>
      <c r="CR42" s="106" t="n">
        <v>0</v>
      </c>
      <c r="CS42" s="106" t="n">
        <v>0</v>
      </c>
      <c r="CT42" s="106" t="n">
        <v>0</v>
      </c>
      <c r="CU42" s="106" t="n"/>
      <c r="CV42" s="114" t="n"/>
      <c r="CW42" s="115" t="n">
        <v>537375.988934735</v>
      </c>
      <c r="CZ42" s="104" t="s">
        <v>95</v>
      </c>
      <c r="DA42" s="119" t="n">
        <f aca="false" ca="true" dt2D="false" dtr="false" t="normal">SUBTOTAL(9, DB42:DP42)</f>
        <v>2578445.07</v>
      </c>
      <c r="DB42" s="106" t="n"/>
      <c r="DC42" s="106" t="n">
        <v>2540840.59</v>
      </c>
      <c r="DD42" s="106" t="n">
        <v>0</v>
      </c>
      <c r="DF42" s="106" t="n">
        <v>0</v>
      </c>
      <c r="DG42" s="106" t="n"/>
      <c r="DH42" s="106" t="n"/>
      <c r="DI42" s="106" t="n">
        <v>0</v>
      </c>
      <c r="DJ42" s="106" t="n">
        <v>0</v>
      </c>
      <c r="DK42" s="106" t="n">
        <v>0</v>
      </c>
      <c r="DL42" s="106" t="n">
        <v>0</v>
      </c>
      <c r="DM42" s="106" t="n">
        <v>0</v>
      </c>
      <c r="DN42" s="106" t="n"/>
      <c r="DO42" s="114" t="n"/>
      <c r="DP42" s="120" t="n">
        <f aca="false" ca="false" dt2D="false" dtr="false" t="normal">37604.48</f>
        <v>37604.48</v>
      </c>
      <c r="DQ42" s="3" t="n">
        <f aca="false" ca="false" dt2D="false" dtr="false" t="normal">N42-DA42</f>
        <v>0</v>
      </c>
      <c r="DS42" s="9" t="n"/>
    </row>
    <row hidden="false" ht="15" outlineLevel="0" r="43">
      <c r="A43" s="103" t="n">
        <f aca="false" ca="false" dt2D="false" dtr="false" t="normal">+A42+1</f>
        <v>26</v>
      </c>
      <c r="B43" s="104" t="n">
        <f aca="false" ca="false" dt2D="false" dtr="false" t="normal">+B42+1</f>
        <v>26</v>
      </c>
      <c r="C43" s="104" t="s">
        <v>81</v>
      </c>
      <c r="D43" s="104" t="s">
        <v>96</v>
      </c>
      <c r="E43" s="105" t="n">
        <v>1993</v>
      </c>
      <c r="F43" s="105" t="n">
        <v>1993</v>
      </c>
      <c r="G43" s="105" t="s">
        <v>68</v>
      </c>
      <c r="H43" s="105" t="n">
        <v>9</v>
      </c>
      <c r="I43" s="105" t="n">
        <v>1</v>
      </c>
      <c r="J43" s="106" t="n">
        <v>2888.5</v>
      </c>
      <c r="K43" s="106" t="n">
        <v>2497</v>
      </c>
      <c r="L43" s="106" t="n">
        <v>0</v>
      </c>
      <c r="M43" s="107" t="n">
        <v>69</v>
      </c>
      <c r="N43" s="108" t="n">
        <f aca="false" ca="false" dt2D="false" dtr="false" t="normal">SUM(P43:T43)</f>
        <v>3557949.73</v>
      </c>
      <c r="O43" s="106" t="n"/>
      <c r="P43" s="124" t="n">
        <v>2911514.27</v>
      </c>
      <c r="Q43" s="124" t="n"/>
      <c r="R43" s="124" t="n">
        <v>646435.46</v>
      </c>
      <c r="S43" s="114" t="n"/>
      <c r="T43" s="106" t="n">
        <v>0</v>
      </c>
      <c r="U43" s="114" t="n">
        <v>1476.09453344013</v>
      </c>
      <c r="V43" s="114" t="n">
        <v>1476.09453344013</v>
      </c>
      <c r="W43" s="110" t="n">
        <v>2022</v>
      </c>
      <c r="X43" s="9" t="e">
        <f aca="false" ca="false" dt2D="false" dtr="false" t="normal">+#REF!-#REF!</f>
        <v>#REF!</v>
      </c>
      <c r="Z43" s="113" t="n">
        <f aca="false" ca="false" dt2D="false" dtr="false" t="normal">SUM(AA43:AO43)</f>
        <v>11478959.236332804</v>
      </c>
      <c r="AA43" s="106" t="n">
        <v>5974688.27301025</v>
      </c>
      <c r="AB43" s="106" t="n">
        <v>0</v>
      </c>
      <c r="AC43" s="106" t="n">
        <v>0</v>
      </c>
      <c r="AD43" s="106" t="n">
        <v>0</v>
      </c>
      <c r="AE43" s="106" t="n">
        <v>0</v>
      </c>
      <c r="AF43" s="106" t="n"/>
      <c r="AG43" s="106" t="n">
        <v>0</v>
      </c>
      <c r="AH43" s="106" t="n">
        <v>0</v>
      </c>
      <c r="AI43" s="106" t="n">
        <v>0</v>
      </c>
      <c r="AJ43" s="106" t="n">
        <v>4154269.0198868</v>
      </c>
      <c r="AK43" s="106" t="n">
        <v>0</v>
      </c>
      <c r="AL43" s="106" t="n">
        <v>0</v>
      </c>
      <c r="AM43" s="106" t="n">
        <v>1013712.56968269</v>
      </c>
      <c r="AN43" s="114" t="n">
        <v>114789.592363328</v>
      </c>
      <c r="AO43" s="115" t="n">
        <v>221499.781389737</v>
      </c>
      <c r="AP43" s="112" t="n">
        <f aca="false" ca="false" dt2D="false" dtr="false" t="normal">+N43-'Приложение №2'!E43</f>
        <v>0</v>
      </c>
      <c r="AR43" s="3" t="n">
        <f aca="false" ca="false" dt2D="false" dtr="false" t="normal">+(K43*13.29+L43*22.52)*12*0.85</f>
        <v>338488.32599999994</v>
      </c>
      <c r="AT43" s="9" t="n">
        <f aca="false" ca="false" dt2D="false" dtr="false" t="normal">+S43-AS43</f>
        <v>0</v>
      </c>
      <c r="AW43" s="113" t="n">
        <f aca="false" ca="true" dt2D="false" dtr="false" t="normal">SUBTOTAL(9, AX43:BL43)</f>
        <v>3685808.05</v>
      </c>
      <c r="AX43" s="125" t="n">
        <v>2951330.4</v>
      </c>
      <c r="AY43" s="125" t="n">
        <v>0</v>
      </c>
      <c r="AZ43" s="125" t="n">
        <v>0</v>
      </c>
      <c r="BA43" s="125" t="n">
        <v>0</v>
      </c>
      <c r="BB43" s="125" t="n">
        <v>0</v>
      </c>
      <c r="BC43" s="125" t="n"/>
      <c r="BD43" s="125" t="n"/>
      <c r="BE43" s="125" t="n">
        <v>0</v>
      </c>
      <c r="BF43" s="125" t="n">
        <v>0</v>
      </c>
      <c r="BG43" s="125" t="n"/>
      <c r="BH43" s="125" t="n">
        <v>0</v>
      </c>
      <c r="BI43" s="125" t="n">
        <v>0</v>
      </c>
      <c r="BJ43" s="125" t="n">
        <v>582619.33</v>
      </c>
      <c r="BK43" s="124" t="n">
        <v>24000</v>
      </c>
      <c r="BL43" s="126" t="n">
        <v>127858.32</v>
      </c>
      <c r="BM43" s="14" t="n">
        <f aca="false" ca="true" dt2D="false" dtr="false" t="normal">SUBTOTAL(9, BN43:CB43)</f>
        <v>3685808.05</v>
      </c>
      <c r="BN43" s="125" t="n">
        <v>2951330.4</v>
      </c>
      <c r="BO43" s="125" t="n">
        <v>0</v>
      </c>
      <c r="BP43" s="125" t="n">
        <v>0</v>
      </c>
      <c r="BQ43" s="125" t="n">
        <v>0</v>
      </c>
      <c r="BR43" s="125" t="n">
        <v>0</v>
      </c>
      <c r="BS43" s="125" t="n"/>
      <c r="BT43" s="125" t="n"/>
      <c r="BU43" s="125" t="n">
        <v>0</v>
      </c>
      <c r="BV43" s="125" t="n">
        <v>0</v>
      </c>
      <c r="BW43" s="125" t="n"/>
      <c r="BX43" s="125" t="n">
        <v>0</v>
      </c>
      <c r="BY43" s="125" t="n">
        <v>0</v>
      </c>
      <c r="BZ43" s="125" t="n">
        <v>582619.33</v>
      </c>
      <c r="CA43" s="124" t="n">
        <v>24000</v>
      </c>
      <c r="CB43" s="126" t="n">
        <v>127858.32</v>
      </c>
      <c r="CD43" s="116" t="n">
        <f aca="false" ca="false" dt2D="false" dtr="false" t="normal">+CD42+1</f>
        <v>26</v>
      </c>
      <c r="CE43" s="117" t="n">
        <f aca="false" ca="false" dt2D="false" dtr="false" t="normal">+CE42+1</f>
        <v>26</v>
      </c>
      <c r="CF43" s="104" t="s">
        <v>81</v>
      </c>
      <c r="CG43" s="104" t="s">
        <v>96</v>
      </c>
      <c r="CH43" s="118" t="n">
        <f aca="false" ca="true" dt2D="false" dtr="false" t="normal">SUBTOTAL(9, CI43:CW43)</f>
        <v>3685808.05</v>
      </c>
      <c r="CI43" s="125" t="n">
        <v>2951330.4</v>
      </c>
      <c r="CJ43" s="125" t="n">
        <v>0</v>
      </c>
      <c r="CK43" s="125" t="n">
        <v>0</v>
      </c>
      <c r="CL43" s="125" t="n">
        <v>0</v>
      </c>
      <c r="CM43" s="125" t="n">
        <v>0</v>
      </c>
      <c r="CN43" s="125" t="n"/>
      <c r="CO43" s="125" t="n"/>
      <c r="CP43" s="125" t="n">
        <v>0</v>
      </c>
      <c r="CQ43" s="125" t="n">
        <v>0</v>
      </c>
      <c r="CR43" s="125" t="n"/>
      <c r="CS43" s="125" t="n">
        <v>0</v>
      </c>
      <c r="CT43" s="125" t="n">
        <v>0</v>
      </c>
      <c r="CU43" s="125" t="n">
        <v>582619.33</v>
      </c>
      <c r="CV43" s="124" t="n">
        <v>24000</v>
      </c>
      <c r="CW43" s="126" t="n">
        <v>127858.32</v>
      </c>
      <c r="CZ43" s="104" t="s">
        <v>96</v>
      </c>
      <c r="DA43" s="119" t="n">
        <f aca="false" ca="true" dt2D="false" dtr="false" t="normal">SUBTOTAL(9, DB43:DP43)</f>
        <v>3557949.73</v>
      </c>
      <c r="DB43" s="125" t="n">
        <v>2951330.4</v>
      </c>
      <c r="DC43" s="125" t="n">
        <v>0</v>
      </c>
      <c r="DD43" s="125" t="n">
        <v>0</v>
      </c>
      <c r="DE43" s="125" t="n">
        <v>0</v>
      </c>
      <c r="DF43" s="125" t="n">
        <v>0</v>
      </c>
      <c r="DG43" s="125" t="n"/>
      <c r="DH43" s="125" t="n"/>
      <c r="DI43" s="125" t="n">
        <v>0</v>
      </c>
      <c r="DJ43" s="125" t="n">
        <v>0</v>
      </c>
      <c r="DK43" s="125" t="n"/>
      <c r="DL43" s="125" t="n">
        <v>0</v>
      </c>
      <c r="DM43" s="125" t="n">
        <v>0</v>
      </c>
      <c r="DN43" s="125" t="n">
        <v>582619.33</v>
      </c>
      <c r="DO43" s="124" t="n">
        <v>24000</v>
      </c>
      <c r="DP43" s="127" t="n"/>
      <c r="DQ43" s="3" t="n">
        <f aca="false" ca="false" dt2D="false" dtr="false" t="normal">N43-DA43</f>
        <v>0</v>
      </c>
      <c r="DS43" s="17" t="n"/>
    </row>
    <row hidden="false" ht="15" outlineLevel="0" r="44">
      <c r="A44" s="103" t="n">
        <f aca="false" ca="false" dt2D="false" dtr="false" t="normal">+A43+1</f>
        <v>27</v>
      </c>
      <c r="B44" s="104" t="n">
        <f aca="false" ca="false" dt2D="false" dtr="false" t="normal">+B43+1</f>
        <v>27</v>
      </c>
      <c r="C44" s="104" t="s">
        <v>78</v>
      </c>
      <c r="D44" s="104" t="s">
        <v>97</v>
      </c>
      <c r="E44" s="105" t="n">
        <v>1990</v>
      </c>
      <c r="F44" s="105" t="n">
        <v>1990</v>
      </c>
      <c r="G44" s="105" t="s">
        <v>68</v>
      </c>
      <c r="H44" s="105" t="n">
        <v>5</v>
      </c>
      <c r="I44" s="105" t="n">
        <v>8</v>
      </c>
      <c r="J44" s="106" t="n">
        <v>7467.3</v>
      </c>
      <c r="K44" s="106" t="n">
        <v>6603.4</v>
      </c>
      <c r="L44" s="106" t="n">
        <v>0</v>
      </c>
      <c r="M44" s="107" t="n">
        <v>290</v>
      </c>
      <c r="N44" s="108" t="n">
        <f aca="false" ca="false" dt2D="false" dtr="false" t="normal">SUM(P44:T44)</f>
        <v>8504765.02</v>
      </c>
      <c r="O44" s="109" t="n"/>
      <c r="P44" s="114" t="n"/>
      <c r="Q44" s="114" t="n"/>
      <c r="R44" s="114" t="n">
        <v>3767863.03</v>
      </c>
      <c r="S44" s="114" t="n">
        <v>4736901.99</v>
      </c>
      <c r="T44" s="106" t="n">
        <v>0</v>
      </c>
      <c r="U44" s="114" t="n">
        <v>1369.22254399925</v>
      </c>
      <c r="V44" s="114" t="n">
        <v>1369.22254399925</v>
      </c>
      <c r="W44" s="110" t="n">
        <v>2022</v>
      </c>
      <c r="X44" s="9" t="e">
        <f aca="false" ca="false" dt2D="false" dtr="false" t="normal">+#REF!-'[9]Приложение №1'!$P577</f>
        <v>#REF!</v>
      </c>
      <c r="Z44" s="113" t="n">
        <f aca="false" ca="false" dt2D="false" dtr="false" t="normal">SUM(AA44:AO44)</f>
        <v>28006015.63717457</v>
      </c>
      <c r="AA44" s="106" t="n">
        <v>13104160.7493895</v>
      </c>
      <c r="AB44" s="106" t="n">
        <v>5608871.08650558</v>
      </c>
      <c r="AC44" s="106" t="n">
        <v>0</v>
      </c>
      <c r="AD44" s="106" t="n">
        <v>5288344.37078439</v>
      </c>
      <c r="AE44" s="106" t="n">
        <v>0</v>
      </c>
      <c r="AF44" s="106" t="n"/>
      <c r="AG44" s="106" t="n">
        <v>544066.864622543</v>
      </c>
      <c r="AH44" s="106" t="n">
        <v>0</v>
      </c>
      <c r="AI44" s="106" t="n">
        <v>0</v>
      </c>
      <c r="AJ44" s="106" t="n">
        <v>0</v>
      </c>
      <c r="AK44" s="106" t="n">
        <v>0</v>
      </c>
      <c r="AL44" s="106" t="n">
        <v>0</v>
      </c>
      <c r="AM44" s="106" t="n">
        <v>2643753.28245619</v>
      </c>
      <c r="AN44" s="114" t="n">
        <v>280060.156371745</v>
      </c>
      <c r="AO44" s="115" t="n">
        <v>536759.127044617</v>
      </c>
      <c r="AP44" s="112" t="n">
        <f aca="false" ca="false" dt2D="false" dtr="false" t="normal">+N44-'Приложение №2'!E44</f>
        <v>0</v>
      </c>
      <c r="AQ44" s="1" t="n">
        <v>3256134.06</v>
      </c>
      <c r="AR44" s="3" t="n">
        <f aca="false" ca="false" dt2D="false" dtr="false" t="normal">+(K44*10+L44*20)*12*0.85</f>
        <v>673546.7999999999</v>
      </c>
      <c r="AS44" s="3" t="n">
        <f aca="false" ca="false" dt2D="false" dtr="false" t="normal">+(K44*10+L44*20)*12*30</f>
        <v>23772240</v>
      </c>
      <c r="AT44" s="9" t="n">
        <f aca="false" ca="false" dt2D="false" dtr="false" t="normal">+S44-AS44</f>
        <v>-19035338.009999998</v>
      </c>
      <c r="AW44" s="113" t="n">
        <f aca="false" ca="true" dt2D="false" dtr="false" t="normal">SUBTOTAL(9, AX44:BL44)</f>
        <v>9041524.147044616</v>
      </c>
      <c r="AX44" s="106" t="n">
        <v>3433452.29</v>
      </c>
      <c r="AY44" s="106" t="n">
        <v>2760585.92</v>
      </c>
      <c r="AZ44" s="106" t="n">
        <v>0</v>
      </c>
      <c r="BA44" s="106" t="n">
        <v>2310726.81</v>
      </c>
      <c r="BB44" s="106" t="n">
        <v>0</v>
      </c>
      <c r="BC44" s="106" t="n"/>
      <c r="BD44" s="106" t="n"/>
      <c r="BE44" s="106" t="n">
        <v>0</v>
      </c>
      <c r="BF44" s="106" t="n">
        <v>0</v>
      </c>
      <c r="BG44" s="106" t="n">
        <v>0</v>
      </c>
      <c r="BH44" s="106" t="n">
        <v>0</v>
      </c>
      <c r="BI44" s="106" t="n">
        <v>0</v>
      </c>
      <c r="BJ44" s="106" t="n"/>
      <c r="BK44" s="114" t="n"/>
      <c r="BL44" s="115" t="n">
        <v>536759.127044617</v>
      </c>
      <c r="BM44" s="14" t="n">
        <f aca="false" ca="true" dt2D="false" dtr="false" t="normal">SUBTOTAL(9, BN44:CB44)</f>
        <v>9041524.147044616</v>
      </c>
      <c r="BN44" s="106" t="n">
        <v>3433452.29</v>
      </c>
      <c r="BO44" s="106" t="n">
        <v>2760585.92</v>
      </c>
      <c r="BP44" s="106" t="n">
        <v>0</v>
      </c>
      <c r="BQ44" s="106" t="n">
        <v>2310726.81</v>
      </c>
      <c r="BR44" s="106" t="n">
        <v>0</v>
      </c>
      <c r="BS44" s="106" t="n"/>
      <c r="BT44" s="106" t="n"/>
      <c r="BU44" s="106" t="n">
        <v>0</v>
      </c>
      <c r="BV44" s="106" t="n">
        <v>0</v>
      </c>
      <c r="BW44" s="106" t="n">
        <v>0</v>
      </c>
      <c r="BX44" s="106" t="n">
        <v>0</v>
      </c>
      <c r="BY44" s="106" t="n">
        <v>0</v>
      </c>
      <c r="BZ44" s="106" t="n"/>
      <c r="CA44" s="114" t="n"/>
      <c r="CB44" s="115" t="n">
        <v>536759.127044617</v>
      </c>
      <c r="CD44" s="116" t="n">
        <f aca="false" ca="false" dt2D="false" dtr="false" t="normal">+CD43+1</f>
        <v>27</v>
      </c>
      <c r="CE44" s="117" t="n">
        <f aca="false" ca="false" dt2D="false" dtr="false" t="normal">+CE43+1</f>
        <v>27</v>
      </c>
      <c r="CF44" s="104" t="s">
        <v>78</v>
      </c>
      <c r="CG44" s="104" t="s">
        <v>97</v>
      </c>
      <c r="CH44" s="118" t="n">
        <f aca="false" ca="true" dt2D="false" dtr="false" t="normal">SUBTOTAL(9, CI44:CW44)</f>
        <v>9041524.147044616</v>
      </c>
      <c r="CI44" s="106" t="n">
        <v>3433452.29</v>
      </c>
      <c r="CJ44" s="106" t="n">
        <v>2760585.92</v>
      </c>
      <c r="CK44" s="106" t="n">
        <v>0</v>
      </c>
      <c r="CL44" s="106" t="n">
        <v>2310726.81</v>
      </c>
      <c r="CM44" s="106" t="n">
        <v>0</v>
      </c>
      <c r="CN44" s="106" t="n"/>
      <c r="CO44" s="106" t="n"/>
      <c r="CP44" s="106" t="n">
        <v>0</v>
      </c>
      <c r="CQ44" s="106" t="n">
        <v>0</v>
      </c>
      <c r="CR44" s="106" t="n">
        <v>0</v>
      </c>
      <c r="CS44" s="106" t="n">
        <v>0</v>
      </c>
      <c r="CT44" s="106" t="n">
        <v>0</v>
      </c>
      <c r="CU44" s="106" t="n"/>
      <c r="CV44" s="114" t="n"/>
      <c r="CW44" s="115" t="n">
        <v>536759.127044617</v>
      </c>
      <c r="CZ44" s="104" t="s">
        <v>97</v>
      </c>
      <c r="DA44" s="119" t="n">
        <f aca="false" ca="true" dt2D="false" dtr="false" t="normal">SUBTOTAL(9, DB44:DP44)</f>
        <v>8504765.02</v>
      </c>
      <c r="DB44" s="106" t="n">
        <v>3433452.29</v>
      </c>
      <c r="DC44" s="106" t="n">
        <v>2760585.92</v>
      </c>
      <c r="DD44" s="106" t="n">
        <v>0</v>
      </c>
      <c r="DE44" s="106" t="n">
        <v>2310726.81</v>
      </c>
      <c r="DF44" s="106" t="n">
        <v>0</v>
      </c>
      <c r="DG44" s="106" t="n"/>
      <c r="DH44" s="106" t="n"/>
      <c r="DI44" s="106" t="n">
        <v>0</v>
      </c>
      <c r="DJ44" s="106" t="n">
        <v>0</v>
      </c>
      <c r="DK44" s="106" t="n">
        <v>0</v>
      </c>
      <c r="DL44" s="106" t="n">
        <v>0</v>
      </c>
      <c r="DM44" s="106" t="n">
        <v>0</v>
      </c>
      <c r="DN44" s="106" t="n"/>
      <c r="DO44" s="114" t="n"/>
      <c r="DP44" s="120" t="n">
        <v>0</v>
      </c>
      <c r="DQ44" s="3" t="n">
        <f aca="false" ca="false" dt2D="false" dtr="false" t="normal">N44-DA44</f>
        <v>0</v>
      </c>
      <c r="DS44" s="9" t="n"/>
    </row>
    <row hidden="false" ht="15" outlineLevel="0" r="45">
      <c r="A45" s="103" t="n">
        <f aca="false" ca="false" dt2D="false" dtr="false" t="normal">+A44+1</f>
        <v>28</v>
      </c>
      <c r="B45" s="104" t="n">
        <f aca="false" ca="false" dt2D="false" dtr="false" t="normal">+B44+1</f>
        <v>28</v>
      </c>
      <c r="C45" s="104" t="s">
        <v>78</v>
      </c>
      <c r="D45" s="104" t="s">
        <v>98</v>
      </c>
      <c r="E45" s="105" t="n">
        <v>1986</v>
      </c>
      <c r="F45" s="105" t="n">
        <v>2013</v>
      </c>
      <c r="G45" s="105" t="s">
        <v>68</v>
      </c>
      <c r="H45" s="105" t="n">
        <v>5</v>
      </c>
      <c r="I45" s="105" t="n">
        <v>3</v>
      </c>
      <c r="J45" s="106" t="n">
        <v>4428.4</v>
      </c>
      <c r="K45" s="106" t="n">
        <v>3725.8</v>
      </c>
      <c r="L45" s="106" t="n">
        <v>0</v>
      </c>
      <c r="M45" s="107" t="n">
        <v>153</v>
      </c>
      <c r="N45" s="108" t="n">
        <f aca="false" ca="false" dt2D="false" dtr="false" t="normal">SUM(P45:T45)</f>
        <v>5115227.17</v>
      </c>
      <c r="O45" s="106" t="n"/>
      <c r="P45" s="114" t="n"/>
      <c r="Q45" s="114" t="n"/>
      <c r="R45" s="114" t="n">
        <v>2244260.13</v>
      </c>
      <c r="S45" s="114" t="n">
        <v>2870967.04</v>
      </c>
      <c r="T45" s="106" t="n">
        <v>0</v>
      </c>
      <c r="U45" s="114" t="n">
        <v>1423.1670061272</v>
      </c>
      <c r="V45" s="114" t="n">
        <v>1423.1670061272</v>
      </c>
      <c r="W45" s="110" t="n">
        <v>2022</v>
      </c>
      <c r="X45" s="9" t="e">
        <f aca="false" ca="false" dt2D="false" dtr="false" t="normal">+#REF!-'[9]Приложение №1'!$P1347</f>
        <v>#REF!</v>
      </c>
      <c r="Z45" s="113" t="n">
        <f aca="false" ca="false" dt2D="false" dtr="false" t="normal">SUM(AA45:AO45)</f>
        <v>12150273.237424362</v>
      </c>
      <c r="AA45" s="106" t="n">
        <v>7382843.46525461</v>
      </c>
      <c r="AB45" s="106" t="n">
        <v>0</v>
      </c>
      <c r="AC45" s="106" t="n">
        <v>0</v>
      </c>
      <c r="AD45" s="106" t="n">
        <v>2979436.7931331</v>
      </c>
      <c r="AE45" s="106" t="n">
        <v>0</v>
      </c>
      <c r="AF45" s="106" t="n"/>
      <c r="AG45" s="106" t="n">
        <v>306525.581680402</v>
      </c>
      <c r="AH45" s="106" t="n">
        <v>0</v>
      </c>
      <c r="AI45" s="106" t="n">
        <v>0</v>
      </c>
      <c r="AJ45" s="106" t="n">
        <v>0</v>
      </c>
      <c r="AK45" s="106" t="n">
        <v>0</v>
      </c>
      <c r="AL45" s="106" t="n">
        <v>0</v>
      </c>
      <c r="AM45" s="106" t="n">
        <v>1126659.48924375</v>
      </c>
      <c r="AN45" s="114" t="n">
        <v>121502.732374244</v>
      </c>
      <c r="AO45" s="115" t="n">
        <v>233305.175738256</v>
      </c>
      <c r="AP45" s="112" t="n">
        <f aca="false" ca="false" dt2D="false" dtr="false" t="normal">+N45-'Приложение №2'!E45</f>
        <v>0</v>
      </c>
      <c r="AQ45" s="1" t="n">
        <v>1864228.53</v>
      </c>
      <c r="AR45" s="3" t="n">
        <f aca="false" ca="false" dt2D="false" dtr="false" t="normal">+(K45*10+L45*20)*12*0.85</f>
        <v>380031.6</v>
      </c>
      <c r="AS45" s="3" t="n">
        <f aca="false" ca="false" dt2D="false" dtr="false" t="normal">+(K45*10+L45*20)*12*30</f>
        <v>13412880</v>
      </c>
      <c r="AT45" s="9" t="n">
        <f aca="false" ca="false" dt2D="false" dtr="false" t="normal">+S45-AS45</f>
        <v>-10541912.96</v>
      </c>
      <c r="AW45" s="113" t="n">
        <f aca="false" ca="true" dt2D="false" dtr="false" t="normal">SUBTOTAL(9, AX45:BL45)</f>
        <v>5302435.631428724</v>
      </c>
      <c r="AX45" s="106" t="n"/>
      <c r="AY45" s="106" t="n">
        <v>0</v>
      </c>
      <c r="AZ45" s="106" t="n">
        <v>0</v>
      </c>
      <c r="BA45" s="106" t="n"/>
      <c r="BB45" s="106" t="n">
        <v>0</v>
      </c>
      <c r="BC45" s="106" t="n"/>
      <c r="BD45" s="106" t="n"/>
      <c r="BE45" s="106" t="n">
        <v>0</v>
      </c>
      <c r="BF45" s="106" t="n">
        <v>0</v>
      </c>
      <c r="BG45" s="106" t="n">
        <v>5115227.17</v>
      </c>
      <c r="BH45" s="106" t="n">
        <v>0</v>
      </c>
      <c r="BI45" s="106" t="n">
        <v>0</v>
      </c>
      <c r="BJ45" s="106" t="n"/>
      <c r="BK45" s="114" t="n"/>
      <c r="BL45" s="115" t="n">
        <v>187208.461428724</v>
      </c>
      <c r="BM45" s="14" t="n">
        <f aca="false" ca="true" dt2D="false" dtr="false" t="normal">SUBTOTAL(9, BN45:CB45)</f>
        <v>5302435.631428724</v>
      </c>
      <c r="BN45" s="106" t="n"/>
      <c r="BO45" s="106" t="n">
        <v>0</v>
      </c>
      <c r="BP45" s="106" t="n">
        <v>0</v>
      </c>
      <c r="BQ45" s="106" t="n"/>
      <c r="BR45" s="106" t="n">
        <v>0</v>
      </c>
      <c r="BS45" s="106" t="n"/>
      <c r="BT45" s="106" t="n"/>
      <c r="BU45" s="106" t="n">
        <v>0</v>
      </c>
      <c r="BV45" s="106" t="n">
        <v>0</v>
      </c>
      <c r="BW45" s="106" t="n">
        <v>5115227.17</v>
      </c>
      <c r="BX45" s="106" t="n">
        <v>0</v>
      </c>
      <c r="BY45" s="106" t="n">
        <v>0</v>
      </c>
      <c r="BZ45" s="106" t="n"/>
      <c r="CA45" s="114" t="n"/>
      <c r="CB45" s="115" t="n">
        <v>187208.461428724</v>
      </c>
      <c r="CD45" s="116" t="n">
        <f aca="false" ca="false" dt2D="false" dtr="false" t="normal">+CD44+1</f>
        <v>28</v>
      </c>
      <c r="CE45" s="117" t="n">
        <f aca="false" ca="false" dt2D="false" dtr="false" t="normal">+CE44+1</f>
        <v>28</v>
      </c>
      <c r="CF45" s="104" t="s">
        <v>78</v>
      </c>
      <c r="CG45" s="104" t="s">
        <v>98</v>
      </c>
      <c r="CH45" s="118" t="n">
        <f aca="false" ca="true" dt2D="false" dtr="false" t="normal">SUBTOTAL(9, CI45:CW45)</f>
        <v>5302435.631428724</v>
      </c>
      <c r="CI45" s="106" t="n"/>
      <c r="CJ45" s="106" t="n">
        <v>0</v>
      </c>
      <c r="CK45" s="106" t="n">
        <v>0</v>
      </c>
      <c r="CL45" s="106" t="n"/>
      <c r="CM45" s="106" t="n">
        <v>0</v>
      </c>
      <c r="CN45" s="106" t="n"/>
      <c r="CO45" s="106" t="n"/>
      <c r="CP45" s="106" t="n">
        <v>0</v>
      </c>
      <c r="CQ45" s="106" t="n">
        <v>0</v>
      </c>
      <c r="CR45" s="106" t="n">
        <v>5115227.17</v>
      </c>
      <c r="CS45" s="106" t="n">
        <v>0</v>
      </c>
      <c r="CT45" s="106" t="n">
        <v>0</v>
      </c>
      <c r="CU45" s="106" t="n"/>
      <c r="CV45" s="114" t="n"/>
      <c r="CW45" s="115" t="n">
        <v>187208.461428724</v>
      </c>
      <c r="CZ45" s="104" t="s">
        <v>98</v>
      </c>
      <c r="DA45" s="119" t="n">
        <f aca="false" ca="true" dt2D="false" dtr="false" t="normal">SUBTOTAL(9, DB45:DP45)</f>
        <v>5115227.17</v>
      </c>
      <c r="DB45" s="106" t="n"/>
      <c r="DC45" s="106" t="n">
        <v>0</v>
      </c>
      <c r="DD45" s="106" t="n">
        <v>0</v>
      </c>
      <c r="DE45" s="106" t="n"/>
      <c r="DF45" s="106" t="n">
        <v>0</v>
      </c>
      <c r="DG45" s="106" t="n"/>
      <c r="DH45" s="106" t="n"/>
      <c r="DI45" s="106" t="n">
        <v>0</v>
      </c>
      <c r="DJ45" s="106" t="n">
        <v>0</v>
      </c>
      <c r="DK45" s="106" t="n">
        <v>5115227.17</v>
      </c>
      <c r="DL45" s="106" t="n">
        <v>0</v>
      </c>
      <c r="DM45" s="106" t="n">
        <v>0</v>
      </c>
      <c r="DN45" s="106" t="n"/>
      <c r="DO45" s="114" t="n"/>
      <c r="DP45" s="122" t="n"/>
      <c r="DQ45" s="3" t="n">
        <f aca="false" ca="false" dt2D="false" dtr="false" t="normal">N45-DA45</f>
        <v>0</v>
      </c>
      <c r="DS45" s="9" t="n"/>
    </row>
    <row hidden="false" ht="15" outlineLevel="0" r="46">
      <c r="A46" s="103" t="n">
        <f aca="false" ca="false" dt2D="false" dtr="false" t="normal">+A45+1</f>
        <v>29</v>
      </c>
      <c r="B46" s="104" t="n">
        <f aca="false" ca="false" dt2D="false" dtr="false" t="normal">+B45+1</f>
        <v>29</v>
      </c>
      <c r="C46" s="104" t="s">
        <v>78</v>
      </c>
      <c r="D46" s="104" t="s">
        <v>99</v>
      </c>
      <c r="E46" s="105" t="n">
        <v>1982</v>
      </c>
      <c r="F46" s="105" t="n">
        <v>2015</v>
      </c>
      <c r="G46" s="105" t="s">
        <v>68</v>
      </c>
      <c r="H46" s="105" t="n">
        <v>5</v>
      </c>
      <c r="I46" s="105" t="n">
        <v>2</v>
      </c>
      <c r="J46" s="106" t="n">
        <v>4442.3</v>
      </c>
      <c r="K46" s="106" t="n">
        <v>3156.5</v>
      </c>
      <c r="L46" s="106" t="n">
        <v>550.3</v>
      </c>
      <c r="M46" s="107" t="n">
        <v>201</v>
      </c>
      <c r="N46" s="108" t="n">
        <f aca="false" ca="false" dt2D="false" dtr="false" t="normal">SUM(P46:T46)</f>
        <v>4339069.35</v>
      </c>
      <c r="O46" s="106" t="n"/>
      <c r="P46" s="114" t="n"/>
      <c r="Q46" s="114" t="n"/>
      <c r="R46" s="114" t="n">
        <v>2476157.23</v>
      </c>
      <c r="S46" s="114" t="n">
        <v>1862912.12</v>
      </c>
      <c r="T46" s="106" t="n">
        <v>0</v>
      </c>
      <c r="U46" s="114" t="n">
        <v>1207.37401156335</v>
      </c>
      <c r="V46" s="114" t="n">
        <v>1207.37401156335</v>
      </c>
      <c r="W46" s="110" t="n">
        <v>2022</v>
      </c>
      <c r="X46" s="9" t="e">
        <f aca="false" ca="false" dt2D="false" dtr="false" t="normal">+#REF!-'[9]Приложение №1'!$P1351</f>
        <v>#REF!</v>
      </c>
      <c r="Z46" s="113" t="n">
        <f aca="false" ca="false" dt2D="false" dtr="false" t="normal">SUM(AA46:AO46)</f>
        <v>7162902.240000001</v>
      </c>
      <c r="AA46" s="106" t="n">
        <v>0</v>
      </c>
      <c r="AB46" s="106" t="n">
        <v>0</v>
      </c>
      <c r="AC46" s="106" t="n">
        <v>0</v>
      </c>
      <c r="AD46" s="106" t="n">
        <v>0</v>
      </c>
      <c r="AE46" s="106" t="n">
        <v>0</v>
      </c>
      <c r="AF46" s="106" t="n"/>
      <c r="AG46" s="106" t="n">
        <v>0</v>
      </c>
      <c r="AH46" s="106" t="n">
        <v>0</v>
      </c>
      <c r="AI46" s="106" t="n">
        <v>0</v>
      </c>
      <c r="AJ46" s="106" t="n">
        <v>6238558.35753696</v>
      </c>
      <c r="AK46" s="106" t="n">
        <v>0</v>
      </c>
      <c r="AL46" s="106" t="n">
        <v>0</v>
      </c>
      <c r="AM46" s="106" t="n">
        <v>716290.224</v>
      </c>
      <c r="AN46" s="114" t="n">
        <v>71629.0224</v>
      </c>
      <c r="AO46" s="115" t="n">
        <v>136424.63606304</v>
      </c>
      <c r="AP46" s="112" t="n">
        <f aca="false" ca="false" dt2D="false" dtr="false" t="normal">+N46-'Приложение №2'!E46</f>
        <v>0</v>
      </c>
      <c r="AQ46" s="1" t="n">
        <v>2041933.03</v>
      </c>
      <c r="AR46" s="3" t="n">
        <f aca="false" ca="false" dt2D="false" dtr="false" t="normal">+(K46*10+L46*20)*12*0.85</f>
        <v>434224.2</v>
      </c>
      <c r="AS46" s="3" t="n">
        <f aca="false" ca="false" dt2D="false" dtr="false" t="normal">+(K46*10+L46*20)*12*30</f>
        <v>15325560</v>
      </c>
      <c r="AT46" s="9" t="n">
        <f aca="false" ca="false" dt2D="false" dtr="false" t="normal">+S46-AS46</f>
        <v>-13462647.879999999</v>
      </c>
      <c r="AW46" s="113" t="n">
        <f aca="false" ca="true" dt2D="false" dtr="false" t="normal">SUBTOTAL(9, AX46:BL46)</f>
        <v>4475493.98606304</v>
      </c>
      <c r="AX46" s="106" t="n">
        <v>0</v>
      </c>
      <c r="AY46" s="106" t="n">
        <v>0</v>
      </c>
      <c r="AZ46" s="106" t="n">
        <v>0</v>
      </c>
      <c r="BA46" s="106" t="n">
        <v>0</v>
      </c>
      <c r="BB46" s="106" t="n">
        <v>0</v>
      </c>
      <c r="BC46" s="106" t="n"/>
      <c r="BD46" s="106" t="n"/>
      <c r="BE46" s="106" t="n">
        <v>0</v>
      </c>
      <c r="BF46" s="106" t="n">
        <v>0</v>
      </c>
      <c r="BG46" s="106" t="n">
        <v>4339069.35</v>
      </c>
      <c r="BH46" s="106" t="n">
        <v>0</v>
      </c>
      <c r="BI46" s="106" t="n">
        <v>0</v>
      </c>
      <c r="BJ46" s="106" t="n"/>
      <c r="BK46" s="114" t="n"/>
      <c r="BL46" s="115" t="n">
        <v>136424.63606304</v>
      </c>
      <c r="BM46" s="14" t="n">
        <f aca="false" ca="true" dt2D="false" dtr="false" t="normal">SUBTOTAL(9, BN46:CB46)</f>
        <v>4475493.98606304</v>
      </c>
      <c r="BN46" s="106" t="n">
        <v>0</v>
      </c>
      <c r="BO46" s="106" t="n">
        <v>0</v>
      </c>
      <c r="BP46" s="106" t="n">
        <v>0</v>
      </c>
      <c r="BQ46" s="106" t="n">
        <v>0</v>
      </c>
      <c r="BR46" s="106" t="n">
        <v>0</v>
      </c>
      <c r="BS46" s="106" t="n"/>
      <c r="BT46" s="106" t="n"/>
      <c r="BU46" s="106" t="n">
        <v>0</v>
      </c>
      <c r="BV46" s="106" t="n">
        <v>0</v>
      </c>
      <c r="BW46" s="106" t="n">
        <v>4339069.35</v>
      </c>
      <c r="BX46" s="106" t="n">
        <v>0</v>
      </c>
      <c r="BY46" s="106" t="n">
        <v>0</v>
      </c>
      <c r="BZ46" s="106" t="n"/>
      <c r="CA46" s="114" t="n"/>
      <c r="CB46" s="115" t="n">
        <v>136424.63606304</v>
      </c>
      <c r="CD46" s="116" t="n">
        <f aca="false" ca="false" dt2D="false" dtr="false" t="normal">+CD45+1</f>
        <v>29</v>
      </c>
      <c r="CE46" s="117" t="n">
        <f aca="false" ca="false" dt2D="false" dtr="false" t="normal">+CE45+1</f>
        <v>29</v>
      </c>
      <c r="CF46" s="104" t="s">
        <v>78</v>
      </c>
      <c r="CG46" s="104" t="s">
        <v>99</v>
      </c>
      <c r="CH46" s="118" t="n">
        <f aca="false" ca="true" dt2D="false" dtr="false" t="normal">SUBTOTAL(9, CI46:CW46)</f>
        <v>4475493.98606304</v>
      </c>
      <c r="CI46" s="106" t="n">
        <v>0</v>
      </c>
      <c r="CJ46" s="106" t="n">
        <v>0</v>
      </c>
      <c r="CK46" s="106" t="n">
        <v>0</v>
      </c>
      <c r="CL46" s="106" t="n">
        <v>0</v>
      </c>
      <c r="CM46" s="106" t="n">
        <v>0</v>
      </c>
      <c r="CN46" s="106" t="n"/>
      <c r="CO46" s="106" t="n"/>
      <c r="CP46" s="106" t="n">
        <v>0</v>
      </c>
      <c r="CQ46" s="106" t="n">
        <v>0</v>
      </c>
      <c r="CR46" s="106" t="n">
        <v>4339069.35</v>
      </c>
      <c r="CS46" s="106" t="n">
        <v>0</v>
      </c>
      <c r="CT46" s="106" t="n">
        <v>0</v>
      </c>
      <c r="CU46" s="106" t="n"/>
      <c r="CV46" s="114" t="n"/>
      <c r="CW46" s="115" t="n">
        <v>136424.63606304</v>
      </c>
      <c r="CZ46" s="104" t="s">
        <v>99</v>
      </c>
      <c r="DA46" s="119" t="n">
        <f aca="false" ca="true" dt2D="false" dtr="false" t="normal">SUBTOTAL(9, DB46:DP46)</f>
        <v>4339069.35</v>
      </c>
      <c r="DB46" s="106" t="n">
        <v>0</v>
      </c>
      <c r="DC46" s="106" t="n">
        <v>0</v>
      </c>
      <c r="DD46" s="106" t="n">
        <v>0</v>
      </c>
      <c r="DE46" s="106" t="n">
        <v>0</v>
      </c>
      <c r="DF46" s="106" t="n">
        <v>0</v>
      </c>
      <c r="DG46" s="106" t="n"/>
      <c r="DH46" s="106" t="n"/>
      <c r="DI46" s="106" t="n">
        <v>0</v>
      </c>
      <c r="DJ46" s="106" t="n">
        <v>0</v>
      </c>
      <c r="DK46" s="106" t="n">
        <v>4339069.35</v>
      </c>
      <c r="DL46" s="106" t="n">
        <v>0</v>
      </c>
      <c r="DM46" s="106" t="n">
        <v>0</v>
      </c>
      <c r="DN46" s="106" t="n"/>
      <c r="DO46" s="114" t="n"/>
      <c r="DP46" s="122" t="n"/>
      <c r="DQ46" s="3" t="n">
        <f aca="false" ca="false" dt2D="false" dtr="false" t="normal">N46-DA46</f>
        <v>0</v>
      </c>
      <c r="DS46" s="9" t="n"/>
    </row>
    <row hidden="false" ht="15" outlineLevel="0" r="47">
      <c r="A47" s="103" t="n">
        <f aca="false" ca="false" dt2D="false" dtr="false" t="normal">+A46+1</f>
        <v>30</v>
      </c>
      <c r="B47" s="104" t="n">
        <f aca="false" ca="false" dt2D="false" dtr="false" t="normal">+B46+1</f>
        <v>30</v>
      </c>
      <c r="C47" s="104" t="s">
        <v>78</v>
      </c>
      <c r="D47" s="104" t="s">
        <v>100</v>
      </c>
      <c r="E47" s="105" t="n">
        <v>1982</v>
      </c>
      <c r="F47" s="105" t="n">
        <v>2015</v>
      </c>
      <c r="G47" s="105" t="s">
        <v>68</v>
      </c>
      <c r="H47" s="105" t="n">
        <v>5</v>
      </c>
      <c r="I47" s="105" t="n">
        <v>2</v>
      </c>
      <c r="J47" s="106" t="n">
        <v>4452.8</v>
      </c>
      <c r="K47" s="106" t="n">
        <v>3512.5</v>
      </c>
      <c r="L47" s="106" t="n">
        <v>318.8</v>
      </c>
      <c r="M47" s="107" t="n">
        <v>217</v>
      </c>
      <c r="N47" s="108" t="n">
        <f aca="false" ca="false" dt2D="false" dtr="false" t="normal">SUM(P47:T47)</f>
        <v>3882256.2399999998</v>
      </c>
      <c r="O47" s="106" t="n"/>
      <c r="P47" s="114" t="n"/>
      <c r="Q47" s="114" t="n"/>
      <c r="R47" s="114" t="n">
        <v>1643740.64</v>
      </c>
      <c r="S47" s="114" t="n">
        <v>1314001.95</v>
      </c>
      <c r="T47" s="106" t="n">
        <v>924513.65</v>
      </c>
      <c r="U47" s="114" t="n">
        <v>1048.42651338553</v>
      </c>
      <c r="V47" s="114" t="n">
        <v>1048.42651338553</v>
      </c>
      <c r="W47" s="110" t="n">
        <v>2022</v>
      </c>
      <c r="X47" s="9" t="e">
        <f aca="false" ca="false" dt2D="false" dtr="false" t="normal">+#REF!-'[9]Приложение №1'!$P1352</f>
        <v>#REF!</v>
      </c>
      <c r="Z47" s="113" t="n">
        <f aca="false" ca="false" dt2D="false" dtr="false" t="normal">SUM(AA47:AO47)</f>
        <v>7066064.304000005</v>
      </c>
      <c r="AA47" s="106" t="n">
        <v>0</v>
      </c>
      <c r="AB47" s="106" t="n">
        <v>0</v>
      </c>
      <c r="AC47" s="106" t="n">
        <v>0</v>
      </c>
      <c r="AD47" s="106" t="n">
        <v>0</v>
      </c>
      <c r="AE47" s="106" t="n">
        <v>0</v>
      </c>
      <c r="AF47" s="106" t="n"/>
      <c r="AG47" s="106" t="n">
        <v>0</v>
      </c>
      <c r="AH47" s="106" t="n">
        <v>0</v>
      </c>
      <c r="AI47" s="106" t="n">
        <v>0</v>
      </c>
      <c r="AJ47" s="106" t="n">
        <v>6154216.96982602</v>
      </c>
      <c r="AK47" s="106" t="n">
        <v>0</v>
      </c>
      <c r="AL47" s="106" t="n">
        <v>0</v>
      </c>
      <c r="AM47" s="106" t="n">
        <v>706606.4304</v>
      </c>
      <c r="AN47" s="114" t="n">
        <v>70660.64304</v>
      </c>
      <c r="AO47" s="115" t="n">
        <v>134580.260733984</v>
      </c>
      <c r="AP47" s="112" t="n">
        <f aca="false" ca="false" dt2D="false" dtr="false" t="normal">+N47-'Приложение №2'!E47</f>
        <v>0</v>
      </c>
      <c r="AQ47" s="1" t="n">
        <v>1702606.52</v>
      </c>
      <c r="AR47" s="3" t="n">
        <f aca="false" ca="false" dt2D="false" dtr="false" t="normal">+(K47*10+L47*20)*12*0.85</f>
        <v>423310.2</v>
      </c>
      <c r="AS47" s="3" t="n">
        <f aca="false" ca="false" dt2D="false" dtr="false" t="normal">+(K47*10+L47*20)*12*30</f>
        <v>14940360</v>
      </c>
      <c r="AT47" s="9" t="n">
        <f aca="false" ca="false" dt2D="false" dtr="false" t="normal">+S47-AS47</f>
        <v>-13626358.05</v>
      </c>
      <c r="AW47" s="113" t="n">
        <f aca="false" ca="true" dt2D="false" dtr="false" t="normal">SUBTOTAL(9, AX47:BL47)</f>
        <v>4016836.500733984</v>
      </c>
      <c r="AX47" s="106" t="n">
        <v>0</v>
      </c>
      <c r="AY47" s="106" t="n">
        <v>0</v>
      </c>
      <c r="AZ47" s="106" t="n">
        <v>0</v>
      </c>
      <c r="BA47" s="106" t="n">
        <v>0</v>
      </c>
      <c r="BB47" s="106" t="n">
        <v>0</v>
      </c>
      <c r="BC47" s="106" t="n"/>
      <c r="BD47" s="106" t="n"/>
      <c r="BE47" s="106" t="n">
        <v>0</v>
      </c>
      <c r="BF47" s="106" t="n">
        <v>0</v>
      </c>
      <c r="BG47" s="106" t="n">
        <v>3882256.24</v>
      </c>
      <c r="BH47" s="106" t="n">
        <v>0</v>
      </c>
      <c r="BI47" s="106" t="n">
        <v>0</v>
      </c>
      <c r="BJ47" s="106" t="n"/>
      <c r="BK47" s="114" t="n"/>
      <c r="BL47" s="115" t="n">
        <v>134580.260733984</v>
      </c>
      <c r="BM47" s="14" t="n">
        <f aca="false" ca="true" dt2D="false" dtr="false" t="normal">SUBTOTAL(9, BN47:CB47)</f>
        <v>4016836.500733984</v>
      </c>
      <c r="BN47" s="106" t="n">
        <v>0</v>
      </c>
      <c r="BO47" s="106" t="n">
        <v>0</v>
      </c>
      <c r="BP47" s="106" t="n">
        <v>0</v>
      </c>
      <c r="BQ47" s="106" t="n">
        <v>0</v>
      </c>
      <c r="BR47" s="106" t="n">
        <v>0</v>
      </c>
      <c r="BS47" s="106" t="n"/>
      <c r="BT47" s="106" t="n"/>
      <c r="BU47" s="106" t="n">
        <v>0</v>
      </c>
      <c r="BV47" s="106" t="n">
        <v>0</v>
      </c>
      <c r="BW47" s="106" t="n">
        <v>3882256.24</v>
      </c>
      <c r="BX47" s="106" t="n">
        <v>0</v>
      </c>
      <c r="BY47" s="106" t="n">
        <v>0</v>
      </c>
      <c r="BZ47" s="106" t="n"/>
      <c r="CA47" s="114" t="n"/>
      <c r="CB47" s="115" t="n">
        <v>134580.260733984</v>
      </c>
      <c r="CD47" s="116" t="n">
        <f aca="false" ca="false" dt2D="false" dtr="false" t="normal">+CD46+1</f>
        <v>30</v>
      </c>
      <c r="CE47" s="117" t="n">
        <f aca="false" ca="false" dt2D="false" dtr="false" t="normal">+CE46+1</f>
        <v>30</v>
      </c>
      <c r="CF47" s="104" t="s">
        <v>78</v>
      </c>
      <c r="CG47" s="104" t="s">
        <v>100</v>
      </c>
      <c r="CH47" s="118" t="n">
        <f aca="false" ca="true" dt2D="false" dtr="false" t="normal">SUBTOTAL(9, CI47:CW47)</f>
        <v>4016836.500733984</v>
      </c>
      <c r="CI47" s="106" t="n">
        <v>0</v>
      </c>
      <c r="CJ47" s="106" t="n">
        <v>0</v>
      </c>
      <c r="CK47" s="106" t="n">
        <v>0</v>
      </c>
      <c r="CL47" s="106" t="n">
        <v>0</v>
      </c>
      <c r="CM47" s="106" t="n">
        <v>0</v>
      </c>
      <c r="CN47" s="106" t="n"/>
      <c r="CO47" s="106" t="n"/>
      <c r="CP47" s="106" t="n">
        <v>0</v>
      </c>
      <c r="CQ47" s="106" t="n">
        <v>0</v>
      </c>
      <c r="CR47" s="106" t="n">
        <v>3882256.24</v>
      </c>
      <c r="CS47" s="106" t="n">
        <v>0</v>
      </c>
      <c r="CT47" s="106" t="n">
        <v>0</v>
      </c>
      <c r="CU47" s="106" t="n"/>
      <c r="CV47" s="114" t="n"/>
      <c r="CW47" s="115" t="n">
        <v>134580.260733984</v>
      </c>
      <c r="CZ47" s="104" t="s">
        <v>100</v>
      </c>
      <c r="DA47" s="119" t="n">
        <f aca="false" ca="true" dt2D="false" dtr="false" t="normal">SUBTOTAL(9, DB47:DP47)</f>
        <v>3882256.24</v>
      </c>
      <c r="DB47" s="106" t="n">
        <v>0</v>
      </c>
      <c r="DC47" s="106" t="n">
        <v>0</v>
      </c>
      <c r="DD47" s="106" t="n">
        <v>0</v>
      </c>
      <c r="DE47" s="106" t="n">
        <v>0</v>
      </c>
      <c r="DF47" s="106" t="n">
        <v>0</v>
      </c>
      <c r="DG47" s="106" t="n"/>
      <c r="DH47" s="106" t="n"/>
      <c r="DI47" s="106" t="n">
        <v>0</v>
      </c>
      <c r="DJ47" s="106" t="n">
        <v>0</v>
      </c>
      <c r="DK47" s="106" t="n">
        <v>3882256.24</v>
      </c>
      <c r="DL47" s="106" t="n">
        <v>0</v>
      </c>
      <c r="DM47" s="106" t="n">
        <v>0</v>
      </c>
      <c r="DN47" s="106" t="n"/>
      <c r="DO47" s="114" t="n"/>
      <c r="DP47" s="122" t="n"/>
      <c r="DQ47" s="3" t="n">
        <f aca="false" ca="false" dt2D="false" dtr="false" t="normal">N47-DA47</f>
        <v>0</v>
      </c>
      <c r="DS47" s="9" t="n"/>
    </row>
    <row hidden="false" ht="15" outlineLevel="0" r="48">
      <c r="A48" s="103" t="n">
        <f aca="false" ca="false" dt2D="false" dtr="false" t="normal">+A47+1</f>
        <v>31</v>
      </c>
      <c r="B48" s="104" t="n">
        <f aca="false" ca="false" dt2D="false" dtr="false" t="normal">+B47+1</f>
        <v>31</v>
      </c>
      <c r="C48" s="104" t="s">
        <v>78</v>
      </c>
      <c r="D48" s="104" t="s">
        <v>101</v>
      </c>
      <c r="E48" s="105" t="n">
        <v>1982</v>
      </c>
      <c r="F48" s="105" t="n">
        <v>2015</v>
      </c>
      <c r="G48" s="105" t="s">
        <v>68</v>
      </c>
      <c r="H48" s="105" t="n">
        <v>5</v>
      </c>
      <c r="I48" s="105" t="n">
        <v>2</v>
      </c>
      <c r="J48" s="106" t="n">
        <v>4432.9</v>
      </c>
      <c r="K48" s="106" t="n">
        <v>3547.5</v>
      </c>
      <c r="L48" s="106" t="n">
        <v>134.8</v>
      </c>
      <c r="M48" s="107" t="n">
        <v>210</v>
      </c>
      <c r="N48" s="108" t="n">
        <f aca="false" ca="false" dt2D="false" dtr="false" t="normal">SUM(P48:T48)</f>
        <v>3994725.91</v>
      </c>
      <c r="O48" s="106" t="n"/>
      <c r="P48" s="114" t="n"/>
      <c r="Q48" s="114" t="n"/>
      <c r="R48" s="114" t="n">
        <v>1735919.07</v>
      </c>
      <c r="S48" s="114" t="n">
        <v>1334293.18</v>
      </c>
      <c r="T48" s="106" t="n">
        <v>924513.66</v>
      </c>
      <c r="U48" s="114" t="n">
        <v>1121.38817858927</v>
      </c>
      <c r="V48" s="114" t="n">
        <v>1121.38817858927</v>
      </c>
      <c r="W48" s="110" t="n">
        <v>2022</v>
      </c>
      <c r="X48" s="9" t="e">
        <f aca="false" ca="false" dt2D="false" dtr="false" t="normal">+#REF!-'[9]Приложение №1'!$P1353</f>
        <v>#REF!</v>
      </c>
      <c r="Z48" s="113" t="n">
        <f aca="false" ca="false" dt2D="false" dtr="false" t="normal">SUM(AA48:AO48)</f>
        <v>7065093.984000004</v>
      </c>
      <c r="AA48" s="106" t="n">
        <v>0</v>
      </c>
      <c r="AB48" s="106" t="n">
        <v>0</v>
      </c>
      <c r="AC48" s="106" t="n">
        <v>0</v>
      </c>
      <c r="AD48" s="106" t="n">
        <v>0</v>
      </c>
      <c r="AE48" s="106" t="n">
        <v>0</v>
      </c>
      <c r="AF48" s="106" t="n"/>
      <c r="AG48" s="106" t="n">
        <v>0</v>
      </c>
      <c r="AH48" s="106" t="n">
        <v>0</v>
      </c>
      <c r="AI48" s="106" t="n">
        <v>0</v>
      </c>
      <c r="AJ48" s="106" t="n">
        <v>6153371.86574074</v>
      </c>
      <c r="AK48" s="106" t="n">
        <v>0</v>
      </c>
      <c r="AL48" s="106" t="n">
        <v>0</v>
      </c>
      <c r="AM48" s="106" t="n">
        <v>706509.3984</v>
      </c>
      <c r="AN48" s="114" t="n">
        <v>70650.93984</v>
      </c>
      <c r="AO48" s="115" t="n">
        <v>134561.780019264</v>
      </c>
      <c r="AP48" s="112" t="n">
        <f aca="false" ca="false" dt2D="false" dtr="false" t="normal">+N48-'Приложение №2'!E48</f>
        <v>0</v>
      </c>
      <c r="AQ48" s="1" t="n">
        <v>1792243.71</v>
      </c>
      <c r="AR48" s="3" t="n">
        <f aca="false" ca="false" dt2D="false" dtr="false" t="normal">+(K48*10+L48*20)*12*0.85</f>
        <v>389344.2</v>
      </c>
      <c r="AS48" s="3" t="n">
        <f aca="false" ca="false" dt2D="false" dtr="false" t="normal">+(K48*10+L48*20)*12*30</f>
        <v>13741560</v>
      </c>
      <c r="AT48" s="9" t="n">
        <f aca="false" ca="false" dt2D="false" dtr="false" t="normal">+S48-AS48</f>
        <v>-12407266.82</v>
      </c>
      <c r="AW48" s="113" t="n">
        <f aca="false" ca="true" dt2D="false" dtr="false" t="normal">SUBTOTAL(9, AX48:BL48)</f>
        <v>4129287.6900192644</v>
      </c>
      <c r="AX48" s="106" t="n">
        <v>0</v>
      </c>
      <c r="AY48" s="106" t="n">
        <v>0</v>
      </c>
      <c r="AZ48" s="106" t="n">
        <v>0</v>
      </c>
      <c r="BA48" s="106" t="n">
        <v>0</v>
      </c>
      <c r="BB48" s="106" t="n">
        <v>0</v>
      </c>
      <c r="BC48" s="106" t="n"/>
      <c r="BD48" s="106" t="n"/>
      <c r="BE48" s="106" t="n">
        <v>0</v>
      </c>
      <c r="BF48" s="106" t="n">
        <v>0</v>
      </c>
      <c r="BG48" s="106" t="n">
        <v>3994725.91</v>
      </c>
      <c r="BH48" s="106" t="n">
        <v>0</v>
      </c>
      <c r="BI48" s="106" t="n">
        <v>0</v>
      </c>
      <c r="BJ48" s="106" t="n"/>
      <c r="BK48" s="114" t="n"/>
      <c r="BL48" s="115" t="n">
        <v>134561.780019264</v>
      </c>
      <c r="BM48" s="14" t="n">
        <f aca="false" ca="true" dt2D="false" dtr="false" t="normal">SUBTOTAL(9, BN48:CB48)</f>
        <v>4129287.6900192644</v>
      </c>
      <c r="BN48" s="106" t="n">
        <v>0</v>
      </c>
      <c r="BO48" s="106" t="n">
        <v>0</v>
      </c>
      <c r="BP48" s="106" t="n">
        <v>0</v>
      </c>
      <c r="BQ48" s="106" t="n">
        <v>0</v>
      </c>
      <c r="BR48" s="106" t="n">
        <v>0</v>
      </c>
      <c r="BS48" s="106" t="n"/>
      <c r="BT48" s="106" t="n"/>
      <c r="BU48" s="106" t="n">
        <v>0</v>
      </c>
      <c r="BV48" s="106" t="n">
        <v>0</v>
      </c>
      <c r="BW48" s="106" t="n">
        <v>3994725.91</v>
      </c>
      <c r="BX48" s="106" t="n">
        <v>0</v>
      </c>
      <c r="BY48" s="106" t="n">
        <v>0</v>
      </c>
      <c r="BZ48" s="106" t="n"/>
      <c r="CA48" s="114" t="n"/>
      <c r="CB48" s="115" t="n">
        <v>134561.780019264</v>
      </c>
      <c r="CD48" s="116" t="n">
        <f aca="false" ca="false" dt2D="false" dtr="false" t="normal">+CD47+1</f>
        <v>31</v>
      </c>
      <c r="CE48" s="117" t="n">
        <f aca="false" ca="false" dt2D="false" dtr="false" t="normal">+CE47+1</f>
        <v>31</v>
      </c>
      <c r="CF48" s="104" t="s">
        <v>78</v>
      </c>
      <c r="CG48" s="104" t="s">
        <v>101</v>
      </c>
      <c r="CH48" s="118" t="n">
        <f aca="false" ca="true" dt2D="false" dtr="false" t="normal">SUBTOTAL(9, CI48:CW48)</f>
        <v>4129287.6900192644</v>
      </c>
      <c r="CI48" s="106" t="n">
        <v>0</v>
      </c>
      <c r="CJ48" s="106" t="n">
        <v>0</v>
      </c>
      <c r="CK48" s="106" t="n">
        <v>0</v>
      </c>
      <c r="CL48" s="106" t="n">
        <v>0</v>
      </c>
      <c r="CM48" s="106" t="n">
        <v>0</v>
      </c>
      <c r="CN48" s="106" t="n"/>
      <c r="CO48" s="106" t="n"/>
      <c r="CP48" s="106" t="n">
        <v>0</v>
      </c>
      <c r="CQ48" s="106" t="n">
        <v>0</v>
      </c>
      <c r="CR48" s="106" t="n">
        <v>3994725.91</v>
      </c>
      <c r="CS48" s="106" t="n">
        <v>0</v>
      </c>
      <c r="CT48" s="106" t="n">
        <v>0</v>
      </c>
      <c r="CU48" s="106" t="n"/>
      <c r="CV48" s="114" t="n"/>
      <c r="CW48" s="115" t="n">
        <v>134561.780019264</v>
      </c>
      <c r="CZ48" s="104" t="s">
        <v>101</v>
      </c>
      <c r="DA48" s="119" t="n">
        <f aca="false" ca="true" dt2D="false" dtr="false" t="normal">SUBTOTAL(9, DB48:DP48)</f>
        <v>3994725.91</v>
      </c>
      <c r="DB48" s="106" t="n">
        <v>0</v>
      </c>
      <c r="DC48" s="106" t="n">
        <v>0</v>
      </c>
      <c r="DD48" s="106" t="n">
        <v>0</v>
      </c>
      <c r="DE48" s="106" t="n">
        <v>0</v>
      </c>
      <c r="DF48" s="106" t="n">
        <v>0</v>
      </c>
      <c r="DG48" s="106" t="n"/>
      <c r="DH48" s="106" t="n"/>
      <c r="DI48" s="106" t="n">
        <v>0</v>
      </c>
      <c r="DJ48" s="106" t="n">
        <v>0</v>
      </c>
      <c r="DK48" s="106" t="n">
        <v>3994725.91</v>
      </c>
      <c r="DL48" s="106" t="n">
        <v>0</v>
      </c>
      <c r="DM48" s="106" t="n">
        <v>0</v>
      </c>
      <c r="DN48" s="106" t="n"/>
      <c r="DO48" s="114" t="n"/>
      <c r="DP48" s="122" t="n"/>
      <c r="DQ48" s="3" t="n">
        <f aca="false" ca="false" dt2D="false" dtr="false" t="normal">N48-DA48</f>
        <v>0</v>
      </c>
      <c r="DS48" s="9" t="n"/>
    </row>
    <row hidden="false" ht="15" outlineLevel="0" r="49">
      <c r="A49" s="103" t="n">
        <f aca="false" ca="false" dt2D="false" dtr="false" t="normal">+A48+1</f>
        <v>32</v>
      </c>
      <c r="B49" s="104" t="n">
        <f aca="false" ca="false" dt2D="false" dtr="false" t="normal">+B48+1</f>
        <v>32</v>
      </c>
      <c r="C49" s="104" t="s">
        <v>78</v>
      </c>
      <c r="D49" s="104" t="s">
        <v>102</v>
      </c>
      <c r="E49" s="105" t="s">
        <v>103</v>
      </c>
      <c r="F49" s="105" t="n"/>
      <c r="G49" s="105" t="s">
        <v>68</v>
      </c>
      <c r="H49" s="105" t="s">
        <v>104</v>
      </c>
      <c r="I49" s="105" t="s">
        <v>105</v>
      </c>
      <c r="J49" s="106" t="n">
        <v>4415.9</v>
      </c>
      <c r="K49" s="106" t="n">
        <v>2900.4</v>
      </c>
      <c r="L49" s="106" t="n">
        <v>868.6</v>
      </c>
      <c r="M49" s="107" t="n">
        <v>169</v>
      </c>
      <c r="N49" s="108" t="n">
        <f aca="false" ca="false" dt2D="false" dtr="false" t="normal">SUM(P49:T49)</f>
        <v>3410025.96</v>
      </c>
      <c r="O49" s="109" t="n">
        <v>0</v>
      </c>
      <c r="P49" s="114" t="n">
        <v>0</v>
      </c>
      <c r="Q49" s="114" t="n">
        <v>0</v>
      </c>
      <c r="R49" s="114" t="n">
        <v>3410025.96</v>
      </c>
      <c r="S49" s="114" t="n"/>
      <c r="T49" s="114" t="n">
        <v>0</v>
      </c>
      <c r="U49" s="106" t="n">
        <v>941.869591328119</v>
      </c>
      <c r="V49" s="106" t="n">
        <v>941.869591328119</v>
      </c>
      <c r="W49" s="110" t="n">
        <v>2022</v>
      </c>
      <c r="X49" s="9" t="n"/>
      <c r="Z49" s="113" t="n"/>
      <c r="AA49" s="106" t="n"/>
      <c r="AB49" s="106" t="n"/>
      <c r="AC49" s="106" t="n"/>
      <c r="AD49" s="106" t="n"/>
      <c r="AE49" s="106" t="n"/>
      <c r="AF49" s="106" t="n"/>
      <c r="AG49" s="106" t="n"/>
      <c r="AH49" s="106" t="n"/>
      <c r="AI49" s="106" t="n"/>
      <c r="AJ49" s="106" t="n"/>
      <c r="AK49" s="106" t="n"/>
      <c r="AL49" s="106" t="n"/>
      <c r="AM49" s="106" t="n"/>
      <c r="AN49" s="114" t="n"/>
      <c r="AO49" s="115" t="n"/>
      <c r="AP49" s="112" t="n">
        <f aca="false" ca="false" dt2D="false" dtr="false" t="normal">+N49-'Приложение №2'!E49</f>
        <v>0</v>
      </c>
      <c r="AQ49" s="1" t="n">
        <v>3734892.48</v>
      </c>
      <c r="AR49" s="3" t="n">
        <f aca="false" ca="false" dt2D="false" dtr="false" t="normal">+(K49*10+L49*20)*12*0.85</f>
        <v>473035.2</v>
      </c>
      <c r="AS49" s="3" t="n">
        <f aca="false" ca="false" dt2D="false" dtr="false" t="normal">+(K49*10+L49*20)*12*30</f>
        <v>16695360</v>
      </c>
      <c r="AT49" s="9" t="n">
        <f aca="false" ca="false" dt2D="false" dtr="false" t="normal">+S49-AS49</f>
        <v>-16695360</v>
      </c>
      <c r="AW49" s="113" t="n">
        <f aca="false" ca="true" dt2D="false" dtr="false" t="normal">SUBTOTAL(9, AX49:BL49)</f>
        <v>3549906.48971568</v>
      </c>
      <c r="AX49" s="106" t="n">
        <v>0</v>
      </c>
      <c r="AY49" s="106" t="n">
        <v>0</v>
      </c>
      <c r="AZ49" s="106" t="n">
        <v>0</v>
      </c>
      <c r="BA49" s="106" t="n">
        <v>0</v>
      </c>
      <c r="BB49" s="106" t="n">
        <v>0</v>
      </c>
      <c r="BC49" s="106" t="n"/>
      <c r="BD49" s="106" t="n"/>
      <c r="BE49" s="106" t="n">
        <v>0</v>
      </c>
      <c r="BF49" s="106" t="n">
        <v>0</v>
      </c>
      <c r="BG49" s="106" t="n">
        <v>3410025.96</v>
      </c>
      <c r="BH49" s="106" t="n">
        <v>0</v>
      </c>
      <c r="BI49" s="106" t="n">
        <v>0</v>
      </c>
      <c r="BJ49" s="106" t="n"/>
      <c r="BK49" s="114" t="n"/>
      <c r="BL49" s="115" t="n">
        <v>139880.52971568</v>
      </c>
      <c r="BM49" s="14" t="n">
        <f aca="false" ca="true" dt2D="false" dtr="false" t="normal">SUBTOTAL(9, BN49:CB49)</f>
        <v>3549906.48971568</v>
      </c>
      <c r="BN49" s="106" t="n">
        <v>0</v>
      </c>
      <c r="BO49" s="106" t="n">
        <v>0</v>
      </c>
      <c r="BP49" s="106" t="n">
        <v>0</v>
      </c>
      <c r="BQ49" s="106" t="n">
        <v>0</v>
      </c>
      <c r="BR49" s="106" t="n">
        <v>0</v>
      </c>
      <c r="BS49" s="106" t="n"/>
      <c r="BT49" s="106" t="n"/>
      <c r="BU49" s="106" t="n">
        <v>0</v>
      </c>
      <c r="BV49" s="106" t="n">
        <v>0</v>
      </c>
      <c r="BW49" s="106" t="n">
        <v>3410025.96</v>
      </c>
      <c r="BX49" s="106" t="n">
        <v>0</v>
      </c>
      <c r="BY49" s="106" t="n">
        <v>0</v>
      </c>
      <c r="BZ49" s="106" t="n"/>
      <c r="CA49" s="114" t="n"/>
      <c r="CB49" s="115" t="n">
        <v>139880.52971568</v>
      </c>
      <c r="CD49" s="116" t="n">
        <f aca="false" ca="false" dt2D="false" dtr="false" t="normal">+CD48+1</f>
        <v>32</v>
      </c>
      <c r="CE49" s="117" t="n">
        <f aca="false" ca="false" dt2D="false" dtr="false" t="normal">+CE48+1</f>
        <v>32</v>
      </c>
      <c r="CF49" s="104" t="s">
        <v>78</v>
      </c>
      <c r="CG49" s="104" t="s">
        <v>102</v>
      </c>
      <c r="CH49" s="118" t="n">
        <f aca="false" ca="true" dt2D="false" dtr="false" t="normal">SUBTOTAL(9, CI49:CW49)</f>
        <v>3549906.48971568</v>
      </c>
      <c r="CI49" s="106" t="n">
        <v>0</v>
      </c>
      <c r="CJ49" s="106" t="n">
        <v>0</v>
      </c>
      <c r="CK49" s="106" t="n">
        <v>0</v>
      </c>
      <c r="CL49" s="106" t="n">
        <v>0</v>
      </c>
      <c r="CM49" s="106" t="n">
        <v>0</v>
      </c>
      <c r="CN49" s="106" t="n"/>
      <c r="CO49" s="106" t="n"/>
      <c r="CP49" s="106" t="n">
        <v>0</v>
      </c>
      <c r="CQ49" s="106" t="n">
        <v>0</v>
      </c>
      <c r="CR49" s="106" t="n">
        <v>3410025.96</v>
      </c>
      <c r="CS49" s="106" t="n">
        <v>0</v>
      </c>
      <c r="CT49" s="106" t="n">
        <v>0</v>
      </c>
      <c r="CU49" s="106" t="n"/>
      <c r="CV49" s="114" t="n"/>
      <c r="CW49" s="115" t="n">
        <v>139880.52971568</v>
      </c>
      <c r="CZ49" s="104" t="s">
        <v>102</v>
      </c>
      <c r="DA49" s="119" t="n">
        <f aca="false" ca="true" dt2D="false" dtr="false" t="normal">SUBTOTAL(9, DB49:DP49)</f>
        <v>3410025.96</v>
      </c>
      <c r="DB49" s="106" t="n">
        <v>0</v>
      </c>
      <c r="DC49" s="106" t="n">
        <v>0</v>
      </c>
      <c r="DD49" s="106" t="n">
        <v>0</v>
      </c>
      <c r="DE49" s="106" t="n">
        <v>0</v>
      </c>
      <c r="DF49" s="106" t="n">
        <v>0</v>
      </c>
      <c r="DG49" s="106" t="n"/>
      <c r="DH49" s="106" t="n"/>
      <c r="DI49" s="106" t="n">
        <v>0</v>
      </c>
      <c r="DJ49" s="106" t="n">
        <v>0</v>
      </c>
      <c r="DK49" s="106" t="n">
        <v>3410025.96</v>
      </c>
      <c r="DL49" s="106" t="n">
        <v>0</v>
      </c>
      <c r="DM49" s="106" t="n">
        <v>0</v>
      </c>
      <c r="DN49" s="106" t="n"/>
      <c r="DO49" s="114" t="n"/>
      <c r="DP49" s="122" t="n"/>
      <c r="DQ49" s="3" t="n">
        <f aca="false" ca="false" dt2D="false" dtr="false" t="normal">N49-DA49</f>
        <v>0</v>
      </c>
    </row>
    <row hidden="false" ht="15" outlineLevel="0" r="50">
      <c r="A50" s="103" t="n">
        <f aca="false" ca="false" dt2D="false" dtr="false" t="normal">+A49+1</f>
        <v>33</v>
      </c>
      <c r="B50" s="104" t="n">
        <f aca="false" ca="false" dt2D="false" dtr="false" t="normal">+B49+1</f>
        <v>33</v>
      </c>
      <c r="C50" s="104" t="s">
        <v>78</v>
      </c>
      <c r="D50" s="104" t="s">
        <v>106</v>
      </c>
      <c r="E50" s="105" t="n">
        <v>1983</v>
      </c>
      <c r="F50" s="105" t="n">
        <v>2008</v>
      </c>
      <c r="G50" s="105" t="s">
        <v>68</v>
      </c>
      <c r="H50" s="105" t="n">
        <v>5</v>
      </c>
      <c r="I50" s="105" t="n">
        <v>3</v>
      </c>
      <c r="J50" s="106" t="n">
        <v>5132.1</v>
      </c>
      <c r="K50" s="106" t="n">
        <v>4364.6</v>
      </c>
      <c r="L50" s="106" t="n">
        <v>0</v>
      </c>
      <c r="M50" s="107" t="n">
        <v>197</v>
      </c>
      <c r="N50" s="108" t="n">
        <f aca="false" ca="false" dt2D="false" dtr="false" t="normal">SUM(P50:T50)</f>
        <v>11789941.39</v>
      </c>
      <c r="O50" s="106" t="n"/>
      <c r="P50" s="114" t="n">
        <v>1178824.69</v>
      </c>
      <c r="Q50" s="114" t="n"/>
      <c r="R50" s="114" t="n">
        <v>2481839.07</v>
      </c>
      <c r="S50" s="114" t="n">
        <v>8129277.63</v>
      </c>
      <c r="T50" s="106" t="n">
        <v>0</v>
      </c>
      <c r="U50" s="114" t="n">
        <v>2823.48332764835</v>
      </c>
      <c r="V50" s="114" t="n">
        <v>2823.48332764835</v>
      </c>
      <c r="W50" s="110" t="n">
        <v>2022</v>
      </c>
      <c r="X50" s="9" t="e">
        <f aca="false" ca="false" dt2D="false" dtr="false" t="normal">+#REF!-'[9]Приложение №1'!$P959</f>
        <v>#REF!</v>
      </c>
      <c r="Z50" s="113" t="n">
        <f aca="false" ca="false" dt2D="false" dtr="false" t="normal">SUM(AA50:AO50)</f>
        <v>38187844.38963488</v>
      </c>
      <c r="AA50" s="106" t="n">
        <v>8573356.20182795</v>
      </c>
      <c r="AB50" s="106" t="n">
        <v>3669586.37293781</v>
      </c>
      <c r="AC50" s="106" t="n">
        <v>3275767.61949783</v>
      </c>
      <c r="AD50" s="106" t="n">
        <v>3459882.77126246</v>
      </c>
      <c r="AE50" s="106" t="n">
        <v>0</v>
      </c>
      <c r="AF50" s="106" t="n"/>
      <c r="AG50" s="106" t="n">
        <v>355954.045224765</v>
      </c>
      <c r="AH50" s="106" t="n">
        <v>0</v>
      </c>
      <c r="AI50" s="106" t="n">
        <v>14183322.7702034</v>
      </c>
      <c r="AJ50" s="106" t="n">
        <v>0</v>
      </c>
      <c r="AK50" s="106" t="n">
        <v>0</v>
      </c>
      <c r="AL50" s="106" t="n">
        <v>0</v>
      </c>
      <c r="AM50" s="106" t="n">
        <v>3555128.23783519</v>
      </c>
      <c r="AN50" s="114" t="n">
        <v>381878.443896349</v>
      </c>
      <c r="AO50" s="115" t="n">
        <v>732967.926949131</v>
      </c>
      <c r="AP50" s="112" t="n">
        <f aca="false" ca="false" dt2D="false" dtr="false" t="normal">+N50-'Приложение №2'!E50</f>
        <v>0</v>
      </c>
      <c r="AQ50" s="1" t="n">
        <v>2036649.87</v>
      </c>
      <c r="AR50" s="3" t="n">
        <f aca="false" ca="false" dt2D="false" dtr="false" t="normal">+(K50*10+L50*20)*12*0.85</f>
        <v>445189.2</v>
      </c>
      <c r="AS50" s="3" t="n">
        <f aca="false" ca="false" dt2D="false" dtr="false" t="normal">+(K50*10+L50*20)*12*30</f>
        <v>15712560</v>
      </c>
      <c r="AT50" s="9" t="n">
        <f aca="false" ca="false" dt2D="false" dtr="false" t="normal">+S50-AS50</f>
        <v>-7583282.37</v>
      </c>
      <c r="AW50" s="113" t="n">
        <f aca="false" ca="true" dt2D="false" dtr="false" t="normal">SUBTOTAL(9, AX50:BL50)</f>
        <v>12323375.331853973</v>
      </c>
      <c r="AX50" s="106" t="n">
        <v>5460916.2</v>
      </c>
      <c r="AY50" s="106" t="n"/>
      <c r="AZ50" s="106" t="n"/>
      <c r="BA50" s="106" t="n">
        <v>2605145.33</v>
      </c>
      <c r="BB50" s="106" t="n">
        <v>0</v>
      </c>
      <c r="BC50" s="106" t="n"/>
      <c r="BD50" s="106" t="n"/>
      <c r="BE50" s="106" t="n">
        <v>0</v>
      </c>
      <c r="BF50" s="106" t="n">
        <v>3676226.7</v>
      </c>
      <c r="BG50" s="106" t="n">
        <v>0</v>
      </c>
      <c r="BH50" s="106" t="n">
        <v>0</v>
      </c>
      <c r="BI50" s="106" t="n">
        <v>0</v>
      </c>
      <c r="BJ50" s="106" t="n"/>
      <c r="BK50" s="114" t="n"/>
      <c r="BL50" s="115" t="n">
        <v>581087.101853972</v>
      </c>
      <c r="BM50" s="14" t="n">
        <f aca="false" ca="true" dt2D="false" dtr="false" t="normal">SUBTOTAL(9, BN50:CB50)</f>
        <v>12323375.331853973</v>
      </c>
      <c r="BN50" s="106" t="n">
        <v>5460916.2</v>
      </c>
      <c r="BO50" s="106" t="n"/>
      <c r="BP50" s="106" t="n"/>
      <c r="BQ50" s="106" t="n">
        <v>2605145.33</v>
      </c>
      <c r="BR50" s="106" t="n">
        <v>0</v>
      </c>
      <c r="BS50" s="106" t="n"/>
      <c r="BT50" s="106" t="n"/>
      <c r="BU50" s="106" t="n">
        <v>0</v>
      </c>
      <c r="BV50" s="106" t="n">
        <v>3676226.7</v>
      </c>
      <c r="BW50" s="106" t="n">
        <v>0</v>
      </c>
      <c r="BX50" s="106" t="n">
        <v>0</v>
      </c>
      <c r="BY50" s="106" t="n">
        <v>0</v>
      </c>
      <c r="BZ50" s="106" t="n"/>
      <c r="CA50" s="114" t="n"/>
      <c r="CB50" s="115" t="n">
        <v>581087.101853972</v>
      </c>
      <c r="CD50" s="116" t="n">
        <f aca="false" ca="false" dt2D="false" dtr="false" t="normal">+CD49+1</f>
        <v>33</v>
      </c>
      <c r="CE50" s="117" t="n">
        <f aca="false" ca="false" dt2D="false" dtr="false" t="normal">+CE49+1</f>
        <v>33</v>
      </c>
      <c r="CF50" s="104" t="s">
        <v>78</v>
      </c>
      <c r="CG50" s="104" t="s">
        <v>106</v>
      </c>
      <c r="CH50" s="118" t="n">
        <f aca="false" ca="true" dt2D="false" dtr="false" t="normal">SUBTOTAL(9, CI50:CW50)</f>
        <v>12323375.331853973</v>
      </c>
      <c r="CI50" s="106" t="n">
        <v>5460916.2</v>
      </c>
      <c r="CJ50" s="106" t="n"/>
      <c r="CK50" s="106" t="n"/>
      <c r="CL50" s="106" t="n">
        <v>2605145.33</v>
      </c>
      <c r="CM50" s="106" t="n">
        <v>0</v>
      </c>
      <c r="CN50" s="106" t="n"/>
      <c r="CO50" s="106" t="n"/>
      <c r="CP50" s="106" t="n">
        <v>0</v>
      </c>
      <c r="CQ50" s="106" t="n">
        <v>3676226.7</v>
      </c>
      <c r="CR50" s="106" t="n">
        <v>0</v>
      </c>
      <c r="CS50" s="106" t="n">
        <v>0</v>
      </c>
      <c r="CT50" s="106" t="n">
        <v>0</v>
      </c>
      <c r="CU50" s="106" t="n"/>
      <c r="CV50" s="114" t="n"/>
      <c r="CW50" s="115" t="n">
        <v>581087.101853972</v>
      </c>
      <c r="CZ50" s="104" t="s">
        <v>106</v>
      </c>
      <c r="DA50" s="119" t="n">
        <f aca="false" ca="true" dt2D="false" dtr="false" t="normal">SUBTOTAL(9, DB50:DP50)</f>
        <v>11789941.39</v>
      </c>
      <c r="DB50" s="106" t="n">
        <v>5460916.2</v>
      </c>
      <c r="DC50" s="106" t="n"/>
      <c r="DD50" s="106" t="n"/>
      <c r="DE50" s="106" t="n">
        <v>2605145.33</v>
      </c>
      <c r="DF50" s="106" t="n">
        <v>0</v>
      </c>
      <c r="DG50" s="106" t="n"/>
      <c r="DH50" s="106" t="n"/>
      <c r="DI50" s="106" t="n">
        <v>0</v>
      </c>
      <c r="DJ50" s="106" t="n">
        <v>3676226.7</v>
      </c>
      <c r="DK50" s="106" t="n">
        <v>0</v>
      </c>
      <c r="DL50" s="106" t="n">
        <v>0</v>
      </c>
      <c r="DM50" s="106" t="n">
        <v>0</v>
      </c>
      <c r="DN50" s="106" t="n"/>
      <c r="DO50" s="114" t="n"/>
      <c r="DP50" s="120" t="n">
        <f aca="false" ca="false" dt2D="false" dtr="false" t="normal">47653.16</f>
        <v>47653.16</v>
      </c>
      <c r="DQ50" s="3" t="n">
        <f aca="false" ca="false" dt2D="false" dtr="false" t="normal">N50-DA50</f>
        <v>0</v>
      </c>
      <c r="DS50" s="9" t="n"/>
    </row>
    <row hidden="false" ht="15" outlineLevel="0" r="51">
      <c r="A51" s="103" t="n">
        <f aca="false" ca="false" dt2D="false" dtr="false" t="normal">+A50+1</f>
        <v>34</v>
      </c>
      <c r="B51" s="104" t="n">
        <f aca="false" ca="false" dt2D="false" dtr="false" t="normal">+B50+1</f>
        <v>34</v>
      </c>
      <c r="C51" s="104" t="s">
        <v>78</v>
      </c>
      <c r="D51" s="104" t="s">
        <v>107</v>
      </c>
      <c r="E51" s="105" t="n">
        <v>1992</v>
      </c>
      <c r="F51" s="105" t="n">
        <v>2001</v>
      </c>
      <c r="G51" s="105" t="s">
        <v>68</v>
      </c>
      <c r="H51" s="105" t="n">
        <v>3</v>
      </c>
      <c r="I51" s="105" t="n">
        <v>5</v>
      </c>
      <c r="J51" s="106" t="n">
        <v>2965.1</v>
      </c>
      <c r="K51" s="106" t="n">
        <v>2484</v>
      </c>
      <c r="L51" s="106" t="n">
        <v>87.5</v>
      </c>
      <c r="M51" s="107" t="n">
        <v>91</v>
      </c>
      <c r="N51" s="108" t="n">
        <f aca="false" ca="false" dt2D="false" dtr="false" t="normal">SUM(P51:T51)</f>
        <v>24993173.34</v>
      </c>
      <c r="O51" s="106" t="n"/>
      <c r="P51" s="114" t="n">
        <v>17333675.79</v>
      </c>
      <c r="Q51" s="114" t="n"/>
      <c r="R51" s="114" t="n">
        <v>1187004.63937408</v>
      </c>
      <c r="S51" s="114" t="n">
        <v>6472492.91062592</v>
      </c>
      <c r="T51" s="106" t="n">
        <v>0</v>
      </c>
      <c r="U51" s="114" t="n">
        <v>10133.0502000288</v>
      </c>
      <c r="V51" s="114" t="n">
        <v>10133.0502000288</v>
      </c>
      <c r="W51" s="110" t="n">
        <v>2022</v>
      </c>
      <c r="X51" s="9" t="e">
        <f aca="false" ca="false" dt2D="false" dtr="false" t="normal">+#REF!-'[9]Приложение №1'!$P1360</f>
        <v>#REF!</v>
      </c>
      <c r="Z51" s="113" t="n">
        <f aca="false" ca="false" dt2D="false" dtr="false" t="normal">SUM(AA51:AO51)</f>
        <v>25552155.490000002</v>
      </c>
      <c r="AA51" s="106" t="n">
        <v>0</v>
      </c>
      <c r="AB51" s="106" t="n">
        <v>0</v>
      </c>
      <c r="AC51" s="106" t="n">
        <v>0</v>
      </c>
      <c r="AD51" s="106" t="n">
        <v>0</v>
      </c>
      <c r="AE51" s="106" t="n">
        <v>0</v>
      </c>
      <c r="AF51" s="106" t="n"/>
      <c r="AG51" s="106" t="n">
        <v>0</v>
      </c>
      <c r="AH51" s="106" t="n">
        <v>0</v>
      </c>
      <c r="AI51" s="106" t="n">
        <v>22504805.4262626</v>
      </c>
      <c r="AJ51" s="106" t="n">
        <v>0</v>
      </c>
      <c r="AK51" s="106" t="n">
        <v>0</v>
      </c>
      <c r="AL51" s="106" t="n">
        <v>0</v>
      </c>
      <c r="AM51" s="106" t="n">
        <v>2299693.9941</v>
      </c>
      <c r="AN51" s="114" t="n">
        <v>255521.5549</v>
      </c>
      <c r="AO51" s="115" t="n">
        <v>492134.5147374</v>
      </c>
      <c r="AP51" s="112" t="n">
        <f aca="false" ca="false" dt2D="false" dtr="false" t="normal">+N51-'Приложение №2'!E51</f>
        <v>0</v>
      </c>
      <c r="AQ51" s="1" t="n">
        <v>1173019.05</v>
      </c>
      <c r="AR51" s="3" t="n">
        <f aca="false" ca="false" dt2D="false" dtr="false" t="normal">+(K51*10+L51*20)*12*0.85</f>
        <v>271218</v>
      </c>
      <c r="AS51" s="3" t="n">
        <f aca="false" ca="false" dt2D="false" dtr="false" t="normal">+(K51*10+L51*20)*12*30</f>
        <v>9572400</v>
      </c>
      <c r="AT51" s="9" t="n">
        <f aca="false" ca="false" dt2D="false" dtr="false" t="normal">+S51-AS51</f>
        <v>-3099907.0893740803</v>
      </c>
      <c r="AW51" s="113" t="n">
        <f aca="false" ca="true" dt2D="false" dtr="false" t="normal">SUBTOTAL(9, AX51:BL51)</f>
        <v>26057138.58937408</v>
      </c>
      <c r="AX51" s="106" t="n">
        <v>0</v>
      </c>
      <c r="AY51" s="106" t="n">
        <v>0</v>
      </c>
      <c r="AZ51" s="106" t="n">
        <v>0</v>
      </c>
      <c r="BA51" s="106" t="n">
        <v>0</v>
      </c>
      <c r="BB51" s="106" t="n">
        <v>0</v>
      </c>
      <c r="BC51" s="106" t="n"/>
      <c r="BD51" s="106" t="n"/>
      <c r="BE51" s="106" t="n">
        <v>0</v>
      </c>
      <c r="BF51" s="106" t="n"/>
      <c r="BG51" s="106" t="n">
        <v>0</v>
      </c>
      <c r="BH51" s="106" t="n">
        <v>24993173.34</v>
      </c>
      <c r="BI51" s="106" t="n">
        <v>0</v>
      </c>
      <c r="BJ51" s="106" t="n"/>
      <c r="BK51" s="114" t="n"/>
      <c r="BL51" s="115" t="n">
        <v>1063965.24937408</v>
      </c>
      <c r="BM51" s="14" t="n">
        <f aca="false" ca="true" dt2D="false" dtr="false" t="normal">SUBTOTAL(9, BN51:CB51)</f>
        <v>26057138.58937408</v>
      </c>
      <c r="BN51" s="106" t="n">
        <v>0</v>
      </c>
      <c r="BO51" s="106" t="n">
        <v>0</v>
      </c>
      <c r="BP51" s="106" t="n">
        <v>0</v>
      </c>
      <c r="BQ51" s="106" t="n">
        <v>0</v>
      </c>
      <c r="BR51" s="106" t="n">
        <v>0</v>
      </c>
      <c r="BS51" s="106" t="n"/>
      <c r="BT51" s="106" t="n"/>
      <c r="BU51" s="106" t="n">
        <v>0</v>
      </c>
      <c r="BV51" s="106" t="n"/>
      <c r="BW51" s="106" t="n">
        <v>0</v>
      </c>
      <c r="BX51" s="106" t="n">
        <v>24993173.34</v>
      </c>
      <c r="BY51" s="106" t="n">
        <v>0</v>
      </c>
      <c r="BZ51" s="106" t="n"/>
      <c r="CA51" s="114" t="n"/>
      <c r="CB51" s="115" t="n">
        <v>1063965.24937408</v>
      </c>
      <c r="CD51" s="116" t="n">
        <f aca="false" ca="false" dt2D="false" dtr="false" t="normal">+CD50+1</f>
        <v>34</v>
      </c>
      <c r="CE51" s="117" t="n">
        <f aca="false" ca="false" dt2D="false" dtr="false" t="normal">+CE50+1</f>
        <v>34</v>
      </c>
      <c r="CF51" s="104" t="s">
        <v>78</v>
      </c>
      <c r="CG51" s="104" t="s">
        <v>107</v>
      </c>
      <c r="CH51" s="118" t="n">
        <f aca="false" ca="true" dt2D="false" dtr="false" t="normal">SUBTOTAL(9, CI51:CW51)</f>
        <v>26057138.58937408</v>
      </c>
      <c r="CI51" s="106" t="n">
        <v>0</v>
      </c>
      <c r="CJ51" s="106" t="n">
        <v>0</v>
      </c>
      <c r="CK51" s="106" t="n">
        <v>0</v>
      </c>
      <c r="CL51" s="106" t="n">
        <v>0</v>
      </c>
      <c r="CM51" s="106" t="n">
        <v>0</v>
      </c>
      <c r="CN51" s="106" t="n"/>
      <c r="CO51" s="106" t="n"/>
      <c r="CP51" s="106" t="n">
        <v>0</v>
      </c>
      <c r="CQ51" s="106" t="n"/>
      <c r="CR51" s="106" t="n">
        <v>0</v>
      </c>
      <c r="CS51" s="106" t="n">
        <v>24993173.34</v>
      </c>
      <c r="CT51" s="106" t="n">
        <v>0</v>
      </c>
      <c r="CU51" s="106" t="n"/>
      <c r="CV51" s="114" t="n"/>
      <c r="CW51" s="115" t="n">
        <v>1063965.24937408</v>
      </c>
      <c r="CZ51" s="104" t="s">
        <v>107</v>
      </c>
      <c r="DA51" s="119" t="n">
        <f aca="false" ca="true" dt2D="false" dtr="false" t="normal">SUBTOTAL(9, DB51:DP51)</f>
        <v>24993173.34</v>
      </c>
      <c r="DB51" s="106" t="n">
        <v>0</v>
      </c>
      <c r="DC51" s="106" t="n">
        <v>0</v>
      </c>
      <c r="DD51" s="106" t="n">
        <v>0</v>
      </c>
      <c r="DE51" s="106" t="n">
        <v>0</v>
      </c>
      <c r="DF51" s="106" t="n">
        <v>0</v>
      </c>
      <c r="DG51" s="106" t="n"/>
      <c r="DH51" s="106" t="n"/>
      <c r="DI51" s="106" t="n">
        <v>0</v>
      </c>
      <c r="DJ51" s="106" t="n"/>
      <c r="DK51" s="106" t="n">
        <v>0</v>
      </c>
      <c r="DL51" s="106" t="n">
        <v>24993173.34</v>
      </c>
      <c r="DM51" s="106" t="n">
        <v>0</v>
      </c>
      <c r="DN51" s="106" t="n"/>
      <c r="DO51" s="114" t="n"/>
      <c r="DP51" s="122" t="n"/>
      <c r="DQ51" s="3" t="n">
        <f aca="false" ca="false" dt2D="false" dtr="false" t="normal">N51-DA51</f>
        <v>0</v>
      </c>
      <c r="DS51" s="9" t="n"/>
    </row>
    <row hidden="false" ht="15" outlineLevel="0" r="52">
      <c r="A52" s="103" t="n">
        <f aca="false" ca="false" dt2D="false" dtr="false" t="normal">+A51+1</f>
        <v>35</v>
      </c>
      <c r="B52" s="104" t="n">
        <f aca="false" ca="false" dt2D="false" dtr="false" t="normal">+B51+1</f>
        <v>35</v>
      </c>
      <c r="C52" s="104" t="s">
        <v>78</v>
      </c>
      <c r="D52" s="104" t="s">
        <v>108</v>
      </c>
      <c r="E52" s="105" t="n">
        <v>1987</v>
      </c>
      <c r="F52" s="105" t="n">
        <v>2017</v>
      </c>
      <c r="G52" s="105" t="s">
        <v>68</v>
      </c>
      <c r="H52" s="105" t="n">
        <v>9</v>
      </c>
      <c r="I52" s="105" t="n">
        <v>1</v>
      </c>
      <c r="J52" s="106" t="n">
        <v>2767.8</v>
      </c>
      <c r="K52" s="106" t="n">
        <v>2150.8</v>
      </c>
      <c r="L52" s="106" t="n">
        <v>66.8</v>
      </c>
      <c r="M52" s="107" t="n">
        <v>94</v>
      </c>
      <c r="N52" s="108" t="n">
        <f aca="false" ca="false" dt2D="false" dtr="false" t="normal">SUM(P52:T52)</f>
        <v>2149155.58</v>
      </c>
      <c r="O52" s="106" t="n"/>
      <c r="P52" s="114" t="n"/>
      <c r="Q52" s="114" t="n"/>
      <c r="R52" s="114" t="n">
        <v>472007.06</v>
      </c>
      <c r="S52" s="114" t="n">
        <v>1677148.52</v>
      </c>
      <c r="T52" s="114" t="n"/>
      <c r="U52" s="106" t="n">
        <v>1050.86405986723</v>
      </c>
      <c r="V52" s="106" t="n">
        <v>1050.86405986723</v>
      </c>
      <c r="W52" s="110" t="n">
        <v>2022</v>
      </c>
      <c r="X52" s="9" t="e">
        <f aca="false" ca="false" dt2D="false" dtr="false" t="normal">+#REF!-'[9]Приложение №1'!$P782</f>
        <v>#REF!</v>
      </c>
      <c r="Z52" s="113" t="n">
        <f aca="false" ca="false" dt2D="false" dtr="false" t="normal">SUM(AA52:AO52)</f>
        <v>24358296.10656354</v>
      </c>
      <c r="AA52" s="106" t="n">
        <v>5322442.28443506</v>
      </c>
      <c r="AB52" s="106" t="n">
        <v>2129484.5377049</v>
      </c>
      <c r="AC52" s="106" t="n">
        <v>0</v>
      </c>
      <c r="AD52" s="106" t="n">
        <v>0</v>
      </c>
      <c r="AE52" s="106" t="n">
        <v>0</v>
      </c>
      <c r="AF52" s="106" t="n"/>
      <c r="AG52" s="106" t="n">
        <v>236468.681965311</v>
      </c>
      <c r="AH52" s="106" t="n">
        <v>0</v>
      </c>
      <c r="AI52" s="106" t="n">
        <v>0</v>
      </c>
      <c r="AJ52" s="106" t="n">
        <v>0</v>
      </c>
      <c r="AK52" s="106" t="n">
        <v>13665253.1882038</v>
      </c>
      <c r="AL52" s="106" t="n">
        <v>0</v>
      </c>
      <c r="AM52" s="106" t="n">
        <v>2294103.40473654</v>
      </c>
      <c r="AN52" s="114" t="n">
        <v>243582.961065635</v>
      </c>
      <c r="AO52" s="115" t="n">
        <v>466961.048452292</v>
      </c>
      <c r="AP52" s="112" t="n">
        <f aca="false" ca="false" dt2D="false" dtr="false" t="normal">+N52-'Приложение №2'!E52</f>
        <v>0</v>
      </c>
      <c r="AQ52" s="1" t="n">
        <v>1394329.46</v>
      </c>
      <c r="AR52" s="3" t="n">
        <f aca="false" ca="false" dt2D="false" dtr="false" t="normal">+(K52*13.29+L52*22.52)*12*0.85</f>
        <v>306902.37360000005</v>
      </c>
      <c r="AS52" s="3" t="n">
        <f aca="false" ca="false" dt2D="false" dtr="false" t="normal">+(K52*13.29+L52*22.52)*12*30</f>
        <v>10831848.48</v>
      </c>
      <c r="AT52" s="9" t="n">
        <f aca="false" ca="false" dt2D="false" dtr="false" t="normal">+S52-AS52</f>
        <v>-9154699.96</v>
      </c>
      <c r="AW52" s="113" t="n">
        <f aca="false" ca="true" dt2D="false" dtr="false" t="normal">SUBTOTAL(9, AX52:BL52)</f>
        <v>2330396.1391615802</v>
      </c>
      <c r="AX52" s="106" t="n"/>
      <c r="AY52" s="106" t="n">
        <v>2149155.58</v>
      </c>
      <c r="AZ52" s="106" t="n">
        <v>0</v>
      </c>
      <c r="BA52" s="106" t="n">
        <v>0</v>
      </c>
      <c r="BB52" s="106" t="n">
        <v>0</v>
      </c>
      <c r="BC52" s="106" t="n"/>
      <c r="BD52" s="106" t="n"/>
      <c r="BE52" s="106" t="n"/>
      <c r="BF52" s="106" t="n"/>
      <c r="BG52" s="106" t="n"/>
      <c r="BH52" s="106" t="n"/>
      <c r="BI52" s="106" t="n">
        <v>0</v>
      </c>
      <c r="BJ52" s="106" t="n"/>
      <c r="BK52" s="114" t="n"/>
      <c r="BL52" s="115" t="n">
        <v>181240.55916158</v>
      </c>
      <c r="BM52" s="14" t="n">
        <f aca="false" ca="true" dt2D="false" dtr="false" t="normal">SUBTOTAL(9, BN52:CB52)</f>
        <v>2330396.1391615802</v>
      </c>
      <c r="BN52" s="106" t="n"/>
      <c r="BO52" s="106" t="n">
        <v>2149155.58</v>
      </c>
      <c r="BP52" s="106" t="n">
        <v>0</v>
      </c>
      <c r="BQ52" s="106" t="n">
        <v>0</v>
      </c>
      <c r="BR52" s="106" t="n">
        <v>0</v>
      </c>
      <c r="BS52" s="106" t="n"/>
      <c r="BT52" s="106" t="n"/>
      <c r="BU52" s="106" t="n"/>
      <c r="BV52" s="106" t="n"/>
      <c r="BW52" s="106" t="n"/>
      <c r="BX52" s="106" t="n"/>
      <c r="BY52" s="106" t="n">
        <v>0</v>
      </c>
      <c r="BZ52" s="106" t="n"/>
      <c r="CA52" s="114" t="n"/>
      <c r="CB52" s="115" t="n">
        <v>181240.55916158</v>
      </c>
      <c r="CD52" s="116" t="n">
        <f aca="false" ca="false" dt2D="false" dtr="false" t="normal">+CD51+1</f>
        <v>35</v>
      </c>
      <c r="CE52" s="117" t="n">
        <f aca="false" ca="false" dt2D="false" dtr="false" t="normal">+CE51+1</f>
        <v>35</v>
      </c>
      <c r="CF52" s="104" t="s">
        <v>78</v>
      </c>
      <c r="CG52" s="104" t="s">
        <v>108</v>
      </c>
      <c r="CH52" s="118" t="n">
        <f aca="false" ca="true" dt2D="false" dtr="false" t="normal">SUBTOTAL(9, CI52:CW52)</f>
        <v>2330396.1391615802</v>
      </c>
      <c r="CI52" s="106" t="n"/>
      <c r="CJ52" s="106" t="n">
        <v>2149155.58</v>
      </c>
      <c r="CK52" s="106" t="n">
        <v>0</v>
      </c>
      <c r="CL52" s="106" t="n">
        <v>0</v>
      </c>
      <c r="CM52" s="106" t="n">
        <v>0</v>
      </c>
      <c r="CN52" s="106" t="n"/>
      <c r="CO52" s="106" t="n"/>
      <c r="CP52" s="106" t="n"/>
      <c r="CQ52" s="106" t="n"/>
      <c r="CR52" s="106" t="n"/>
      <c r="CS52" s="106" t="n"/>
      <c r="CT52" s="106" t="n">
        <v>0</v>
      </c>
      <c r="CU52" s="106" t="n"/>
      <c r="CV52" s="114" t="n"/>
      <c r="CW52" s="115" t="n">
        <v>181240.55916158</v>
      </c>
      <c r="CZ52" s="104" t="s">
        <v>108</v>
      </c>
      <c r="DA52" s="119" t="n">
        <f aca="false" ca="true" dt2D="false" dtr="false" t="normal">SUBTOTAL(9, DB52:DP52)</f>
        <v>2149155.58</v>
      </c>
      <c r="DB52" s="106" t="n"/>
      <c r="DC52" s="106" t="n">
        <v>2149155.58</v>
      </c>
      <c r="DD52" s="106" t="n">
        <v>0</v>
      </c>
      <c r="DE52" s="106" t="n">
        <v>0</v>
      </c>
      <c r="DF52" s="106" t="n">
        <v>0</v>
      </c>
      <c r="DG52" s="106" t="n"/>
      <c r="DH52" s="106" t="n"/>
      <c r="DI52" s="106" t="n"/>
      <c r="DJ52" s="106" t="n"/>
      <c r="DK52" s="106" t="n"/>
      <c r="DL52" s="106" t="n"/>
      <c r="DM52" s="106" t="n">
        <v>0</v>
      </c>
      <c r="DN52" s="106" t="n"/>
      <c r="DO52" s="114" t="n"/>
      <c r="DP52" s="122" t="n"/>
      <c r="DQ52" s="3" t="n">
        <f aca="false" ca="false" dt2D="false" dtr="false" t="normal">N52-DA52</f>
        <v>0</v>
      </c>
      <c r="DS52" s="9" t="n"/>
    </row>
    <row hidden="false" ht="15" outlineLevel="0" r="53">
      <c r="A53" s="103" t="n">
        <f aca="false" ca="false" dt2D="false" dtr="false" t="normal">+A52+1</f>
        <v>36</v>
      </c>
      <c r="B53" s="104" t="n">
        <f aca="false" ca="false" dt2D="false" dtr="false" t="normal">+B52+1</f>
        <v>36</v>
      </c>
      <c r="C53" s="104" t="s">
        <v>78</v>
      </c>
      <c r="D53" s="104" t="s">
        <v>109</v>
      </c>
      <c r="E53" s="105" t="n">
        <v>1992</v>
      </c>
      <c r="F53" s="105" t="n">
        <v>2009</v>
      </c>
      <c r="G53" s="105" t="s">
        <v>68</v>
      </c>
      <c r="H53" s="105" t="n">
        <v>9</v>
      </c>
      <c r="I53" s="105" t="n">
        <v>1</v>
      </c>
      <c r="J53" s="106" t="n">
        <v>3320.9</v>
      </c>
      <c r="K53" s="106" t="n">
        <v>2870.8</v>
      </c>
      <c r="L53" s="106" t="n">
        <v>0</v>
      </c>
      <c r="M53" s="107" t="n">
        <v>115</v>
      </c>
      <c r="N53" s="108" t="n">
        <f aca="false" ca="false" dt2D="false" dtr="false" t="normal">SUM(P53:T53)</f>
        <v>1847088.8</v>
      </c>
      <c r="O53" s="106" t="n"/>
      <c r="P53" s="114" t="n"/>
      <c r="Q53" s="114" t="n"/>
      <c r="R53" s="114" t="n">
        <v>1847088.8</v>
      </c>
      <c r="S53" s="114" t="n"/>
      <c r="T53" s="106" t="n">
        <v>0</v>
      </c>
      <c r="U53" s="114" t="n">
        <v>657.721063000058</v>
      </c>
      <c r="V53" s="114" t="n">
        <v>657.721063000058</v>
      </c>
      <c r="W53" s="110" t="n">
        <v>2022</v>
      </c>
      <c r="X53" s="9" t="e">
        <f aca="false" ca="false" dt2D="false" dtr="false" t="normal">+#REF!-'[9]Приложение №1'!$P981</f>
        <v>#REF!</v>
      </c>
      <c r="Z53" s="113" t="n">
        <f aca="false" ca="false" dt2D="false" dtr="false" t="normal">SUM(AA53:AO53)</f>
        <v>3421512.858804018</v>
      </c>
      <c r="AA53" s="106" t="n">
        <v>0</v>
      </c>
      <c r="AB53" s="106" t="n">
        <v>0</v>
      </c>
      <c r="AC53" s="106" t="n">
        <v>0</v>
      </c>
      <c r="AD53" s="106" t="n">
        <v>0</v>
      </c>
      <c r="AE53" s="106" t="n">
        <v>0</v>
      </c>
      <c r="AF53" s="106" t="n"/>
      <c r="AG53" s="106" t="n">
        <v>0</v>
      </c>
      <c r="AH53" s="106" t="n">
        <v>0</v>
      </c>
      <c r="AI53" s="106" t="n">
        <v>3013463.23526305</v>
      </c>
      <c r="AJ53" s="106" t="n">
        <v>0</v>
      </c>
      <c r="AK53" s="106" t="n">
        <v>0</v>
      </c>
      <c r="AL53" s="106" t="n">
        <v>0</v>
      </c>
      <c r="AM53" s="106" t="n">
        <v>307936.157292362</v>
      </c>
      <c r="AN53" s="114" t="n">
        <v>34215.1285880402</v>
      </c>
      <c r="AO53" s="115" t="n">
        <v>65898.3376605654</v>
      </c>
      <c r="AP53" s="112" t="n">
        <f aca="false" ca="false" dt2D="false" dtr="false" t="normal">+N53-'Приложение №2'!E53</f>
        <v>0</v>
      </c>
      <c r="AQ53" s="1" t="n">
        <v>1773302.69</v>
      </c>
      <c r="AR53" s="3" t="n">
        <f aca="false" ca="false" dt2D="false" dtr="false" t="normal">+(K53*13.29+L53*22.52)*12*0.85</f>
        <v>389159.9064</v>
      </c>
      <c r="AS53" s="3" t="n">
        <f aca="false" ca="false" dt2D="false" dtr="false" t="normal">+(K53*13.29+L53*22.52)*12*30</f>
        <v>13735055.52</v>
      </c>
      <c r="AT53" s="9" t="n">
        <f aca="false" ca="false" dt2D="false" dtr="false" t="normal">+S53-AS53</f>
        <v>-13735055.52</v>
      </c>
      <c r="AW53" s="113" t="n">
        <f aca="false" ca="true" dt2D="false" dtr="false" t="normal">SUBTOTAL(9, AX53:BL53)</f>
        <v>1888185.6276605655</v>
      </c>
      <c r="AX53" s="106" t="n">
        <v>0</v>
      </c>
      <c r="AY53" s="106" t="n">
        <v>0</v>
      </c>
      <c r="AZ53" s="106" t="n">
        <v>0</v>
      </c>
      <c r="BA53" s="106" t="n">
        <v>0</v>
      </c>
      <c r="BB53" s="106" t="n">
        <v>0</v>
      </c>
      <c r="BC53" s="106" t="n"/>
      <c r="BD53" s="106" t="n"/>
      <c r="BE53" s="106" t="n">
        <v>0</v>
      </c>
      <c r="BF53" s="106" t="n">
        <v>1822287.29</v>
      </c>
      <c r="BG53" s="106" t="n">
        <v>0</v>
      </c>
      <c r="BH53" s="106" t="n">
        <v>0</v>
      </c>
      <c r="BI53" s="106" t="n">
        <v>0</v>
      </c>
      <c r="BJ53" s="106" t="n"/>
      <c r="BK53" s="114" t="n"/>
      <c r="BL53" s="115" t="n">
        <v>65898.3376605654</v>
      </c>
      <c r="BM53" s="14" t="n">
        <f aca="false" ca="true" dt2D="false" dtr="false" t="normal">SUBTOTAL(9, BN53:CB53)</f>
        <v>1888185.6276605655</v>
      </c>
      <c r="BN53" s="106" t="n">
        <v>0</v>
      </c>
      <c r="BO53" s="106" t="n">
        <v>0</v>
      </c>
      <c r="BP53" s="106" t="n">
        <v>0</v>
      </c>
      <c r="BQ53" s="106" t="n">
        <v>0</v>
      </c>
      <c r="BR53" s="106" t="n">
        <v>0</v>
      </c>
      <c r="BS53" s="106" t="n"/>
      <c r="BT53" s="106" t="n"/>
      <c r="BU53" s="106" t="n">
        <v>0</v>
      </c>
      <c r="BV53" s="106" t="n">
        <v>1822287.29</v>
      </c>
      <c r="BW53" s="106" t="n">
        <v>0</v>
      </c>
      <c r="BX53" s="106" t="n">
        <v>0</v>
      </c>
      <c r="BY53" s="106" t="n">
        <v>0</v>
      </c>
      <c r="BZ53" s="106" t="n"/>
      <c r="CA53" s="114" t="n"/>
      <c r="CB53" s="115" t="n">
        <v>65898.3376605654</v>
      </c>
      <c r="CD53" s="116" t="n">
        <f aca="false" ca="false" dt2D="false" dtr="false" t="normal">+CD52+1</f>
        <v>36</v>
      </c>
      <c r="CE53" s="117" t="n">
        <f aca="false" ca="false" dt2D="false" dtr="false" t="normal">+CE52+1</f>
        <v>36</v>
      </c>
      <c r="CF53" s="104" t="s">
        <v>78</v>
      </c>
      <c r="CG53" s="104" t="s">
        <v>109</v>
      </c>
      <c r="CH53" s="118" t="n">
        <f aca="false" ca="true" dt2D="false" dtr="false" t="normal">SUBTOTAL(9, CI53:CW53)</f>
        <v>1888185.6276605655</v>
      </c>
      <c r="CI53" s="106" t="n">
        <v>0</v>
      </c>
      <c r="CJ53" s="106" t="n">
        <v>0</v>
      </c>
      <c r="CK53" s="106" t="n">
        <v>0</v>
      </c>
      <c r="CL53" s="106" t="n">
        <v>0</v>
      </c>
      <c r="CM53" s="106" t="n">
        <v>0</v>
      </c>
      <c r="CN53" s="106" t="n"/>
      <c r="CO53" s="106" t="n"/>
      <c r="CP53" s="106" t="n">
        <v>0</v>
      </c>
      <c r="CQ53" s="106" t="n">
        <v>1822287.29</v>
      </c>
      <c r="CR53" s="106" t="n">
        <v>0</v>
      </c>
      <c r="CS53" s="106" t="n">
        <v>0</v>
      </c>
      <c r="CT53" s="106" t="n">
        <v>0</v>
      </c>
      <c r="CU53" s="106" t="n"/>
      <c r="CV53" s="114" t="n"/>
      <c r="CW53" s="115" t="n">
        <v>65898.3376605654</v>
      </c>
      <c r="CZ53" s="104" t="s">
        <v>109</v>
      </c>
      <c r="DA53" s="119" t="n">
        <f aca="false" ca="true" dt2D="false" dtr="false" t="normal">SUBTOTAL(9, DB53:DP53)</f>
        <v>1847088.8</v>
      </c>
      <c r="DB53" s="106" t="n">
        <v>0</v>
      </c>
      <c r="DC53" s="106" t="n">
        <v>0</v>
      </c>
      <c r="DD53" s="106" t="n">
        <v>0</v>
      </c>
      <c r="DE53" s="106" t="n">
        <v>0</v>
      </c>
      <c r="DF53" s="106" t="n">
        <v>0</v>
      </c>
      <c r="DG53" s="106" t="n"/>
      <c r="DH53" s="106" t="n"/>
      <c r="DI53" s="106" t="n">
        <v>0</v>
      </c>
      <c r="DJ53" s="106" t="n">
        <v>1822287.29</v>
      </c>
      <c r="DK53" s="106" t="n">
        <v>0</v>
      </c>
      <c r="DL53" s="106" t="n">
        <v>0</v>
      </c>
      <c r="DM53" s="106" t="n">
        <v>0</v>
      </c>
      <c r="DN53" s="106" t="n"/>
      <c r="DO53" s="114" t="n"/>
      <c r="DP53" s="120" t="n">
        <f aca="false" ca="false" dt2D="false" dtr="false" t="normal">24801.51</f>
        <v>24801.51</v>
      </c>
      <c r="DQ53" s="3" t="n">
        <f aca="false" ca="false" dt2D="false" dtr="false" t="normal">N53-DA53</f>
        <v>0</v>
      </c>
    </row>
    <row hidden="false" ht="15" outlineLevel="0" r="54">
      <c r="A54" s="103" t="n">
        <f aca="false" ca="false" dt2D="false" dtr="false" t="normal">+A53+1</f>
        <v>37</v>
      </c>
      <c r="B54" s="104" t="n">
        <f aca="false" ca="false" dt2D="false" dtr="false" t="normal">+B53+1</f>
        <v>37</v>
      </c>
      <c r="C54" s="104" t="s">
        <v>81</v>
      </c>
      <c r="D54" s="104" t="s">
        <v>110</v>
      </c>
      <c r="E54" s="105" t="n">
        <v>1995</v>
      </c>
      <c r="F54" s="105" t="n">
        <v>2007</v>
      </c>
      <c r="G54" s="105" t="s">
        <v>68</v>
      </c>
      <c r="H54" s="105" t="n">
        <v>9</v>
      </c>
      <c r="I54" s="105" t="n">
        <v>3</v>
      </c>
      <c r="J54" s="106" t="n">
        <v>8715.5</v>
      </c>
      <c r="K54" s="106" t="n">
        <v>7251.1</v>
      </c>
      <c r="L54" s="106" t="n">
        <v>660.9</v>
      </c>
      <c r="M54" s="107" t="n">
        <v>283</v>
      </c>
      <c r="N54" s="108" t="n">
        <f aca="false" ca="false" dt2D="false" dtr="false" t="normal">SUM(P54:T54)</f>
        <v>21685771.74</v>
      </c>
      <c r="O54" s="106" t="n"/>
      <c r="P54" s="114" t="n">
        <v>20694835.3</v>
      </c>
      <c r="Q54" s="124" t="n"/>
      <c r="R54" s="124" t="n">
        <v>990936.439999997</v>
      </c>
      <c r="S54" s="114" t="n"/>
      <c r="T54" s="106" t="n"/>
      <c r="U54" s="114" t="n">
        <v>2790.00168983822</v>
      </c>
      <c r="V54" s="114" t="n">
        <v>2790.00168983822</v>
      </c>
      <c r="W54" s="110" t="n">
        <v>2022</v>
      </c>
      <c r="X54" s="9" t="e">
        <f aca="false" ca="false" dt2D="false" dtr="false" t="normal">+#REF!-#REF!</f>
        <v>#REF!</v>
      </c>
      <c r="Z54" s="113" t="n">
        <f aca="false" ca="false" dt2D="false" dtr="false" t="normal">SUM(AA54:AO54)</f>
        <v>47583718.34073141</v>
      </c>
      <c r="AA54" s="106" t="n">
        <v>17694269.1162227</v>
      </c>
      <c r="AB54" s="106" t="n">
        <v>7079395.22410152</v>
      </c>
      <c r="AC54" s="106" t="n">
        <v>5228826.41036611</v>
      </c>
      <c r="AD54" s="106" t="n">
        <v>3341459.78725896</v>
      </c>
      <c r="AE54" s="106" t="n">
        <v>0</v>
      </c>
      <c r="AF54" s="106" t="n"/>
      <c r="AG54" s="106" t="n">
        <v>786131.68027933</v>
      </c>
      <c r="AH54" s="106" t="n">
        <v>0</v>
      </c>
      <c r="AI54" s="106" t="n">
        <v>7743707.04626704</v>
      </c>
      <c r="AJ54" s="106" t="n">
        <v>0</v>
      </c>
      <c r="AK54" s="106" t="n">
        <v>0</v>
      </c>
      <c r="AL54" s="106" t="n">
        <v>0</v>
      </c>
      <c r="AM54" s="106" t="n">
        <v>4318396.93037165</v>
      </c>
      <c r="AN54" s="114" t="n">
        <v>475837.183407314</v>
      </c>
      <c r="AO54" s="115" t="n">
        <v>915694.962456782</v>
      </c>
      <c r="AP54" s="112" t="n">
        <f aca="false" ca="false" dt2D="false" dtr="false" t="normal">+N54-'Приложение №2'!E54</f>
        <v>0</v>
      </c>
      <c r="AR54" s="3" t="n">
        <f aca="false" ca="false" dt2D="false" dtr="false" t="normal">+(K54*13.29+L54*22.52)*12*0.85</f>
        <v>1134755.9873999998</v>
      </c>
      <c r="AT54" s="9" t="n"/>
      <c r="AW54" s="113" t="n">
        <f aca="false" ca="true" dt2D="false" dtr="false" t="normal">SUBTOTAL(9, AX54:BL54)</f>
        <v>22074493.369999997</v>
      </c>
      <c r="AX54" s="106" t="n"/>
      <c r="AY54" s="125" t="n">
        <v>6965734.8</v>
      </c>
      <c r="AZ54" s="125" t="n">
        <v>2892341.42</v>
      </c>
      <c r="BA54" s="125" t="n">
        <v>3341459.79</v>
      </c>
      <c r="BB54" s="125" t="n">
        <v>0</v>
      </c>
      <c r="BC54" s="125" t="n"/>
      <c r="BD54" s="125" t="n"/>
      <c r="BE54" s="125" t="n">
        <v>0</v>
      </c>
      <c r="BF54" s="125" t="n">
        <v>7743707.05</v>
      </c>
      <c r="BG54" s="125" t="n">
        <v>0</v>
      </c>
      <c r="BH54" s="125" t="n">
        <v>0</v>
      </c>
      <c r="BI54" s="125" t="n">
        <v>0</v>
      </c>
      <c r="BJ54" s="125" t="n">
        <v>732528.68</v>
      </c>
      <c r="BK54" s="124" t="n">
        <v>10000</v>
      </c>
      <c r="BL54" s="126" t="n">
        <v>388721.63</v>
      </c>
      <c r="BM54" s="14" t="n">
        <f aca="false" ca="true" dt2D="false" dtr="false" t="normal">SUBTOTAL(9, BN54:CB54)</f>
        <v>22074493.369999997</v>
      </c>
      <c r="BN54" s="106" t="n"/>
      <c r="BO54" s="125" t="n">
        <v>6965734.8</v>
      </c>
      <c r="BP54" s="125" t="n">
        <v>2892341.42</v>
      </c>
      <c r="BQ54" s="125" t="n">
        <v>3341459.79</v>
      </c>
      <c r="BR54" s="125" t="n">
        <v>0</v>
      </c>
      <c r="BS54" s="125" t="n"/>
      <c r="BT54" s="125" t="n"/>
      <c r="BU54" s="125" t="n">
        <v>0</v>
      </c>
      <c r="BV54" s="125" t="n">
        <v>7743707.05</v>
      </c>
      <c r="BW54" s="125" t="n">
        <v>0</v>
      </c>
      <c r="BX54" s="125" t="n">
        <v>0</v>
      </c>
      <c r="BY54" s="125" t="n">
        <v>0</v>
      </c>
      <c r="BZ54" s="125" t="n">
        <v>732528.68</v>
      </c>
      <c r="CA54" s="124" t="n">
        <v>10000</v>
      </c>
      <c r="CB54" s="126" t="n">
        <v>388721.63</v>
      </c>
      <c r="CD54" s="116" t="n">
        <f aca="false" ca="false" dt2D="false" dtr="false" t="normal">+CD53+1</f>
        <v>37</v>
      </c>
      <c r="CE54" s="117" t="n">
        <f aca="false" ca="false" dt2D="false" dtr="false" t="normal">+CE53+1</f>
        <v>37</v>
      </c>
      <c r="CF54" s="104" t="s">
        <v>81</v>
      </c>
      <c r="CG54" s="104" t="s">
        <v>110</v>
      </c>
      <c r="CH54" s="118" t="n">
        <f aca="false" ca="true" dt2D="false" dtr="false" t="normal">SUBTOTAL(9, CI54:CW54)</f>
        <v>22074493.369999997</v>
      </c>
      <c r="CI54" s="106" t="n"/>
      <c r="CJ54" s="125" t="n">
        <v>6965734.8</v>
      </c>
      <c r="CK54" s="125" t="n">
        <v>2892341.42</v>
      </c>
      <c r="CL54" s="125" t="n">
        <v>3341459.79</v>
      </c>
      <c r="CM54" s="125" t="n">
        <v>0</v>
      </c>
      <c r="CN54" s="125" t="n"/>
      <c r="CO54" s="125" t="n"/>
      <c r="CP54" s="125" t="n">
        <v>0</v>
      </c>
      <c r="CQ54" s="125" t="n">
        <v>7743707.05</v>
      </c>
      <c r="CR54" s="125" t="n">
        <v>0</v>
      </c>
      <c r="CS54" s="125" t="n">
        <v>0</v>
      </c>
      <c r="CT54" s="125" t="n">
        <v>0</v>
      </c>
      <c r="CU54" s="125" t="n">
        <v>732528.68</v>
      </c>
      <c r="CV54" s="124" t="n">
        <v>10000</v>
      </c>
      <c r="CW54" s="126" t="n">
        <v>388721.63</v>
      </c>
      <c r="CZ54" s="104" t="s">
        <v>110</v>
      </c>
      <c r="DA54" s="119" t="n">
        <f aca="false" ca="true" dt2D="false" dtr="false" t="normal">SUBTOTAL(9, DB54:DP54)</f>
        <v>21685771.74</v>
      </c>
      <c r="DB54" s="106" t="n"/>
      <c r="DC54" s="125" t="n">
        <v>6965734.8</v>
      </c>
      <c r="DD54" s="125" t="n">
        <v>2892341.42</v>
      </c>
      <c r="DE54" s="125" t="n">
        <v>3341459.79</v>
      </c>
      <c r="DF54" s="125" t="n">
        <v>0</v>
      </c>
      <c r="DG54" s="125" t="n"/>
      <c r="DH54" s="125" t="n"/>
      <c r="DI54" s="125" t="n">
        <v>0</v>
      </c>
      <c r="DJ54" s="125" t="n">
        <v>7743707.05</v>
      </c>
      <c r="DK54" s="125" t="n">
        <v>0</v>
      </c>
      <c r="DL54" s="125" t="n">
        <v>0</v>
      </c>
      <c r="DM54" s="125" t="n">
        <v>0</v>
      </c>
      <c r="DN54" s="125" t="n">
        <v>732528.68</v>
      </c>
      <c r="DO54" s="124" t="n">
        <v>10000</v>
      </c>
      <c r="DP54" s="127" t="n"/>
      <c r="DQ54" s="3" t="n">
        <f aca="false" ca="false" dt2D="false" dtr="false" t="normal">N54-DA54</f>
        <v>0</v>
      </c>
      <c r="DS54" s="17" t="n"/>
    </row>
    <row hidden="false" ht="15" outlineLevel="0" r="55">
      <c r="A55" s="103" t="n">
        <f aca="false" ca="false" dt2D="false" dtr="false" t="normal">+A54+1</f>
        <v>38</v>
      </c>
      <c r="B55" s="104" t="n">
        <f aca="false" ca="false" dt2D="false" dtr="false" t="normal">+B54+1</f>
        <v>38</v>
      </c>
      <c r="C55" s="104" t="s">
        <v>111</v>
      </c>
      <c r="D55" s="104" t="s">
        <v>112</v>
      </c>
      <c r="E55" s="105" t="n">
        <v>1995</v>
      </c>
      <c r="F55" s="105" t="n">
        <v>1995</v>
      </c>
      <c r="G55" s="105" t="s">
        <v>68</v>
      </c>
      <c r="H55" s="105" t="n">
        <v>2</v>
      </c>
      <c r="I55" s="105" t="n">
        <v>2</v>
      </c>
      <c r="J55" s="106" t="n">
        <v>1067.3</v>
      </c>
      <c r="K55" s="106" t="n">
        <v>984.4</v>
      </c>
      <c r="L55" s="106" t="n">
        <v>0</v>
      </c>
      <c r="M55" s="107" t="n">
        <v>43</v>
      </c>
      <c r="N55" s="108" t="n">
        <f aca="false" ca="false" dt2D="false" dtr="false" t="normal">SUM(P55:T55)</f>
        <v>12553815.559</v>
      </c>
      <c r="O55" s="106" t="n"/>
      <c r="P55" s="114" t="n">
        <v>0</v>
      </c>
      <c r="Q55" s="114" t="n"/>
      <c r="R55" s="114" t="n">
        <v>543386.6</v>
      </c>
      <c r="S55" s="114" t="n">
        <v>3543840</v>
      </c>
      <c r="T55" s="106" t="n">
        <v>8466588.959</v>
      </c>
      <c r="U55" s="114" t="n">
        <v>12940.0949816857</v>
      </c>
      <c r="V55" s="114" t="n">
        <v>12940.0949816857</v>
      </c>
      <c r="W55" s="110" t="n">
        <v>2022</v>
      </c>
      <c r="X55" s="9" t="e">
        <f aca="false" ca="false" dt2D="false" dtr="false" t="normal">+#REF!-'[9]Приложение №1'!$P988</f>
        <v>#REF!</v>
      </c>
      <c r="Z55" s="113" t="n">
        <f aca="false" ca="false" dt2D="false" dtr="false" t="normal">SUM(AA55:AO55)</f>
        <v>16450906</v>
      </c>
      <c r="AA55" s="106" t="n">
        <v>1648275.62422068</v>
      </c>
      <c r="AB55" s="106" t="n">
        <v>0</v>
      </c>
      <c r="AC55" s="106" t="n">
        <v>1007648.27936304</v>
      </c>
      <c r="AD55" s="106" t="n">
        <v>768340.37867076</v>
      </c>
      <c r="AE55" s="106" t="n">
        <v>0</v>
      </c>
      <c r="AF55" s="106" t="n"/>
      <c r="AG55" s="106" t="n">
        <v>81902.3817906</v>
      </c>
      <c r="AH55" s="106" t="n">
        <v>0</v>
      </c>
      <c r="AI55" s="106" t="n">
        <v>2934181.5756624</v>
      </c>
      <c r="AJ55" s="106" t="n">
        <v>0</v>
      </c>
      <c r="AK55" s="106" t="n">
        <v>5696730.16619406</v>
      </c>
      <c r="AL55" s="106" t="n">
        <v>2240450.9097831</v>
      </c>
      <c r="AM55" s="106" t="n">
        <v>1594460.1776</v>
      </c>
      <c r="AN55" s="114" t="n">
        <v>164509.06</v>
      </c>
      <c r="AO55" s="115" t="n">
        <v>314407.44671536</v>
      </c>
      <c r="AP55" s="112" t="n">
        <f aca="false" ca="false" dt2D="false" dtr="false" t="normal">+N55-'Приложение №2'!E55</f>
        <v>0</v>
      </c>
      <c r="AQ55" s="1" t="n">
        <v>442977.8</v>
      </c>
      <c r="AR55" s="3" t="n">
        <f aca="false" ca="false" dt2D="false" dtr="false" t="normal">+(K55*10+L55*20)*12*0.85</f>
        <v>100408.8</v>
      </c>
      <c r="AS55" s="3" t="n">
        <f aca="false" ca="false" dt2D="false" dtr="false" t="normal">+(K55*10+L55*20)*12*30</f>
        <v>3543840</v>
      </c>
      <c r="AT55" s="9" t="n">
        <f aca="false" ca="false" dt2D="false" dtr="false" t="normal">+S55-AS55</f>
        <v>0</v>
      </c>
      <c r="AW55" s="113" t="n">
        <f aca="false" ca="true" dt2D="false" dtr="false" t="normal">SUBTOTAL(9, AX55:BL55)</f>
        <v>12738229.499971401</v>
      </c>
      <c r="AX55" s="106" t="n">
        <v>1983392.29</v>
      </c>
      <c r="AY55" s="106" t="n">
        <v>0</v>
      </c>
      <c r="AZ55" s="106" t="n">
        <v>764851.03</v>
      </c>
      <c r="BA55" s="106" t="n">
        <v>859745.54</v>
      </c>
      <c r="BB55" s="106" t="n">
        <v>0</v>
      </c>
      <c r="BC55" s="106" t="n"/>
      <c r="BD55" s="106" t="n"/>
      <c r="BE55" s="106" t="n">
        <v>0</v>
      </c>
      <c r="BF55" s="106" t="n">
        <v>4729777.27</v>
      </c>
      <c r="BG55" s="106" t="n">
        <v>0</v>
      </c>
      <c r="BH55" s="106" t="n">
        <v>3962700.17</v>
      </c>
      <c r="BI55" s="106" t="n"/>
      <c r="BJ55" s="106" t="n">
        <v>118987.5845</v>
      </c>
      <c r="BK55" s="114" t="n">
        <v>24854.0145</v>
      </c>
      <c r="BL55" s="115" t="n">
        <v>293921.6009714</v>
      </c>
      <c r="BM55" s="14" t="n">
        <f aca="false" ca="true" dt2D="false" dtr="false" t="normal">SUBTOTAL(9, BN55:CB55)</f>
        <v>12738229.499971401</v>
      </c>
      <c r="BN55" s="106" t="n">
        <v>1983392.29</v>
      </c>
      <c r="BO55" s="106" t="n">
        <v>0</v>
      </c>
      <c r="BP55" s="106" t="n">
        <v>764851.03</v>
      </c>
      <c r="BQ55" s="106" t="n">
        <v>859745.54</v>
      </c>
      <c r="BR55" s="106" t="n">
        <v>0</v>
      </c>
      <c r="BS55" s="106" t="n"/>
      <c r="BT55" s="106" t="n"/>
      <c r="BU55" s="106" t="n">
        <v>0</v>
      </c>
      <c r="BV55" s="106" t="n">
        <v>4729777.27</v>
      </c>
      <c r="BW55" s="106" t="n">
        <v>0</v>
      </c>
      <c r="BX55" s="106" t="n">
        <v>3962700.17</v>
      </c>
      <c r="BY55" s="106" t="n"/>
      <c r="BZ55" s="106" t="n">
        <v>118987.5845</v>
      </c>
      <c r="CA55" s="114" t="n">
        <v>24854.0145</v>
      </c>
      <c r="CB55" s="115" t="n">
        <v>293921.6009714</v>
      </c>
      <c r="CD55" s="116" t="n">
        <f aca="false" ca="false" dt2D="false" dtr="false" t="normal">+CD54+1</f>
        <v>38</v>
      </c>
      <c r="CE55" s="117" t="n">
        <f aca="false" ca="false" dt2D="false" dtr="false" t="normal">+CE54+1</f>
        <v>38</v>
      </c>
      <c r="CF55" s="104" t="s">
        <v>111</v>
      </c>
      <c r="CG55" s="104" t="s">
        <v>112</v>
      </c>
      <c r="CH55" s="118" t="n">
        <f aca="false" ca="true" dt2D="false" dtr="false" t="normal">SUBTOTAL(9, CI55:CW55)</f>
        <v>12738229.499971401</v>
      </c>
      <c r="CI55" s="106" t="n">
        <v>1983392.29</v>
      </c>
      <c r="CJ55" s="106" t="n">
        <v>0</v>
      </c>
      <c r="CK55" s="106" t="n">
        <v>764851.03</v>
      </c>
      <c r="CL55" s="106" t="n">
        <v>859745.54</v>
      </c>
      <c r="CM55" s="106" t="n">
        <v>0</v>
      </c>
      <c r="CN55" s="106" t="n"/>
      <c r="CO55" s="106" t="n"/>
      <c r="CP55" s="106" t="n">
        <v>0</v>
      </c>
      <c r="CQ55" s="106" t="n">
        <v>4729777.27</v>
      </c>
      <c r="CR55" s="106" t="n">
        <v>0</v>
      </c>
      <c r="CS55" s="106" t="n">
        <v>3962700.17</v>
      </c>
      <c r="CT55" s="106" t="n"/>
      <c r="CU55" s="106" t="n">
        <v>118987.5845</v>
      </c>
      <c r="CV55" s="114" t="n">
        <v>24854.0145</v>
      </c>
      <c r="CW55" s="115" t="n">
        <v>293921.6009714</v>
      </c>
      <c r="CZ55" s="104" t="s">
        <v>112</v>
      </c>
      <c r="DA55" s="119" t="n">
        <f aca="false" ca="true" dt2D="false" dtr="false" t="normal">SUBTOTAL(9, DB55:DP55)</f>
        <v>12553815.559</v>
      </c>
      <c r="DB55" s="106" t="n">
        <v>1983392.29</v>
      </c>
      <c r="DC55" s="106" t="n">
        <v>0</v>
      </c>
      <c r="DD55" s="106" t="n">
        <v>764851.03</v>
      </c>
      <c r="DE55" s="106" t="n">
        <v>859745.54</v>
      </c>
      <c r="DF55" s="106" t="n">
        <v>0</v>
      </c>
      <c r="DG55" s="106" t="n"/>
      <c r="DH55" s="106" t="n"/>
      <c r="DI55" s="106" t="n">
        <v>0</v>
      </c>
      <c r="DJ55" s="106" t="n">
        <v>4729777.27</v>
      </c>
      <c r="DK55" s="106" t="n">
        <v>0</v>
      </c>
      <c r="DL55" s="106" t="n">
        <v>3962700.17</v>
      </c>
      <c r="DM55" s="106" t="n"/>
      <c r="DN55" s="106" t="n">
        <v>118987.5845</v>
      </c>
      <c r="DO55" s="114" t="n">
        <v>24854.0145</v>
      </c>
      <c r="DP55" s="120" t="n">
        <f aca="false" ca="false" dt2D="false" dtr="false" t="normal">20818.12+6585.02+11518.46+32453.28+38132.78</f>
        <v>109507.66</v>
      </c>
      <c r="DQ55" s="3" t="n">
        <f aca="false" ca="false" dt2D="false" dtr="false" t="normal">N55-DA55</f>
        <v>0</v>
      </c>
      <c r="DS55" s="9" t="n"/>
    </row>
    <row hidden="false" ht="15" outlineLevel="0" r="56">
      <c r="A56" s="103" t="n">
        <f aca="false" ca="false" dt2D="false" dtr="false" t="normal">+A55+1</f>
        <v>39</v>
      </c>
      <c r="B56" s="104" t="n">
        <f aca="false" ca="false" dt2D="false" dtr="false" t="normal">+B55+1</f>
        <v>39</v>
      </c>
      <c r="C56" s="104" t="s">
        <v>111</v>
      </c>
      <c r="D56" s="104" t="s">
        <v>113</v>
      </c>
      <c r="E56" s="105" t="n">
        <v>1999</v>
      </c>
      <c r="F56" s="105" t="n">
        <v>2011</v>
      </c>
      <c r="G56" s="105" t="s">
        <v>68</v>
      </c>
      <c r="H56" s="105" t="n">
        <v>4</v>
      </c>
      <c r="I56" s="105" t="n">
        <v>3</v>
      </c>
      <c r="J56" s="106" t="n">
        <v>1789.4</v>
      </c>
      <c r="K56" s="106" t="n">
        <v>1789.4</v>
      </c>
      <c r="L56" s="106" t="n">
        <v>0</v>
      </c>
      <c r="M56" s="107" t="n">
        <v>56</v>
      </c>
      <c r="N56" s="108" t="n">
        <f aca="false" ca="false" dt2D="false" dtr="false" t="normal">SUM(P56:T56)</f>
        <v>9735761.079999998</v>
      </c>
      <c r="O56" s="106" t="n"/>
      <c r="P56" s="114" t="n">
        <v>1115147.88</v>
      </c>
      <c r="Q56" s="114" t="n"/>
      <c r="R56" s="114" t="n">
        <v>889415</v>
      </c>
      <c r="S56" s="114" t="n">
        <v>6441840</v>
      </c>
      <c r="T56" s="106" t="n">
        <v>1289358.2</v>
      </c>
      <c r="U56" s="114" t="n">
        <v>5606.17177022018</v>
      </c>
      <c r="V56" s="114" t="n">
        <v>5606.17177022018</v>
      </c>
      <c r="W56" s="110" t="n">
        <v>2022</v>
      </c>
      <c r="X56" s="9" t="e">
        <f aca="false" ca="false" dt2D="false" dtr="false" t="normal">+#REF!-'[9]Приложение №1'!$P989</f>
        <v>#REF!</v>
      </c>
      <c r="Z56" s="113" t="n">
        <f aca="false" ca="false" dt2D="false" dtr="false" t="normal">SUM(AA56:AO56)</f>
        <v>15155840.090000002</v>
      </c>
      <c r="AA56" s="106" t="n">
        <v>3843679.5940452</v>
      </c>
      <c r="AB56" s="106" t="n">
        <v>0</v>
      </c>
      <c r="AC56" s="106" t="n">
        <v>1430991.04372056</v>
      </c>
      <c r="AD56" s="106" t="n">
        <v>895890.87583128</v>
      </c>
      <c r="AE56" s="106" t="n">
        <v>0</v>
      </c>
      <c r="AF56" s="106" t="n"/>
      <c r="AG56" s="106" t="n">
        <v>147492.512475</v>
      </c>
      <c r="AH56" s="106" t="n">
        <v>0</v>
      </c>
      <c r="AI56" s="106" t="n">
        <v>7026831.1230768</v>
      </c>
      <c r="AJ56" s="106" t="n">
        <v>0</v>
      </c>
      <c r="AK56" s="106" t="n">
        <v>0</v>
      </c>
      <c r="AL56" s="106" t="n">
        <v>0</v>
      </c>
      <c r="AM56" s="106" t="n">
        <v>1367570.9297</v>
      </c>
      <c r="AN56" s="114" t="n">
        <v>151558.4009</v>
      </c>
      <c r="AO56" s="115" t="n">
        <v>291825.61025116</v>
      </c>
      <c r="AP56" s="112" t="n">
        <f aca="false" ca="false" dt2D="false" dtr="false" t="normal">+N56-'Приложение №2'!E56</f>
        <v>0</v>
      </c>
      <c r="AQ56" s="1" t="n">
        <v>725047.53</v>
      </c>
      <c r="AR56" s="3" t="n">
        <f aca="false" ca="false" dt2D="false" dtr="false" t="normal">+(K56*10+L56*20)*12*0.85</f>
        <v>182518.8</v>
      </c>
      <c r="AS56" s="3" t="n">
        <f aca="false" ca="false" dt2D="false" dtr="false" t="normal">+(K56*10+L56*20)*12*30</f>
        <v>6441840</v>
      </c>
      <c r="AT56" s="9" t="n">
        <f aca="false" ca="false" dt2D="false" dtr="false" t="normal">+S56-AS56</f>
        <v>0</v>
      </c>
      <c r="AW56" s="113" t="n">
        <f aca="false" ca="true" dt2D="false" dtr="false" t="normal">SUBTOTAL(9, AX56:BL56)</f>
        <v>10031683.765631998</v>
      </c>
      <c r="AX56" s="106" t="n">
        <v>3525522.9</v>
      </c>
      <c r="AY56" s="106" t="n">
        <v>0</v>
      </c>
      <c r="AZ56" s="106" t="n">
        <v>1377151.25</v>
      </c>
      <c r="BA56" s="106" t="n"/>
      <c r="BB56" s="106" t="n">
        <v>0</v>
      </c>
      <c r="BC56" s="106" t="n"/>
      <c r="BD56" s="106" t="n"/>
      <c r="BE56" s="106" t="n">
        <v>0</v>
      </c>
      <c r="BF56" s="106" t="n">
        <v>4462778.89</v>
      </c>
      <c r="BG56" s="106" t="n">
        <v>0</v>
      </c>
      <c r="BH56" s="106" t="n">
        <v>0</v>
      </c>
      <c r="BI56" s="106" t="n">
        <v>0</v>
      </c>
      <c r="BJ56" s="106" t="n">
        <v>322308.04</v>
      </c>
      <c r="BK56" s="114" t="n">
        <v>48000</v>
      </c>
      <c r="BL56" s="115" t="n">
        <v>295922.685632</v>
      </c>
      <c r="BM56" s="14" t="n">
        <f aca="false" ca="true" dt2D="false" dtr="false" t="normal">SUBTOTAL(9, BN56:CB56)</f>
        <v>10031683.765631998</v>
      </c>
      <c r="BN56" s="106" t="n">
        <v>3525522.9</v>
      </c>
      <c r="BO56" s="106" t="n">
        <v>0</v>
      </c>
      <c r="BP56" s="106" t="n">
        <v>1377151.25</v>
      </c>
      <c r="BQ56" s="106" t="n"/>
      <c r="BR56" s="106" t="n">
        <v>0</v>
      </c>
      <c r="BS56" s="106" t="n"/>
      <c r="BT56" s="106" t="n"/>
      <c r="BU56" s="106" t="n">
        <v>0</v>
      </c>
      <c r="BV56" s="106" t="n">
        <v>4462778.89</v>
      </c>
      <c r="BW56" s="106" t="n">
        <v>0</v>
      </c>
      <c r="BX56" s="106" t="n">
        <v>0</v>
      </c>
      <c r="BY56" s="106" t="n">
        <v>0</v>
      </c>
      <c r="BZ56" s="106" t="n">
        <v>322308.04</v>
      </c>
      <c r="CA56" s="114" t="n">
        <v>48000</v>
      </c>
      <c r="CB56" s="115" t="n">
        <v>295922.685632</v>
      </c>
      <c r="CD56" s="116" t="n">
        <f aca="false" ca="false" dt2D="false" dtr="false" t="normal">+CD55+1</f>
        <v>39</v>
      </c>
      <c r="CE56" s="117" t="n">
        <f aca="false" ca="false" dt2D="false" dtr="false" t="normal">+CE55+1</f>
        <v>39</v>
      </c>
      <c r="CF56" s="104" t="s">
        <v>111</v>
      </c>
      <c r="CG56" s="104" t="s">
        <v>113</v>
      </c>
      <c r="CH56" s="118" t="n">
        <f aca="false" ca="true" dt2D="false" dtr="false" t="normal">SUBTOTAL(9, CI56:CW56)</f>
        <v>10031683.765631998</v>
      </c>
      <c r="CI56" s="106" t="n">
        <v>3525522.9</v>
      </c>
      <c r="CJ56" s="106" t="n">
        <v>0</v>
      </c>
      <c r="CK56" s="106" t="n">
        <v>1377151.25</v>
      </c>
      <c r="CL56" s="106" t="n"/>
      <c r="CM56" s="106" t="n">
        <v>0</v>
      </c>
      <c r="CN56" s="106" t="n"/>
      <c r="CO56" s="106" t="n"/>
      <c r="CP56" s="106" t="n">
        <v>0</v>
      </c>
      <c r="CQ56" s="106" t="n">
        <v>4462778.89</v>
      </c>
      <c r="CR56" s="106" t="n">
        <v>0</v>
      </c>
      <c r="CS56" s="106" t="n">
        <v>0</v>
      </c>
      <c r="CT56" s="106" t="n">
        <v>0</v>
      </c>
      <c r="CU56" s="106" t="n">
        <v>322308.04</v>
      </c>
      <c r="CV56" s="114" t="n">
        <v>48000</v>
      </c>
      <c r="CW56" s="115" t="n">
        <v>295922.685632</v>
      </c>
      <c r="CZ56" s="104" t="s">
        <v>113</v>
      </c>
      <c r="DA56" s="119" t="n">
        <f aca="false" ca="true" dt2D="false" dtr="false" t="normal">SUBTOTAL(9, DB56:DP56)</f>
        <v>9735761.079999998</v>
      </c>
      <c r="DB56" s="106" t="n">
        <v>3525522.9</v>
      </c>
      <c r="DC56" s="106" t="n">
        <v>0</v>
      </c>
      <c r="DD56" s="106" t="n">
        <v>1377151.25</v>
      </c>
      <c r="DE56" s="106" t="n"/>
      <c r="DF56" s="106" t="n">
        <v>0</v>
      </c>
      <c r="DG56" s="106" t="n"/>
      <c r="DH56" s="106" t="n"/>
      <c r="DI56" s="106" t="n">
        <v>0</v>
      </c>
      <c r="DJ56" s="106" t="n">
        <v>4462778.89</v>
      </c>
      <c r="DK56" s="106" t="n">
        <v>0</v>
      </c>
      <c r="DL56" s="106" t="n">
        <v>0</v>
      </c>
      <c r="DM56" s="106" t="n">
        <v>0</v>
      </c>
      <c r="DN56" s="106" t="n">
        <v>322308.04</v>
      </c>
      <c r="DO56" s="114" t="n">
        <v>48000</v>
      </c>
      <c r="DP56" s="122" t="n"/>
      <c r="DQ56" s="3" t="n">
        <f aca="false" ca="false" dt2D="false" dtr="false" t="normal">N56-DA56</f>
        <v>0</v>
      </c>
      <c r="DS56" s="9" t="n"/>
    </row>
    <row hidden="false" ht="15" outlineLevel="0" r="57">
      <c r="A57" s="103" t="n">
        <f aca="false" ca="false" dt2D="false" dtr="false" t="normal">+A56+1</f>
        <v>40</v>
      </c>
      <c r="B57" s="104" t="n">
        <f aca="false" ca="false" dt2D="false" dtr="false" t="normal">+B56+1</f>
        <v>40</v>
      </c>
      <c r="C57" s="104" t="s">
        <v>111</v>
      </c>
      <c r="D57" s="104" t="s">
        <v>114</v>
      </c>
      <c r="E57" s="105" t="n">
        <v>1995</v>
      </c>
      <c r="F57" s="105" t="n">
        <v>2013</v>
      </c>
      <c r="G57" s="105" t="s">
        <v>68</v>
      </c>
      <c r="H57" s="105" t="n">
        <v>5</v>
      </c>
      <c r="I57" s="105" t="n">
        <v>4</v>
      </c>
      <c r="J57" s="106" t="n">
        <v>4929.5</v>
      </c>
      <c r="K57" s="106" t="n">
        <v>4328.9</v>
      </c>
      <c r="L57" s="106" t="n">
        <v>0</v>
      </c>
      <c r="M57" s="107" t="n">
        <v>159</v>
      </c>
      <c r="N57" s="108" t="n">
        <f aca="false" ca="false" dt2D="false" dtr="false" t="normal">SUM(P57:T57)</f>
        <v>7455631.82</v>
      </c>
      <c r="O57" s="106" t="n"/>
      <c r="P57" s="114" t="n"/>
      <c r="Q57" s="114" t="n"/>
      <c r="R57" s="114" t="n">
        <v>902303.69</v>
      </c>
      <c r="S57" s="114" t="n">
        <v>6553328.13</v>
      </c>
      <c r="T57" s="106" t="n">
        <v>0</v>
      </c>
      <c r="U57" s="114" t="n">
        <v>1821.31383064118</v>
      </c>
      <c r="V57" s="114" t="n">
        <v>1821.31383064118</v>
      </c>
      <c r="W57" s="110" t="n">
        <v>2022</v>
      </c>
      <c r="X57" s="9" t="e">
        <f aca="false" ca="false" dt2D="false" dtr="false" t="normal">+#REF!-'[9]Приложение №1'!$P992</f>
        <v>#REF!</v>
      </c>
      <c r="Z57" s="113" t="n">
        <f aca="false" ca="false" dt2D="false" dtr="false" t="normal">SUM(AA57:AO57)</f>
        <v>77122932.97999996</v>
      </c>
      <c r="AA57" s="106" t="n">
        <v>7245200.61515796</v>
      </c>
      <c r="AB57" s="106" t="n">
        <v>4190097.58627026</v>
      </c>
      <c r="AC57" s="106" t="n">
        <v>4429243.38656982</v>
      </c>
      <c r="AD57" s="106" t="n">
        <v>3377335.73924376</v>
      </c>
      <c r="AE57" s="106" t="n">
        <v>0</v>
      </c>
      <c r="AF57" s="106" t="n"/>
      <c r="AG57" s="106" t="n">
        <v>360012.1102956</v>
      </c>
      <c r="AH57" s="106" t="n">
        <v>0</v>
      </c>
      <c r="AI57" s="106" t="n">
        <v>12897560.1974562</v>
      </c>
      <c r="AJ57" s="106" t="n">
        <v>0</v>
      </c>
      <c r="AK57" s="106" t="n">
        <v>25040686.2838343</v>
      </c>
      <c r="AL57" s="106" t="n">
        <v>9848180.7538506</v>
      </c>
      <c r="AM57" s="106" t="n">
        <v>7489740.9763</v>
      </c>
      <c r="AN57" s="114" t="n">
        <v>771229.3298</v>
      </c>
      <c r="AO57" s="115" t="n">
        <v>1473646.00122146</v>
      </c>
      <c r="AP57" s="112" t="n">
        <f aca="false" ca="false" dt2D="false" dtr="false" t="normal">+N57-'Приложение №2'!E57</f>
        <v>0</v>
      </c>
      <c r="AQ57" s="1" t="n">
        <v>1948762.98</v>
      </c>
      <c r="AR57" s="3" t="n">
        <f aca="false" ca="false" dt2D="false" dtr="false" t="normal">+(K57*10+L57*20)*12*0.85</f>
        <v>441547.8</v>
      </c>
      <c r="AS57" s="3" t="n">
        <f aca="false" ca="false" dt2D="false" dtr="false" t="normal">+(K57*10+L57*20)*12*30</f>
        <v>15584040</v>
      </c>
      <c r="AT57" s="9" t="n">
        <f aca="false" ca="false" dt2D="false" dtr="false" t="normal">+S57-AS57</f>
        <v>-9030711.870000001</v>
      </c>
      <c r="AW57" s="113" t="n">
        <f aca="false" ca="true" dt2D="false" dtr="false" t="normal">SUBTOTAL(9, AX57:BL57)</f>
        <v>7884285.4414626</v>
      </c>
      <c r="AX57" s="106" t="n">
        <v>5966685.68</v>
      </c>
      <c r="AY57" s="106" t="n">
        <v>1488946.14</v>
      </c>
      <c r="AZ57" s="106" t="n"/>
      <c r="BA57" s="106" t="n"/>
      <c r="BB57" s="106" t="n">
        <v>0</v>
      </c>
      <c r="BC57" s="106" t="n"/>
      <c r="BD57" s="106" t="n"/>
      <c r="BE57" s="106" t="n">
        <v>0</v>
      </c>
      <c r="BF57" s="106" t="n"/>
      <c r="BG57" s="106" t="n">
        <v>0</v>
      </c>
      <c r="BH57" s="106" t="n"/>
      <c r="BI57" s="106" t="n"/>
      <c r="BJ57" s="106" t="n"/>
      <c r="BK57" s="114" t="n"/>
      <c r="BL57" s="115" t="n">
        <v>428653.6214626</v>
      </c>
      <c r="BM57" s="14" t="n">
        <f aca="false" ca="true" dt2D="false" dtr="false" t="normal">SUBTOTAL(9, BN57:CB57)</f>
        <v>7884285.4414626</v>
      </c>
      <c r="BN57" s="106" t="n">
        <v>5966685.68</v>
      </c>
      <c r="BO57" s="106" t="n">
        <v>1488946.14</v>
      </c>
      <c r="BP57" s="106" t="n"/>
      <c r="BQ57" s="106" t="n"/>
      <c r="BR57" s="106" t="n">
        <v>0</v>
      </c>
      <c r="BS57" s="106" t="n"/>
      <c r="BT57" s="106" t="n"/>
      <c r="BU57" s="106" t="n">
        <v>0</v>
      </c>
      <c r="BV57" s="106" t="n"/>
      <c r="BW57" s="106" t="n">
        <v>0</v>
      </c>
      <c r="BX57" s="106" t="n"/>
      <c r="BY57" s="106" t="n"/>
      <c r="BZ57" s="106" t="n"/>
      <c r="CA57" s="114" t="n"/>
      <c r="CB57" s="115" t="n">
        <v>428653.6214626</v>
      </c>
      <c r="CD57" s="116" t="n">
        <f aca="false" ca="false" dt2D="false" dtr="false" t="normal">+CD56+1</f>
        <v>40</v>
      </c>
      <c r="CE57" s="117" t="n">
        <f aca="false" ca="false" dt2D="false" dtr="false" t="normal">+CE56+1</f>
        <v>40</v>
      </c>
      <c r="CF57" s="104" t="s">
        <v>111</v>
      </c>
      <c r="CG57" s="104" t="s">
        <v>114</v>
      </c>
      <c r="CH57" s="118" t="n">
        <f aca="false" ca="true" dt2D="false" dtr="false" t="normal">SUBTOTAL(9, CI57:CW57)</f>
        <v>7884285.4414626</v>
      </c>
      <c r="CI57" s="106" t="n">
        <v>5966685.68</v>
      </c>
      <c r="CJ57" s="106" t="n">
        <v>1488946.14</v>
      </c>
      <c r="CK57" s="106" t="n"/>
      <c r="CL57" s="106" t="n"/>
      <c r="CM57" s="106" t="n">
        <v>0</v>
      </c>
      <c r="CN57" s="106" t="n"/>
      <c r="CO57" s="106" t="n"/>
      <c r="CP57" s="106" t="n">
        <v>0</v>
      </c>
      <c r="CQ57" s="106" t="n"/>
      <c r="CR57" s="106" t="n">
        <v>0</v>
      </c>
      <c r="CS57" s="106" t="n"/>
      <c r="CT57" s="106" t="n"/>
      <c r="CU57" s="106" t="n"/>
      <c r="CV57" s="114" t="n"/>
      <c r="CW57" s="115" t="n">
        <v>428653.6214626</v>
      </c>
      <c r="CZ57" s="104" t="s">
        <v>114</v>
      </c>
      <c r="DA57" s="119" t="n">
        <f aca="false" ca="true" dt2D="false" dtr="false" t="normal">SUBTOTAL(9, DB57:DP57)</f>
        <v>7455631.819999999</v>
      </c>
      <c r="DB57" s="106" t="n">
        <v>5966685.68</v>
      </c>
      <c r="DC57" s="106" t="n">
        <v>1488946.14</v>
      </c>
      <c r="DD57" s="106" t="n"/>
      <c r="DE57" s="106" t="n"/>
      <c r="DF57" s="106" t="n">
        <v>0</v>
      </c>
      <c r="DG57" s="106" t="n"/>
      <c r="DH57" s="106" t="n"/>
      <c r="DI57" s="106" t="n">
        <v>0</v>
      </c>
      <c r="DJ57" s="106" t="n"/>
      <c r="DK57" s="106" t="n">
        <v>0</v>
      </c>
      <c r="DL57" s="106" t="n"/>
      <c r="DM57" s="106" t="n"/>
      <c r="DN57" s="106" t="n"/>
      <c r="DO57" s="114" t="n"/>
      <c r="DP57" s="122" t="n"/>
      <c r="DQ57" s="3" t="n">
        <f aca="false" ca="false" dt2D="false" dtr="false" t="normal">N57-DA57</f>
        <v>0</v>
      </c>
      <c r="DS57" s="9" t="n"/>
    </row>
    <row hidden="false" ht="15" outlineLevel="0" r="58">
      <c r="A58" s="103" t="n">
        <f aca="false" ca="false" dt2D="false" dtr="false" t="normal">+A57+1</f>
        <v>41</v>
      </c>
      <c r="B58" s="104" t="n">
        <f aca="false" ca="false" dt2D="false" dtr="false" t="normal">+B57+1</f>
        <v>41</v>
      </c>
      <c r="C58" s="104" t="s">
        <v>111</v>
      </c>
      <c r="D58" s="104" t="s">
        <v>115</v>
      </c>
      <c r="E58" s="105" t="n">
        <v>1983</v>
      </c>
      <c r="F58" s="105" t="n">
        <v>1983</v>
      </c>
      <c r="G58" s="105" t="s">
        <v>68</v>
      </c>
      <c r="H58" s="105" t="n">
        <v>2</v>
      </c>
      <c r="I58" s="105" t="n">
        <v>2</v>
      </c>
      <c r="J58" s="106" t="n">
        <v>712.2</v>
      </c>
      <c r="K58" s="106" t="n">
        <v>635.1</v>
      </c>
      <c r="L58" s="106" t="n">
        <v>0</v>
      </c>
      <c r="M58" s="107" t="n">
        <v>33</v>
      </c>
      <c r="N58" s="108" t="n">
        <f aca="false" ca="false" dt2D="false" dtr="false" t="normal">SUM(P58:T58)</f>
        <v>12314688.842366</v>
      </c>
      <c r="O58" s="106" t="n"/>
      <c r="P58" s="114" t="n">
        <v>2482138.81</v>
      </c>
      <c r="Q58" s="114" t="n"/>
      <c r="R58" s="114" t="n">
        <v>366253.68</v>
      </c>
      <c r="S58" s="114" t="n">
        <v>2286360</v>
      </c>
      <c r="T58" s="106" t="n">
        <v>7179936.352366</v>
      </c>
      <c r="U58" s="114" t="n">
        <v>20046.8608365992</v>
      </c>
      <c r="V58" s="114" t="n">
        <v>20046.8608365992</v>
      </c>
      <c r="W58" s="110" t="n">
        <v>2022</v>
      </c>
      <c r="X58" s="9" t="e">
        <f aca="false" ca="false" dt2D="false" dtr="false" t="normal">+#REF!-'[9]Приложение №1'!$P819</f>
        <v>#REF!</v>
      </c>
      <c r="Z58" s="113" t="n">
        <f aca="false" ca="false" dt2D="false" dtr="false" t="normal">SUM(AA58:AO58)</f>
        <v>20279025.380000003</v>
      </c>
      <c r="AA58" s="106" t="n">
        <v>1948967.01784512</v>
      </c>
      <c r="AB58" s="106" t="n">
        <v>0</v>
      </c>
      <c r="AC58" s="106" t="n">
        <v>558813.84979434</v>
      </c>
      <c r="AD58" s="106" t="n">
        <v>476227.195752</v>
      </c>
      <c r="AE58" s="106" t="n">
        <v>0</v>
      </c>
      <c r="AF58" s="106" t="n"/>
      <c r="AG58" s="106" t="n">
        <v>198888.25194672</v>
      </c>
      <c r="AH58" s="106" t="n">
        <v>0</v>
      </c>
      <c r="AI58" s="106" t="n">
        <v>5638041.5737464</v>
      </c>
      <c r="AJ58" s="106" t="n">
        <v>0</v>
      </c>
      <c r="AK58" s="106" t="n">
        <v>4610023.2322851</v>
      </c>
      <c r="AL58" s="106" t="n">
        <v>4338269.1668022</v>
      </c>
      <c r="AM58" s="106" t="n">
        <v>1918427.7604</v>
      </c>
      <c r="AN58" s="114" t="n">
        <v>202790.2538</v>
      </c>
      <c r="AO58" s="115" t="n">
        <v>388577.07762812</v>
      </c>
      <c r="AP58" s="112" t="n">
        <f aca="false" ca="false" dt2D="false" dtr="false" t="normal">+N58-'Приложение №2'!E58</f>
        <v>0</v>
      </c>
      <c r="AQ58" s="1" t="n">
        <v>301473.48</v>
      </c>
      <c r="AR58" s="3" t="n">
        <f aca="false" ca="false" dt2D="false" dtr="false" t="normal">+(K58*10+L58*20)*12*0.85</f>
        <v>64780.2</v>
      </c>
      <c r="AS58" s="3" t="n">
        <f aca="false" ca="false" dt2D="false" dtr="false" t="normal">+(K58*10+L58*20)*12*30</f>
        <v>2286360</v>
      </c>
      <c r="AT58" s="9" t="n">
        <f aca="false" ca="false" dt2D="false" dtr="false" t="normal">+S58-AS58</f>
        <v>0</v>
      </c>
      <c r="AW58" s="113" t="n">
        <f aca="false" ca="true" dt2D="false" dtr="false" t="normal">SUBTOTAL(9, AX58:BL58)</f>
        <v>12731761.31732418</v>
      </c>
      <c r="AX58" s="106" t="n">
        <v>1765727.93</v>
      </c>
      <c r="AY58" s="106" t="n">
        <v>0</v>
      </c>
      <c r="AZ58" s="106" t="n">
        <v>609050.4</v>
      </c>
      <c r="BA58" s="106" t="n"/>
      <c r="BB58" s="106" t="n">
        <v>0</v>
      </c>
      <c r="BC58" s="106" t="n"/>
      <c r="BD58" s="106" t="n"/>
      <c r="BE58" s="106" t="n">
        <v>0</v>
      </c>
      <c r="BF58" s="106" t="n">
        <v>6221591.211066</v>
      </c>
      <c r="BG58" s="106" t="n"/>
      <c r="BH58" s="106" t="n"/>
      <c r="BI58" s="106" t="n">
        <v>2928661.91</v>
      </c>
      <c r="BJ58" s="106" t="n">
        <v>699135.1274</v>
      </c>
      <c r="BK58" s="114" t="n">
        <v>90522.2639</v>
      </c>
      <c r="BL58" s="115" t="n">
        <v>417072.47495818</v>
      </c>
      <c r="BM58" s="14" t="n">
        <f aca="false" ca="true" dt2D="false" dtr="false" t="normal">SUBTOTAL(9, BN58:CB58)</f>
        <v>12731761.31732418</v>
      </c>
      <c r="BN58" s="106" t="n">
        <v>1765727.93</v>
      </c>
      <c r="BO58" s="106" t="n">
        <v>0</v>
      </c>
      <c r="BP58" s="106" t="n">
        <v>609050.4</v>
      </c>
      <c r="BQ58" s="106" t="n"/>
      <c r="BR58" s="106" t="n">
        <v>0</v>
      </c>
      <c r="BS58" s="106" t="n"/>
      <c r="BT58" s="106" t="n"/>
      <c r="BU58" s="106" t="n">
        <v>0</v>
      </c>
      <c r="BV58" s="106" t="n">
        <v>6221591.211066</v>
      </c>
      <c r="BW58" s="106" t="n"/>
      <c r="BX58" s="106" t="n"/>
      <c r="BY58" s="106" t="n">
        <v>2928661.91</v>
      </c>
      <c r="BZ58" s="106" t="n">
        <v>699135.1274</v>
      </c>
      <c r="CA58" s="114" t="n">
        <v>90522.2639</v>
      </c>
      <c r="CB58" s="115" t="n">
        <v>417072.47495818</v>
      </c>
      <c r="CD58" s="116" t="n">
        <f aca="false" ca="false" dt2D="false" dtr="false" t="normal">+CD57+1</f>
        <v>41</v>
      </c>
      <c r="CE58" s="117" t="n">
        <f aca="false" ca="false" dt2D="false" dtr="false" t="normal">+CE57+1</f>
        <v>41</v>
      </c>
      <c r="CF58" s="104" t="s">
        <v>111</v>
      </c>
      <c r="CG58" s="104" t="s">
        <v>115</v>
      </c>
      <c r="CH58" s="118" t="n">
        <f aca="false" ca="true" dt2D="false" dtr="false" t="normal">SUBTOTAL(9, CI58:CW58)</f>
        <v>12731761.31732418</v>
      </c>
      <c r="CI58" s="106" t="n">
        <v>1765727.93</v>
      </c>
      <c r="CJ58" s="106" t="n">
        <v>0</v>
      </c>
      <c r="CK58" s="106" t="n">
        <v>609050.4</v>
      </c>
      <c r="CL58" s="106" t="n"/>
      <c r="CM58" s="106" t="n">
        <v>0</v>
      </c>
      <c r="CN58" s="106" t="n"/>
      <c r="CO58" s="106" t="n"/>
      <c r="CP58" s="106" t="n">
        <v>0</v>
      </c>
      <c r="CQ58" s="106" t="n">
        <v>6221591.211066</v>
      </c>
      <c r="CR58" s="106" t="n"/>
      <c r="CS58" s="106" t="n"/>
      <c r="CT58" s="106" t="n">
        <v>2928661.91</v>
      </c>
      <c r="CU58" s="106" t="n">
        <v>699135.1274</v>
      </c>
      <c r="CV58" s="114" t="n">
        <v>90522.2639</v>
      </c>
      <c r="CW58" s="115" t="n">
        <v>417072.47495818</v>
      </c>
      <c r="CZ58" s="104" t="s">
        <v>115</v>
      </c>
      <c r="DA58" s="119" t="n">
        <f aca="false" ca="true" dt2D="false" dtr="false" t="normal">SUBTOTAL(9, DB58:DP58)</f>
        <v>12314688.842366</v>
      </c>
      <c r="DB58" s="106" t="n">
        <v>1765727.93</v>
      </c>
      <c r="DC58" s="106" t="n">
        <v>0</v>
      </c>
      <c r="DD58" s="106" t="n">
        <v>609050.4</v>
      </c>
      <c r="DE58" s="106" t="n"/>
      <c r="DF58" s="106" t="n">
        <v>0</v>
      </c>
      <c r="DG58" s="106" t="n"/>
      <c r="DH58" s="106" t="n"/>
      <c r="DI58" s="106" t="n">
        <v>0</v>
      </c>
      <c r="DJ58" s="106" t="n">
        <v>6221591.211066</v>
      </c>
      <c r="DK58" s="106" t="n"/>
      <c r="DL58" s="106" t="n"/>
      <c r="DM58" s="106" t="n">
        <v>2928661.91</v>
      </c>
      <c r="DN58" s="106" t="n">
        <v>699135.1274</v>
      </c>
      <c r="DO58" s="114" t="n">
        <v>90522.2639</v>
      </c>
      <c r="DP58" s="122" t="n"/>
      <c r="DQ58" s="3" t="n">
        <f aca="false" ca="false" dt2D="false" dtr="false" t="normal">N58-DA58</f>
        <v>0</v>
      </c>
      <c r="DS58" s="9" t="n"/>
    </row>
    <row hidden="false" ht="15" outlineLevel="0" r="59">
      <c r="A59" s="103" t="n">
        <f aca="false" ca="false" dt2D="false" dtr="false" t="normal">+A58+1</f>
        <v>42</v>
      </c>
      <c r="B59" s="104" t="n">
        <f aca="false" ca="false" dt2D="false" dtr="false" t="normal">+B58+1</f>
        <v>42</v>
      </c>
      <c r="C59" s="104" t="s">
        <v>111</v>
      </c>
      <c r="D59" s="104" t="s">
        <v>116</v>
      </c>
      <c r="E59" s="105" t="n">
        <v>1979</v>
      </c>
      <c r="F59" s="105" t="n">
        <v>1979</v>
      </c>
      <c r="G59" s="105" t="s">
        <v>68</v>
      </c>
      <c r="H59" s="105" t="n">
        <v>4</v>
      </c>
      <c r="I59" s="105" t="n">
        <v>4</v>
      </c>
      <c r="J59" s="106" t="n">
        <v>4000.3</v>
      </c>
      <c r="K59" s="106" t="n">
        <v>3434.6</v>
      </c>
      <c r="L59" s="106" t="n">
        <v>0</v>
      </c>
      <c r="M59" s="107" t="n">
        <v>77</v>
      </c>
      <c r="N59" s="108" t="n">
        <f aca="false" ca="false" dt2D="false" dtr="false" t="normal">SUM(P59:T59)</f>
        <v>7111904.59</v>
      </c>
      <c r="O59" s="106" t="n"/>
      <c r="P59" s="114" t="n"/>
      <c r="Q59" s="114" t="n"/>
      <c r="R59" s="114" t="n">
        <v>1019742.18</v>
      </c>
      <c r="S59" s="114" t="n">
        <v>6092162.41</v>
      </c>
      <c r="T59" s="106" t="n">
        <v>0</v>
      </c>
      <c r="U59" s="114" t="n">
        <v>2124.4096864517</v>
      </c>
      <c r="V59" s="114" t="n">
        <v>2124.4096864517</v>
      </c>
      <c r="W59" s="110" t="n">
        <v>2022</v>
      </c>
      <c r="X59" s="9" t="e">
        <f aca="false" ca="false" dt2D="false" dtr="false" t="normal">+#REF!-'[9]Приложение №1'!$P999</f>
        <v>#REF!</v>
      </c>
      <c r="Z59" s="113" t="n">
        <f aca="false" ca="false" dt2D="false" dtr="false" t="normal">SUM(AA59:AO59)</f>
        <v>19726119.92</v>
      </c>
      <c r="AA59" s="106" t="n">
        <v>5852855.96527632</v>
      </c>
      <c r="AB59" s="106" t="n">
        <v>3384866.6112261</v>
      </c>
      <c r="AC59" s="106" t="n">
        <v>3578054.62503594</v>
      </c>
      <c r="AD59" s="106" t="n">
        <v>2728297.07236296</v>
      </c>
      <c r="AE59" s="106" t="n">
        <v>1089898.83215892</v>
      </c>
      <c r="AF59" s="106" t="n"/>
      <c r="AG59" s="106" t="n">
        <v>290826.8713476</v>
      </c>
      <c r="AH59" s="106" t="n">
        <v>0</v>
      </c>
      <c r="AI59" s="106" t="n">
        <v>0</v>
      </c>
      <c r="AJ59" s="106" t="n">
        <v>0</v>
      </c>
      <c r="AK59" s="106" t="n">
        <v>0</v>
      </c>
      <c r="AL59" s="106" t="n">
        <v>0</v>
      </c>
      <c r="AM59" s="106" t="n">
        <v>2233947.6464</v>
      </c>
      <c r="AN59" s="114" t="n">
        <v>197261.1992</v>
      </c>
      <c r="AO59" s="115" t="n">
        <v>370111.09699216</v>
      </c>
      <c r="AP59" s="112" t="n">
        <f aca="false" ca="false" dt2D="false" dtr="false" t="normal">+N59-'Приложение №2'!E59</f>
        <v>0</v>
      </c>
      <c r="AQ59" s="1" t="n">
        <v>1726106.62</v>
      </c>
      <c r="AR59" s="3" t="n">
        <f aca="false" ca="false" dt2D="false" dtr="false" t="normal">+(K59*10+L59*20)*12*0.85</f>
        <v>350329.2</v>
      </c>
      <c r="AS59" s="3" t="n">
        <f aca="false" ca="false" dt2D="false" dtr="false" t="normal">+(K59*10+L59*20)*12*30</f>
        <v>12364560</v>
      </c>
      <c r="AT59" s="9" t="n">
        <f aca="false" ca="false" dt2D="false" dtr="false" t="normal">+S59-AS59</f>
        <v>-6272397.59</v>
      </c>
      <c r="AW59" s="113" t="n">
        <f aca="false" ca="true" dt2D="false" dtr="false" t="normal">SUBTOTAL(9, AX59:BL59)</f>
        <v>7296497.50908702</v>
      </c>
      <c r="AX59" s="106" t="n">
        <v>3493966.86</v>
      </c>
      <c r="AY59" s="106" t="n">
        <v>2141042.75</v>
      </c>
      <c r="AZ59" s="106" t="n"/>
      <c r="BA59" s="106" t="n">
        <v>1393455.49</v>
      </c>
      <c r="BB59" s="106" t="n"/>
      <c r="BC59" s="106" t="n"/>
      <c r="BD59" s="106" t="n"/>
      <c r="BE59" s="106" t="n">
        <v>0</v>
      </c>
      <c r="BF59" s="106" t="n">
        <v>0</v>
      </c>
      <c r="BG59" s="106" t="n">
        <v>0</v>
      </c>
      <c r="BH59" s="106" t="n">
        <v>0</v>
      </c>
      <c r="BI59" s="106" t="n">
        <v>0</v>
      </c>
      <c r="BJ59" s="106" t="n"/>
      <c r="BK59" s="114" t="n"/>
      <c r="BL59" s="115" t="n">
        <v>268032.40908702</v>
      </c>
      <c r="BM59" s="14" t="n">
        <f aca="false" ca="true" dt2D="false" dtr="false" t="normal">SUBTOTAL(9, BN59:CB59)</f>
        <v>7296497.50908702</v>
      </c>
      <c r="BN59" s="106" t="n">
        <v>3493966.86</v>
      </c>
      <c r="BO59" s="106" t="n">
        <v>2141042.75</v>
      </c>
      <c r="BP59" s="106" t="n"/>
      <c r="BQ59" s="106" t="n">
        <v>1393455.49</v>
      </c>
      <c r="BR59" s="106" t="n"/>
      <c r="BS59" s="106" t="n"/>
      <c r="BT59" s="106" t="n"/>
      <c r="BU59" s="106" t="n">
        <v>0</v>
      </c>
      <c r="BV59" s="106" t="n">
        <v>0</v>
      </c>
      <c r="BW59" s="106" t="n">
        <v>0</v>
      </c>
      <c r="BX59" s="106" t="n">
        <v>0</v>
      </c>
      <c r="BY59" s="106" t="n">
        <v>0</v>
      </c>
      <c r="BZ59" s="106" t="n"/>
      <c r="CA59" s="114" t="n"/>
      <c r="CB59" s="115" t="n">
        <v>268032.40908702</v>
      </c>
      <c r="CD59" s="116" t="n">
        <f aca="false" ca="false" dt2D="false" dtr="false" t="normal">+CD58+1</f>
        <v>42</v>
      </c>
      <c r="CE59" s="117" t="n">
        <f aca="false" ca="false" dt2D="false" dtr="false" t="normal">+CE58+1</f>
        <v>42</v>
      </c>
      <c r="CF59" s="104" t="s">
        <v>111</v>
      </c>
      <c r="CG59" s="104" t="s">
        <v>116</v>
      </c>
      <c r="CH59" s="118" t="n">
        <f aca="false" ca="true" dt2D="false" dtr="false" t="normal">SUBTOTAL(9, CI59:CW59)</f>
        <v>7296497.50908702</v>
      </c>
      <c r="CI59" s="106" t="n">
        <v>3493966.86</v>
      </c>
      <c r="CJ59" s="106" t="n">
        <v>2141042.75</v>
      </c>
      <c r="CK59" s="106" t="n"/>
      <c r="CL59" s="106" t="n">
        <v>1393455.49</v>
      </c>
      <c r="CM59" s="106" t="n"/>
      <c r="CN59" s="106" t="n"/>
      <c r="CO59" s="106" t="n"/>
      <c r="CP59" s="106" t="n">
        <v>0</v>
      </c>
      <c r="CQ59" s="106" t="n">
        <v>0</v>
      </c>
      <c r="CR59" s="106" t="n">
        <v>0</v>
      </c>
      <c r="CS59" s="106" t="n">
        <v>0</v>
      </c>
      <c r="CT59" s="106" t="n">
        <v>0</v>
      </c>
      <c r="CU59" s="106" t="n"/>
      <c r="CV59" s="114" t="n"/>
      <c r="CW59" s="115" t="n">
        <v>268032.40908702</v>
      </c>
      <c r="CZ59" s="104" t="s">
        <v>116</v>
      </c>
      <c r="DA59" s="119" t="n">
        <f aca="false" ca="true" dt2D="false" dtr="false" t="normal">SUBTOTAL(9, DB59:DP59)</f>
        <v>7111904.59</v>
      </c>
      <c r="DB59" s="106" t="n">
        <v>3493966.86</v>
      </c>
      <c r="DC59" s="106" t="n">
        <v>2141042.75</v>
      </c>
      <c r="DD59" s="106" t="n"/>
      <c r="DE59" s="106" t="n">
        <v>1393455.49</v>
      </c>
      <c r="DF59" s="106" t="n"/>
      <c r="DG59" s="106" t="n"/>
      <c r="DH59" s="106" t="n"/>
      <c r="DI59" s="106" t="n">
        <v>0</v>
      </c>
      <c r="DJ59" s="106" t="n">
        <v>0</v>
      </c>
      <c r="DK59" s="106" t="n">
        <v>0</v>
      </c>
      <c r="DL59" s="106" t="n">
        <v>0</v>
      </c>
      <c r="DM59" s="106" t="n">
        <v>0</v>
      </c>
      <c r="DN59" s="106" t="n"/>
      <c r="DO59" s="114" t="n"/>
      <c r="DP59" s="120" t="n">
        <f aca="false" ca="false" dt2D="false" dtr="false" t="normal">47895.04+22398.98+13145.47</f>
        <v>83439.49</v>
      </c>
      <c r="DQ59" s="3" t="n">
        <f aca="false" ca="false" dt2D="false" dtr="false" t="normal">N59-DA59</f>
        <v>0</v>
      </c>
      <c r="DS59" s="9" t="n"/>
    </row>
    <row hidden="false" ht="15" outlineLevel="0" r="60">
      <c r="A60" s="103" t="n">
        <f aca="false" ca="false" dt2D="false" dtr="false" t="normal">+A59+1</f>
        <v>43</v>
      </c>
      <c r="B60" s="104" t="n">
        <f aca="false" ca="false" dt2D="false" dtr="false" t="normal">+B59+1</f>
        <v>43</v>
      </c>
      <c r="C60" s="104" t="s">
        <v>111</v>
      </c>
      <c r="D60" s="104" t="s">
        <v>117</v>
      </c>
      <c r="E60" s="105" t="n">
        <v>1986</v>
      </c>
      <c r="F60" s="105" t="n">
        <v>2013</v>
      </c>
      <c r="G60" s="105" t="s">
        <v>68</v>
      </c>
      <c r="H60" s="105" t="n">
        <v>4</v>
      </c>
      <c r="I60" s="105" t="n">
        <v>2</v>
      </c>
      <c r="J60" s="106" t="n">
        <v>3830.7</v>
      </c>
      <c r="K60" s="106" t="n">
        <v>3476.2</v>
      </c>
      <c r="L60" s="106" t="n">
        <v>0</v>
      </c>
      <c r="M60" s="107" t="n">
        <v>146</v>
      </c>
      <c r="N60" s="108" t="n">
        <f aca="false" ca="false" dt2D="false" dtr="false" t="normal">SUM(P60:T60)</f>
        <v>45108809.805</v>
      </c>
      <c r="O60" s="106" t="n"/>
      <c r="P60" s="114" t="n">
        <v>2555439.32</v>
      </c>
      <c r="Q60" s="114" t="n"/>
      <c r="R60" s="114" t="n">
        <v>1738606.72</v>
      </c>
      <c r="S60" s="114" t="n">
        <v>13373245.48</v>
      </c>
      <c r="T60" s="106" t="n">
        <v>27441518.285</v>
      </c>
      <c r="U60" s="114" t="n">
        <v>13204.1034744632</v>
      </c>
      <c r="V60" s="114" t="n">
        <v>13204.1034744632</v>
      </c>
      <c r="W60" s="110" t="n">
        <v>2022</v>
      </c>
      <c r="X60" s="9" t="e">
        <f aca="false" ca="false" dt2D="false" dtr="false" t="normal">+#REF!-'[9]Приложение №1'!$P819</f>
        <v>#REF!</v>
      </c>
      <c r="Z60" s="113" t="n">
        <f aca="false" ca="false" dt2D="false" dtr="false" t="normal">SUM(AA60:AO60)</f>
        <v>63545858.420000024</v>
      </c>
      <c r="AA60" s="106" t="n">
        <v>5818965.56459946</v>
      </c>
      <c r="AB60" s="106" t="n">
        <v>3365266.86272952</v>
      </c>
      <c r="AC60" s="106" t="n">
        <v>3557336.24935038</v>
      </c>
      <c r="AD60" s="106" t="n">
        <v>2712499.1287926</v>
      </c>
      <c r="AE60" s="106" t="n">
        <v>1083587.87912004</v>
      </c>
      <c r="AF60" s="106" t="n"/>
      <c r="AG60" s="106" t="n">
        <v>289142.866131</v>
      </c>
      <c r="AH60" s="106" t="n">
        <v>0</v>
      </c>
      <c r="AI60" s="106" t="n">
        <v>10358644.6581282</v>
      </c>
      <c r="AJ60" s="106" t="n">
        <v>0</v>
      </c>
      <c r="AK60" s="106" t="n">
        <v>20111367.3610181</v>
      </c>
      <c r="AL60" s="106" t="n">
        <v>7909542.8401185</v>
      </c>
      <c r="AM60" s="106" t="n">
        <v>6496795.2885</v>
      </c>
      <c r="AN60" s="114" t="n">
        <v>635458.5842</v>
      </c>
      <c r="AO60" s="115" t="n">
        <v>1207251.13731222</v>
      </c>
      <c r="AP60" s="112" t="n">
        <f aca="false" ca="false" dt2D="false" dtr="false" t="normal">+N60-'Приложение №2'!E60</f>
        <v>0</v>
      </c>
      <c r="AQ60" s="1" t="n">
        <f aca="false" ca="false" dt2D="false" dtr="false" t="normal">1393126.98-102965.87</f>
        <v>1290161.1099999999</v>
      </c>
      <c r="AR60" s="3" t="n">
        <f aca="false" ca="false" dt2D="false" dtr="false" t="normal">+(K60*10+L60*20)*12*0.85</f>
        <v>354572.39999999997</v>
      </c>
      <c r="AS60" s="3" t="n">
        <f aca="false" ca="false" dt2D="false" dtr="false" t="normal">+(K60*10+L60*20)*12*30</f>
        <v>12514320</v>
      </c>
      <c r="AT60" s="9" t="n">
        <f aca="false" ca="false" dt2D="false" dtr="false" t="normal">+S60-AS60</f>
        <v>858925.4800000004</v>
      </c>
      <c r="AW60" s="113" t="n">
        <f aca="false" ca="true" dt2D="false" dtr="false" t="normal">SUBTOTAL(9, AX60:BL60)</f>
        <v>45900104.49792901</v>
      </c>
      <c r="AX60" s="106" t="n">
        <v>5399356.92</v>
      </c>
      <c r="AY60" s="106" t="n"/>
      <c r="AZ60" s="106" t="n">
        <v>2387945.18</v>
      </c>
      <c r="BA60" s="106" t="n">
        <v>2433472.68</v>
      </c>
      <c r="BB60" s="106" t="n"/>
      <c r="BC60" s="106" t="n"/>
      <c r="BD60" s="106" t="n"/>
      <c r="BE60" s="106" t="n">
        <v>0</v>
      </c>
      <c r="BF60" s="106" t="n">
        <v>11379650.75</v>
      </c>
      <c r="BG60" s="106" t="n">
        <v>0</v>
      </c>
      <c r="BH60" s="106" t="n">
        <v>18883188.84</v>
      </c>
      <c r="BI60" s="106" t="n">
        <v>3776525.81</v>
      </c>
      <c r="BJ60" s="106" t="n">
        <v>276792.4575</v>
      </c>
      <c r="BK60" s="114" t="n">
        <v>44508.1675</v>
      </c>
      <c r="BL60" s="115" t="n">
        <v>1318663.692929</v>
      </c>
      <c r="BM60" s="14" t="n">
        <f aca="false" ca="true" dt2D="false" dtr="false" t="normal">SUBTOTAL(9, BN60:CB60)</f>
        <v>45900104.49792901</v>
      </c>
      <c r="BN60" s="106" t="n">
        <v>5399356.92</v>
      </c>
      <c r="BO60" s="106" t="n"/>
      <c r="BP60" s="106" t="n">
        <v>2387945.18</v>
      </c>
      <c r="BQ60" s="106" t="n">
        <v>2433472.68</v>
      </c>
      <c r="BR60" s="106" t="n"/>
      <c r="BS60" s="106" t="n"/>
      <c r="BT60" s="106" t="n"/>
      <c r="BU60" s="106" t="n">
        <v>0</v>
      </c>
      <c r="BV60" s="106" t="n">
        <v>11379650.75</v>
      </c>
      <c r="BW60" s="106" t="n">
        <v>0</v>
      </c>
      <c r="BX60" s="106" t="n">
        <v>18883188.84</v>
      </c>
      <c r="BY60" s="106" t="n">
        <v>3776525.81</v>
      </c>
      <c r="BZ60" s="106" t="n">
        <v>276792.4575</v>
      </c>
      <c r="CA60" s="114" t="n">
        <v>44508.1675</v>
      </c>
      <c r="CB60" s="115" t="n">
        <v>1318663.692929</v>
      </c>
      <c r="CD60" s="116" t="n">
        <f aca="false" ca="false" dt2D="false" dtr="false" t="normal">+CD59+1</f>
        <v>43</v>
      </c>
      <c r="CE60" s="117" t="n">
        <f aca="false" ca="false" dt2D="false" dtr="false" t="normal">+CE59+1</f>
        <v>43</v>
      </c>
      <c r="CF60" s="104" t="s">
        <v>111</v>
      </c>
      <c r="CG60" s="104" t="s">
        <v>117</v>
      </c>
      <c r="CH60" s="118" t="n">
        <f aca="false" ca="true" dt2D="false" dtr="false" t="normal">SUBTOTAL(9, CI60:CW60)</f>
        <v>45900104.49792901</v>
      </c>
      <c r="CI60" s="106" t="n">
        <v>5399356.92</v>
      </c>
      <c r="CJ60" s="106" t="n"/>
      <c r="CK60" s="106" t="n">
        <v>2387945.18</v>
      </c>
      <c r="CL60" s="106" t="n">
        <v>2433472.68</v>
      </c>
      <c r="CM60" s="106" t="n"/>
      <c r="CN60" s="106" t="n"/>
      <c r="CO60" s="106" t="n"/>
      <c r="CP60" s="106" t="n">
        <v>0</v>
      </c>
      <c r="CQ60" s="106" t="n">
        <v>11379650.75</v>
      </c>
      <c r="CR60" s="106" t="n">
        <v>0</v>
      </c>
      <c r="CS60" s="106" t="n">
        <v>18883188.84</v>
      </c>
      <c r="CT60" s="106" t="n">
        <v>3776525.81</v>
      </c>
      <c r="CU60" s="106" t="n">
        <v>276792.4575</v>
      </c>
      <c r="CV60" s="114" t="n">
        <v>44508.1675</v>
      </c>
      <c r="CW60" s="115" t="n">
        <v>1318663.692929</v>
      </c>
      <c r="CZ60" s="104" t="s">
        <v>117</v>
      </c>
      <c r="DA60" s="119" t="n">
        <f aca="false" ca="true" dt2D="false" dtr="false" t="normal">SUBTOTAL(9, DB60:DP60)</f>
        <v>45108809.80500001</v>
      </c>
      <c r="DB60" s="106" t="n">
        <v>5399356.92</v>
      </c>
      <c r="DC60" s="106" t="n"/>
      <c r="DD60" s="106" t="n">
        <v>2387945.18</v>
      </c>
      <c r="DE60" s="106" t="n">
        <v>2433472.68</v>
      </c>
      <c r="DF60" s="106" t="n"/>
      <c r="DG60" s="106" t="n"/>
      <c r="DH60" s="106" t="n"/>
      <c r="DI60" s="106" t="n">
        <v>0</v>
      </c>
      <c r="DJ60" s="106" t="n">
        <v>11379650.75</v>
      </c>
      <c r="DK60" s="106" t="n">
        <v>0</v>
      </c>
      <c r="DL60" s="106" t="n">
        <v>18883188.84</v>
      </c>
      <c r="DM60" s="106" t="n">
        <v>3776525.81</v>
      </c>
      <c r="DN60" s="106" t="n">
        <v>276792.4575</v>
      </c>
      <c r="DO60" s="114" t="n">
        <v>44508.1675</v>
      </c>
      <c r="DP60" s="120" t="n">
        <f aca="false" ca="false" dt2D="false" dtr="false" t="normal">64915.61+30822.62+23778.33+89763.23+262834.11+55255.1</f>
        <v>527369</v>
      </c>
      <c r="DQ60" s="3" t="n">
        <f aca="false" ca="false" dt2D="false" dtr="false" t="normal">N60-DA60</f>
        <v>0</v>
      </c>
      <c r="DS60" s="9" t="n"/>
    </row>
    <row hidden="false" ht="15" outlineLevel="0" r="61">
      <c r="A61" s="103" t="n">
        <f aca="false" ca="false" dt2D="false" dtr="false" t="normal">+A60+1</f>
        <v>44</v>
      </c>
      <c r="B61" s="104" t="n">
        <f aca="false" ca="false" dt2D="false" dtr="false" t="normal">+B60+1</f>
        <v>44</v>
      </c>
      <c r="C61" s="104" t="s">
        <v>111</v>
      </c>
      <c r="D61" s="104" t="s">
        <v>118</v>
      </c>
      <c r="E61" s="105" t="n">
        <v>1991</v>
      </c>
      <c r="F61" s="105" t="n">
        <v>1991</v>
      </c>
      <c r="G61" s="105" t="s">
        <v>68</v>
      </c>
      <c r="H61" s="105" t="n">
        <v>2</v>
      </c>
      <c r="I61" s="105" t="n">
        <v>2</v>
      </c>
      <c r="J61" s="106" t="n">
        <v>704.8</v>
      </c>
      <c r="K61" s="106" t="n">
        <v>502.8</v>
      </c>
      <c r="L61" s="106" t="n">
        <v>0</v>
      </c>
      <c r="M61" s="107" t="n">
        <v>51</v>
      </c>
      <c r="N61" s="108" t="n">
        <f aca="false" ca="false" dt2D="false" dtr="false" t="normal">SUM(P61:T61)</f>
        <v>9226907.76405821</v>
      </c>
      <c r="O61" s="106" t="n"/>
      <c r="P61" s="114" t="n">
        <v>6547481.07</v>
      </c>
      <c r="Q61" s="114" t="n"/>
      <c r="R61" s="114" t="n">
        <v>231480.48</v>
      </c>
      <c r="S61" s="114" t="n">
        <v>2447946.21405821</v>
      </c>
      <c r="T61" s="106" t="n">
        <v>0</v>
      </c>
      <c r="U61" s="114" t="n">
        <v>18613.3302785565</v>
      </c>
      <c r="V61" s="114" t="n">
        <v>18613.3302785565</v>
      </c>
      <c r="W61" s="110" t="n">
        <v>2022</v>
      </c>
      <c r="X61" s="9" t="e">
        <f aca="false" ca="false" dt2D="false" dtr="false" t="normal">+#REF!-'[9]Приложение №1'!$P1003</f>
        <v>#REF!</v>
      </c>
      <c r="Z61" s="113" t="n">
        <f aca="false" ca="false" dt2D="false" dtr="false" t="normal">SUM(AA61:AO61)</f>
        <v>10159649.210588206</v>
      </c>
      <c r="AA61" s="106" t="n">
        <v>1119793.79</v>
      </c>
      <c r="AB61" s="106" t="n">
        <v>0</v>
      </c>
      <c r="AC61" s="106" t="n">
        <v>319144.83</v>
      </c>
      <c r="AD61" s="106" t="n">
        <v>0</v>
      </c>
      <c r="AE61" s="106" t="n">
        <v>0</v>
      </c>
      <c r="AF61" s="106" t="n"/>
      <c r="AG61" s="106" t="n">
        <v>51441.13653</v>
      </c>
      <c r="AH61" s="106" t="n">
        <v>0</v>
      </c>
      <c r="AI61" s="106" t="n">
        <v>3034353.13</v>
      </c>
      <c r="AJ61" s="106" t="n">
        <v>0</v>
      </c>
      <c r="AK61" s="106" t="n">
        <v>3213076.97</v>
      </c>
      <c r="AL61" s="106" t="n">
        <v>2003686.6</v>
      </c>
      <c r="AM61" s="106" t="n">
        <v>222088.61</v>
      </c>
      <c r="AN61" s="106" t="n">
        <v>64189.4440582085</v>
      </c>
      <c r="AO61" s="115" t="n">
        <v>131874.7</v>
      </c>
      <c r="AP61" s="112" t="n">
        <f aca="false" ca="false" dt2D="false" dtr="false" t="normal">+N61-'Приложение №2'!E61</f>
        <v>0</v>
      </c>
      <c r="AQ61" s="1" t="n">
        <v>180194.88</v>
      </c>
      <c r="AR61" s="3" t="n">
        <f aca="false" ca="false" dt2D="false" dtr="false" t="normal">+(K61*10+L61*20)*12*0.85</f>
        <v>51285.6</v>
      </c>
      <c r="AS61" s="3" t="n">
        <f aca="false" ca="false" dt2D="false" dtr="false" t="normal">+(K61*10+L61*20)*12*30</f>
        <v>1810080</v>
      </c>
      <c r="AT61" s="9" t="n">
        <f aca="false" ca="false" dt2D="false" dtr="false" t="normal">+S61-AS61</f>
        <v>637866.2140582101</v>
      </c>
      <c r="AW61" s="113" t="n">
        <f aca="false" ca="true" dt2D="false" dtr="false" t="normal">SUBTOTAL(9, AX61:BL61)</f>
        <v>9358782.464058205</v>
      </c>
      <c r="AX61" s="106" t="n">
        <v>1114194.82</v>
      </c>
      <c r="AY61" s="106" t="n">
        <v>0</v>
      </c>
      <c r="AZ61" s="106" t="n">
        <v>325054.98</v>
      </c>
      <c r="BA61" s="106" t="n">
        <v>0</v>
      </c>
      <c r="BB61" s="106" t="n">
        <v>0</v>
      </c>
      <c r="BC61" s="106" t="n"/>
      <c r="BD61" s="106" t="n"/>
      <c r="BE61" s="106" t="n">
        <v>0</v>
      </c>
      <c r="BF61" s="106" t="n">
        <v>2410884.95</v>
      </c>
      <c r="BG61" s="106" t="n">
        <v>0</v>
      </c>
      <c r="BH61" s="106" t="n">
        <v>2965969.93</v>
      </c>
      <c r="BI61" s="106" t="n">
        <v>2124525.03</v>
      </c>
      <c r="BJ61" s="106" t="n">
        <v>222088.61</v>
      </c>
      <c r="BK61" s="106" t="n">
        <f aca="false" ca="false" dt2D="false" dtr="false" t="normal">64189.4440582085</f>
        <v>64189.4440582085</v>
      </c>
      <c r="BL61" s="115" t="n">
        <v>131874.7</v>
      </c>
      <c r="BM61" s="14" t="n">
        <f aca="false" ca="true" dt2D="false" dtr="false" t="normal">SUBTOTAL(9, BN61:CB61)</f>
        <v>9358782.464058205</v>
      </c>
      <c r="BN61" s="106" t="n">
        <v>1114194.82</v>
      </c>
      <c r="BO61" s="106" t="n">
        <v>0</v>
      </c>
      <c r="BP61" s="106" t="n">
        <v>325054.98</v>
      </c>
      <c r="BQ61" s="106" t="n">
        <v>0</v>
      </c>
      <c r="BR61" s="106" t="n">
        <v>0</v>
      </c>
      <c r="BS61" s="106" t="n"/>
      <c r="BT61" s="106" t="n"/>
      <c r="BU61" s="106" t="n">
        <v>0</v>
      </c>
      <c r="BV61" s="106" t="n">
        <v>2410884.95</v>
      </c>
      <c r="BW61" s="106" t="n">
        <v>0</v>
      </c>
      <c r="BX61" s="106" t="n">
        <v>2965969.93</v>
      </c>
      <c r="BY61" s="106" t="n">
        <v>2124525.03</v>
      </c>
      <c r="BZ61" s="106" t="n">
        <v>222088.61</v>
      </c>
      <c r="CA61" s="106" t="n">
        <f aca="false" ca="false" dt2D="false" dtr="false" t="normal">64189.4440582085</f>
        <v>64189.4440582085</v>
      </c>
      <c r="CB61" s="115" t="n">
        <v>131874.7</v>
      </c>
      <c r="CD61" s="116" t="n">
        <f aca="false" ca="false" dt2D="false" dtr="false" t="normal">+CD60+1</f>
        <v>44</v>
      </c>
      <c r="CE61" s="117" t="n">
        <f aca="false" ca="false" dt2D="false" dtr="false" t="normal">+CE60+1</f>
        <v>44</v>
      </c>
      <c r="CF61" s="104" t="s">
        <v>111</v>
      </c>
      <c r="CG61" s="104" t="s">
        <v>118</v>
      </c>
      <c r="CH61" s="118" t="n">
        <f aca="false" ca="true" dt2D="false" dtr="false" t="normal">SUBTOTAL(9, CI61:CW61)</f>
        <v>9358782.464058205</v>
      </c>
      <c r="CI61" s="106" t="n">
        <v>1114194.82</v>
      </c>
      <c r="CJ61" s="106" t="n">
        <v>0</v>
      </c>
      <c r="CK61" s="106" t="n">
        <v>325054.98</v>
      </c>
      <c r="CL61" s="106" t="n">
        <v>0</v>
      </c>
      <c r="CM61" s="106" t="n">
        <v>0</v>
      </c>
      <c r="CN61" s="106" t="n"/>
      <c r="CO61" s="106" t="n"/>
      <c r="CP61" s="106" t="n">
        <v>0</v>
      </c>
      <c r="CQ61" s="106" t="n">
        <v>2410884.95</v>
      </c>
      <c r="CR61" s="106" t="n">
        <v>0</v>
      </c>
      <c r="CS61" s="106" t="n">
        <v>2965969.93</v>
      </c>
      <c r="CT61" s="106" t="n">
        <v>2124525.03</v>
      </c>
      <c r="CU61" s="106" t="n">
        <v>222088.61</v>
      </c>
      <c r="CV61" s="106" t="n">
        <f aca="false" ca="false" dt2D="false" dtr="false" t="normal">64189.4440582085</f>
        <v>64189.4440582085</v>
      </c>
      <c r="CW61" s="115" t="n">
        <v>131874.7</v>
      </c>
      <c r="CZ61" s="104" t="s">
        <v>118</v>
      </c>
      <c r="DA61" s="119" t="n">
        <f aca="false" ca="true" dt2D="false" dtr="false" t="normal">SUBTOTAL(9, DB61:DP61)</f>
        <v>9226907.764058206</v>
      </c>
      <c r="DB61" s="106" t="n">
        <v>1114194.82</v>
      </c>
      <c r="DC61" s="106" t="n">
        <v>0</v>
      </c>
      <c r="DD61" s="106" t="n">
        <v>325054.98</v>
      </c>
      <c r="DE61" s="106" t="n">
        <v>0</v>
      </c>
      <c r="DF61" s="106" t="n">
        <v>0</v>
      </c>
      <c r="DG61" s="106" t="n"/>
      <c r="DH61" s="106" t="n"/>
      <c r="DI61" s="106" t="n">
        <v>0</v>
      </c>
      <c r="DJ61" s="106" t="n">
        <v>2410884.95</v>
      </c>
      <c r="DK61" s="106" t="n">
        <v>0</v>
      </c>
      <c r="DL61" s="106" t="n">
        <v>2965969.93</v>
      </c>
      <c r="DM61" s="106" t="n">
        <v>2124525.03</v>
      </c>
      <c r="DN61" s="106" t="n">
        <v>222088.61</v>
      </c>
      <c r="DO61" s="106" t="n">
        <f aca="false" ca="false" dt2D="false" dtr="false" t="normal">64189.4440582085</f>
        <v>64189.4440582085</v>
      </c>
      <c r="DP61" s="122" t="n"/>
      <c r="DQ61" s="3" t="n">
        <f aca="false" ca="false" dt2D="false" dtr="false" t="normal">N61-DA61</f>
        <v>0</v>
      </c>
      <c r="DS61" s="9" t="n"/>
    </row>
    <row hidden="false" ht="15" outlineLevel="0" r="62">
      <c r="A62" s="103" t="n">
        <f aca="false" ca="false" dt2D="false" dtr="false" t="normal">+A61+1</f>
        <v>45</v>
      </c>
      <c r="B62" s="104" t="n">
        <f aca="false" ca="false" dt2D="false" dtr="false" t="normal">+B61+1</f>
        <v>45</v>
      </c>
      <c r="C62" s="104" t="s">
        <v>111</v>
      </c>
      <c r="D62" s="104" t="s">
        <v>119</v>
      </c>
      <c r="E62" s="105" t="n">
        <v>1985</v>
      </c>
      <c r="F62" s="105" t="n">
        <v>1985</v>
      </c>
      <c r="G62" s="105" t="s">
        <v>68</v>
      </c>
      <c r="H62" s="105" t="n">
        <v>2</v>
      </c>
      <c r="I62" s="105" t="n">
        <v>2</v>
      </c>
      <c r="J62" s="106" t="n">
        <v>687.7</v>
      </c>
      <c r="K62" s="106" t="n">
        <v>539.6</v>
      </c>
      <c r="L62" s="106" t="n">
        <v>0</v>
      </c>
      <c r="M62" s="107" t="n">
        <v>34</v>
      </c>
      <c r="N62" s="108" t="n">
        <f aca="false" ca="false" dt2D="false" dtr="false" t="normal">SUM(P62:T62)</f>
        <v>295096.46</v>
      </c>
      <c r="O62" s="109" t="n"/>
      <c r="P62" s="114" t="n"/>
      <c r="Q62" s="114" t="n"/>
      <c r="R62" s="114" t="n">
        <v>238828.54</v>
      </c>
      <c r="S62" s="114" t="n">
        <v>56267.92</v>
      </c>
      <c r="T62" s="106" t="n">
        <v>0</v>
      </c>
      <c r="U62" s="114" t="n">
        <v>918.654020442809</v>
      </c>
      <c r="V62" s="114" t="n">
        <v>918.654020442809</v>
      </c>
      <c r="W62" s="110" t="n">
        <v>2022</v>
      </c>
      <c r="X62" s="9" t="e">
        <f aca="false" ca="false" dt2D="false" dtr="false" t="normal">+#REF!-'[9]Приложение №1'!$P623</f>
        <v>#REF!</v>
      </c>
      <c r="Z62" s="113" t="n">
        <f aca="false" ca="false" dt2D="false" dtr="false" t="normal">SUM(AA62:AO62)</f>
        <v>10532880.89</v>
      </c>
      <c r="AA62" s="106" t="n">
        <v>0</v>
      </c>
      <c r="AB62" s="106" t="n">
        <v>0</v>
      </c>
      <c r="AC62" s="106" t="n">
        <v>539214.05775006</v>
      </c>
      <c r="AD62" s="106" t="n">
        <v>0</v>
      </c>
      <c r="AE62" s="106" t="n">
        <v>0</v>
      </c>
      <c r="AF62" s="106" t="n"/>
      <c r="AG62" s="106" t="n">
        <v>0</v>
      </c>
      <c r="AH62" s="106" t="n">
        <v>0</v>
      </c>
      <c r="AI62" s="106" t="n">
        <v>0</v>
      </c>
      <c r="AJ62" s="106" t="n">
        <v>0</v>
      </c>
      <c r="AK62" s="106" t="n">
        <v>4448331.63249174</v>
      </c>
      <c r="AL62" s="106" t="n">
        <v>4186109.05242726</v>
      </c>
      <c r="AM62" s="106" t="n">
        <v>1053288.089</v>
      </c>
      <c r="AN62" s="114" t="n">
        <v>105328.8089</v>
      </c>
      <c r="AO62" s="115" t="n">
        <v>200609.24943094</v>
      </c>
      <c r="AP62" s="112" t="n">
        <f aca="false" ca="false" dt2D="false" dtr="false" t="normal">+N62-'Приложение №2'!E62</f>
        <v>0</v>
      </c>
      <c r="AQ62" s="1" t="n">
        <v>183789.34</v>
      </c>
      <c r="AR62" s="3" t="n">
        <f aca="false" ca="false" dt2D="false" dtr="false" t="normal">+(K62*10+L62*20)*12*0.85</f>
        <v>55039.2</v>
      </c>
      <c r="AS62" s="3" t="n">
        <f aca="false" ca="false" dt2D="false" dtr="false" t="normal">+(K62*10+L62*20)*12*30</f>
        <v>1942560</v>
      </c>
      <c r="AT62" s="9" t="n">
        <f aca="false" ca="false" dt2D="false" dtr="false" t="normal">+S62-AS62</f>
        <v>-1886292.08</v>
      </c>
      <c r="AW62" s="113" t="n">
        <f aca="false" ca="true" dt2D="false" dtr="false" t="normal">SUBTOTAL(9, AX62:BL62)</f>
        <v>495705.70943094</v>
      </c>
      <c r="AX62" s="106" t="n">
        <v>0</v>
      </c>
      <c r="AY62" s="106" t="n">
        <v>0</v>
      </c>
      <c r="AZ62" s="106" t="n">
        <v>295096.46</v>
      </c>
      <c r="BA62" s="106" t="n">
        <v>0</v>
      </c>
      <c r="BB62" s="106" t="n">
        <v>0</v>
      </c>
      <c r="BC62" s="106" t="n"/>
      <c r="BD62" s="106" t="n"/>
      <c r="BE62" s="106" t="n">
        <v>0</v>
      </c>
      <c r="BF62" s="106" t="n">
        <v>0</v>
      </c>
      <c r="BG62" s="106" t="n">
        <v>0</v>
      </c>
      <c r="BH62" s="106" t="n"/>
      <c r="BI62" s="106" t="n"/>
      <c r="BJ62" s="106" t="n"/>
      <c r="BK62" s="114" t="n"/>
      <c r="BL62" s="115" t="n">
        <v>200609.24943094</v>
      </c>
      <c r="BM62" s="14" t="n">
        <f aca="false" ca="true" dt2D="false" dtr="false" t="normal">SUBTOTAL(9, BN62:CB62)</f>
        <v>495705.70943094</v>
      </c>
      <c r="BN62" s="106" t="n">
        <v>0</v>
      </c>
      <c r="BO62" s="106" t="n">
        <v>0</v>
      </c>
      <c r="BP62" s="106" t="n">
        <v>295096.46</v>
      </c>
      <c r="BQ62" s="106" t="n">
        <v>0</v>
      </c>
      <c r="BR62" s="106" t="n">
        <v>0</v>
      </c>
      <c r="BS62" s="106" t="n"/>
      <c r="BT62" s="106" t="n"/>
      <c r="BU62" s="106" t="n">
        <v>0</v>
      </c>
      <c r="BV62" s="106" t="n">
        <v>0</v>
      </c>
      <c r="BW62" s="106" t="n">
        <v>0</v>
      </c>
      <c r="BX62" s="106" t="n"/>
      <c r="BY62" s="106" t="n"/>
      <c r="BZ62" s="106" t="n"/>
      <c r="CA62" s="114" t="n"/>
      <c r="CB62" s="115" t="n">
        <v>200609.24943094</v>
      </c>
      <c r="CD62" s="116" t="n">
        <f aca="false" ca="false" dt2D="false" dtr="false" t="normal">+CD61+1</f>
        <v>45</v>
      </c>
      <c r="CE62" s="117" t="n">
        <f aca="false" ca="false" dt2D="false" dtr="false" t="normal">+CE61+1</f>
        <v>45</v>
      </c>
      <c r="CF62" s="104" t="s">
        <v>111</v>
      </c>
      <c r="CG62" s="104" t="s">
        <v>119</v>
      </c>
      <c r="CH62" s="118" t="n">
        <f aca="false" ca="true" dt2D="false" dtr="false" t="normal">SUBTOTAL(9, CI62:CW62)</f>
        <v>495705.70943094</v>
      </c>
      <c r="CI62" s="106" t="n">
        <v>0</v>
      </c>
      <c r="CJ62" s="106" t="n">
        <v>0</v>
      </c>
      <c r="CK62" s="106" t="n">
        <v>295096.46</v>
      </c>
      <c r="CL62" s="106" t="n">
        <v>0</v>
      </c>
      <c r="CM62" s="106" t="n">
        <v>0</v>
      </c>
      <c r="CN62" s="106" t="n"/>
      <c r="CO62" s="106" t="n"/>
      <c r="CP62" s="106" t="n">
        <v>0</v>
      </c>
      <c r="CQ62" s="106" t="n">
        <v>0</v>
      </c>
      <c r="CR62" s="106" t="n">
        <v>0</v>
      </c>
      <c r="CS62" s="106" t="n"/>
      <c r="CT62" s="106" t="n"/>
      <c r="CU62" s="106" t="n"/>
      <c r="CV62" s="114" t="n"/>
      <c r="CW62" s="115" t="n">
        <v>200609.24943094</v>
      </c>
      <c r="CZ62" s="104" t="s">
        <v>119</v>
      </c>
      <c r="DA62" s="119" t="n">
        <f aca="false" ca="true" dt2D="false" dtr="false" t="normal">SUBTOTAL(9, DB62:DP62)</f>
        <v>295096.46</v>
      </c>
      <c r="DB62" s="106" t="n">
        <v>0</v>
      </c>
      <c r="DC62" s="106" t="n">
        <v>0</v>
      </c>
      <c r="DD62" s="106" t="n">
        <v>295096.46</v>
      </c>
      <c r="DE62" s="106" t="n">
        <v>0</v>
      </c>
      <c r="DF62" s="106" t="n">
        <v>0</v>
      </c>
      <c r="DG62" s="106" t="n"/>
      <c r="DH62" s="106" t="n"/>
      <c r="DI62" s="106" t="n">
        <v>0</v>
      </c>
      <c r="DJ62" s="106" t="n">
        <v>0</v>
      </c>
      <c r="DK62" s="106" t="n">
        <v>0</v>
      </c>
      <c r="DL62" s="106" t="n"/>
      <c r="DM62" s="106" t="n"/>
      <c r="DN62" s="106" t="n"/>
      <c r="DO62" s="114" t="n"/>
      <c r="DP62" s="122" t="n"/>
      <c r="DQ62" s="3" t="n">
        <f aca="false" ca="false" dt2D="false" dtr="false" t="normal">N62-DA62</f>
        <v>0</v>
      </c>
      <c r="DS62" s="9" t="n"/>
    </row>
    <row hidden="false" ht="15" outlineLevel="0" r="63">
      <c r="A63" s="103" t="n">
        <f aca="false" ca="false" dt2D="false" dtr="false" t="normal">+A62+1</f>
        <v>46</v>
      </c>
      <c r="B63" s="104" t="n">
        <f aca="false" ca="false" dt2D="false" dtr="false" t="normal">+B62+1</f>
        <v>46</v>
      </c>
      <c r="C63" s="104" t="s">
        <v>111</v>
      </c>
      <c r="D63" s="104" t="s">
        <v>120</v>
      </c>
      <c r="E63" s="105" t="n">
        <v>1986</v>
      </c>
      <c r="F63" s="105" t="n">
        <v>1986</v>
      </c>
      <c r="G63" s="105" t="s">
        <v>68</v>
      </c>
      <c r="H63" s="105" t="n">
        <v>2</v>
      </c>
      <c r="I63" s="105" t="n">
        <v>2</v>
      </c>
      <c r="J63" s="106" t="n">
        <v>683.3</v>
      </c>
      <c r="K63" s="106" t="n">
        <v>610.4</v>
      </c>
      <c r="L63" s="106" t="n">
        <v>0</v>
      </c>
      <c r="M63" s="107" t="n">
        <v>44</v>
      </c>
      <c r="N63" s="108" t="n">
        <f aca="false" ca="false" dt2D="false" dtr="false" t="normal">SUM(P63:T63)</f>
        <v>295096.45999999996</v>
      </c>
      <c r="O63" s="109" t="n"/>
      <c r="P63" s="114" t="n"/>
      <c r="Q63" s="114" t="n"/>
      <c r="R63" s="114" t="n">
        <v>265705.23</v>
      </c>
      <c r="S63" s="114" t="n">
        <v>29391.23</v>
      </c>
      <c r="T63" s="106" t="n">
        <v>0</v>
      </c>
      <c r="U63" s="114" t="n">
        <v>483.447673656619</v>
      </c>
      <c r="V63" s="114" t="n">
        <v>483.447673656619</v>
      </c>
      <c r="W63" s="110" t="n">
        <v>2022</v>
      </c>
      <c r="X63" s="9" t="e">
        <f aca="false" ca="false" dt2D="false" dtr="false" t="normal">+#REF!-'[9]Приложение №1'!$P624</f>
        <v>#REF!</v>
      </c>
      <c r="Z63" s="113" t="n">
        <f aca="false" ca="false" dt2D="false" dtr="false" t="normal">SUM(AA63:AO63)</f>
        <v>7665708.8647759</v>
      </c>
      <c r="AA63" s="106" t="n">
        <v>0</v>
      </c>
      <c r="AB63" s="106" t="n">
        <v>0</v>
      </c>
      <c r="AC63" s="106" t="n">
        <v>534819.48515226</v>
      </c>
      <c r="AD63" s="106" t="n">
        <v>0</v>
      </c>
      <c r="AE63" s="106" t="n">
        <v>0</v>
      </c>
      <c r="AF63" s="106" t="n"/>
      <c r="AG63" s="106" t="n">
        <v>0</v>
      </c>
      <c r="AH63" s="106" t="n">
        <v>0</v>
      </c>
      <c r="AI63" s="106" t="n">
        <v>0</v>
      </c>
      <c r="AJ63" s="106" t="n">
        <v>0</v>
      </c>
      <c r="AK63" s="106" t="n">
        <v>2395084.18</v>
      </c>
      <c r="AL63" s="106" t="n">
        <v>3387656.69</v>
      </c>
      <c r="AM63" s="106" t="n">
        <v>1044703.834</v>
      </c>
      <c r="AN63" s="114" t="n">
        <v>104470.3834</v>
      </c>
      <c r="AO63" s="115" t="n">
        <v>198974.29222364</v>
      </c>
      <c r="AP63" s="112" t="n">
        <f aca="false" ca="false" dt2D="false" dtr="false" t="normal">+N63-'Приложение №2'!E63</f>
        <v>0</v>
      </c>
      <c r="AQ63" s="1" t="n">
        <v>203638.23</v>
      </c>
      <c r="AR63" s="3" t="n">
        <f aca="false" ca="false" dt2D="false" dtr="false" t="normal">+(K63*10+L63*20)*12*0.85</f>
        <v>62260.799999999996</v>
      </c>
      <c r="AS63" s="3" t="n">
        <f aca="false" ca="false" dt2D="false" dtr="false" t="normal">+(K63*10+L63*20)*12*30-656415.36</f>
        <v>1541024.6400000001</v>
      </c>
      <c r="AT63" s="9" t="n">
        <f aca="false" ca="false" dt2D="false" dtr="false" t="normal">+S63-AS63</f>
        <v>-1511633.4100000001</v>
      </c>
      <c r="AW63" s="113" t="n">
        <f aca="false" ca="true" dt2D="false" dtr="false" t="normal">SUBTOTAL(9, AX63:BL63)</f>
        <v>295096.46</v>
      </c>
      <c r="AX63" s="106" t="n">
        <v>0</v>
      </c>
      <c r="AY63" s="106" t="n">
        <v>0</v>
      </c>
      <c r="AZ63" s="106" t="n">
        <v>295096.46</v>
      </c>
      <c r="BA63" s="106" t="n">
        <v>0</v>
      </c>
      <c r="BB63" s="106" t="n">
        <v>0</v>
      </c>
      <c r="BC63" s="106" t="n"/>
      <c r="BD63" s="106" t="n"/>
      <c r="BE63" s="106" t="n">
        <v>0</v>
      </c>
      <c r="BF63" s="106" t="n">
        <v>0</v>
      </c>
      <c r="BG63" s="106" t="n">
        <v>0</v>
      </c>
      <c r="BH63" s="106" t="n"/>
      <c r="BI63" s="106" t="n"/>
      <c r="BJ63" s="106" t="n"/>
      <c r="BK63" s="114" t="n"/>
      <c r="BL63" s="115" t="n"/>
      <c r="BM63" s="14" t="n">
        <f aca="false" ca="true" dt2D="false" dtr="false" t="normal">SUBTOTAL(9, BN63:CB63)</f>
        <v>295096.46</v>
      </c>
      <c r="BN63" s="106" t="n">
        <v>0</v>
      </c>
      <c r="BO63" s="106" t="n">
        <v>0</v>
      </c>
      <c r="BP63" s="106" t="n">
        <v>295096.46</v>
      </c>
      <c r="BQ63" s="106" t="n">
        <v>0</v>
      </c>
      <c r="BR63" s="106" t="n">
        <v>0</v>
      </c>
      <c r="BS63" s="106" t="n"/>
      <c r="BT63" s="106" t="n"/>
      <c r="BU63" s="106" t="n">
        <v>0</v>
      </c>
      <c r="BV63" s="106" t="n">
        <v>0</v>
      </c>
      <c r="BW63" s="106" t="n">
        <v>0</v>
      </c>
      <c r="BX63" s="106" t="n"/>
      <c r="BY63" s="106" t="n"/>
      <c r="BZ63" s="106" t="n"/>
      <c r="CA63" s="114" t="n"/>
      <c r="CB63" s="115" t="n"/>
      <c r="CD63" s="116" t="n">
        <f aca="false" ca="false" dt2D="false" dtr="false" t="normal">+CD62+1</f>
        <v>46</v>
      </c>
      <c r="CE63" s="117" t="n">
        <f aca="false" ca="false" dt2D="false" dtr="false" t="normal">+CE62+1</f>
        <v>46</v>
      </c>
      <c r="CF63" s="104" t="s">
        <v>111</v>
      </c>
      <c r="CG63" s="104" t="s">
        <v>120</v>
      </c>
      <c r="CH63" s="118" t="n">
        <f aca="false" ca="true" dt2D="false" dtr="false" t="normal">SUBTOTAL(9, CI63:CW63)</f>
        <v>295096.46</v>
      </c>
      <c r="CI63" s="106" t="n">
        <v>0</v>
      </c>
      <c r="CJ63" s="106" t="n">
        <v>0</v>
      </c>
      <c r="CK63" s="106" t="n">
        <v>295096.46</v>
      </c>
      <c r="CL63" s="106" t="n">
        <v>0</v>
      </c>
      <c r="CM63" s="106" t="n">
        <v>0</v>
      </c>
      <c r="CN63" s="106" t="n"/>
      <c r="CO63" s="106" t="n"/>
      <c r="CP63" s="106" t="n">
        <v>0</v>
      </c>
      <c r="CQ63" s="106" t="n">
        <v>0</v>
      </c>
      <c r="CR63" s="106" t="n">
        <v>0</v>
      </c>
      <c r="CS63" s="106" t="n"/>
      <c r="CT63" s="106" t="n"/>
      <c r="CU63" s="106" t="n"/>
      <c r="CV63" s="114" t="n"/>
      <c r="CW63" s="115" t="n"/>
      <c r="CZ63" s="104" t="s">
        <v>120</v>
      </c>
      <c r="DA63" s="119" t="n">
        <f aca="false" ca="true" dt2D="false" dtr="false" t="normal">SUBTOTAL(9, DB63:DP63)</f>
        <v>295096.46</v>
      </c>
      <c r="DB63" s="106" t="n">
        <v>0</v>
      </c>
      <c r="DC63" s="106" t="n">
        <v>0</v>
      </c>
      <c r="DD63" s="106" t="n">
        <v>295096.46</v>
      </c>
      <c r="DE63" s="106" t="n">
        <v>0</v>
      </c>
      <c r="DF63" s="106" t="n">
        <v>0</v>
      </c>
      <c r="DG63" s="106" t="n"/>
      <c r="DH63" s="106" t="n"/>
      <c r="DI63" s="106" t="n">
        <v>0</v>
      </c>
      <c r="DJ63" s="106" t="n">
        <v>0</v>
      </c>
      <c r="DK63" s="106" t="n">
        <v>0</v>
      </c>
      <c r="DL63" s="106" t="n"/>
      <c r="DM63" s="106" t="n"/>
      <c r="DN63" s="106" t="n"/>
      <c r="DO63" s="114" t="n"/>
      <c r="DP63" s="115" t="n"/>
      <c r="DQ63" s="3" t="n">
        <f aca="false" ca="false" dt2D="false" dtr="false" t="normal">N63-DA63</f>
        <v>0</v>
      </c>
    </row>
    <row hidden="false" ht="15" outlineLevel="0" r="64">
      <c r="A64" s="103" t="n">
        <f aca="false" ca="false" dt2D="false" dtr="false" t="normal">+A63+1</f>
        <v>47</v>
      </c>
      <c r="B64" s="104" t="n">
        <f aca="false" ca="false" dt2D="false" dtr="false" t="normal">+B63+1</f>
        <v>47</v>
      </c>
      <c r="C64" s="104" t="s">
        <v>111</v>
      </c>
      <c r="D64" s="104" t="s">
        <v>121</v>
      </c>
      <c r="E64" s="105" t="n">
        <v>1981</v>
      </c>
      <c r="F64" s="105" t="n">
        <v>2013</v>
      </c>
      <c r="G64" s="105" t="s">
        <v>68</v>
      </c>
      <c r="H64" s="105" t="n">
        <v>5</v>
      </c>
      <c r="I64" s="105" t="n">
        <v>4</v>
      </c>
      <c r="J64" s="106" t="n">
        <v>4685.6</v>
      </c>
      <c r="K64" s="106" t="n">
        <v>4258.2</v>
      </c>
      <c r="L64" s="106" t="n">
        <v>0</v>
      </c>
      <c r="M64" s="107" t="n">
        <v>196</v>
      </c>
      <c r="N64" s="108" t="n">
        <f aca="false" ca="false" dt2D="false" dtr="false" t="normal">SUM(P64:T64)</f>
        <v>20071938.11</v>
      </c>
      <c r="O64" s="106" t="n"/>
      <c r="P64" s="114" t="n">
        <v>5434056.34</v>
      </c>
      <c r="Q64" s="114" t="n"/>
      <c r="R64" s="114" t="n">
        <v>1556339.86</v>
      </c>
      <c r="S64" s="114" t="n">
        <v>8960527.33</v>
      </c>
      <c r="T64" s="106" t="n">
        <v>4121014.58</v>
      </c>
      <c r="U64" s="114" t="n">
        <v>4829.17756430982</v>
      </c>
      <c r="V64" s="114" t="n">
        <v>4829.17756430982</v>
      </c>
      <c r="W64" s="110" t="n">
        <v>2022</v>
      </c>
      <c r="X64" s="9" t="e">
        <f aca="false" ca="false" dt2D="false" dtr="false" t="normal">+#REF!-'[9]Приложение №1'!$P1001</f>
        <v>#REF!</v>
      </c>
      <c r="Z64" s="113" t="n">
        <f aca="false" ca="false" dt2D="false" dtr="false" t="normal">SUM(AA64:AO64)</f>
        <v>53162190.11496086</v>
      </c>
      <c r="AA64" s="106" t="n">
        <v>7102961.09155542</v>
      </c>
      <c r="AB64" s="106" t="n"/>
      <c r="AD64" s="106" t="n"/>
      <c r="AE64" s="106" t="n">
        <v>1322689.13658126</v>
      </c>
      <c r="AF64" s="106" t="n"/>
      <c r="AG64" s="106" t="n">
        <v>352944.2657412</v>
      </c>
      <c r="AH64" s="106" t="n">
        <v>0</v>
      </c>
      <c r="AI64" s="106" t="n"/>
      <c r="AJ64" s="106" t="n">
        <v>0</v>
      </c>
      <c r="AK64" s="106" t="n">
        <v>24549081.4981297</v>
      </c>
      <c r="AL64" s="106" t="n">
        <v>9654838.8947262</v>
      </c>
      <c r="AM64" s="106" t="n">
        <v>7930358.6941</v>
      </c>
      <c r="AN64" s="114" t="n">
        <v>775676.9737</v>
      </c>
      <c r="AO64" s="115" t="n">
        <v>1473639.56042708</v>
      </c>
      <c r="AP64" s="112" t="n">
        <f aca="false" ca="false" dt2D="false" dtr="false" t="normal">+N64-'Приложение №2'!E64</f>
        <v>0</v>
      </c>
      <c r="AQ64" s="1" t="n">
        <f aca="false" ca="false" dt2D="false" dtr="false" t="normal">1979236.76-807117.21-50116.09</f>
        <v>1122003.46</v>
      </c>
      <c r="AR64" s="3" t="n">
        <f aca="false" ca="false" dt2D="false" dtr="false" t="normal">+(K64*10+L64*20)*12*0.85</f>
        <v>434336.39999999997</v>
      </c>
      <c r="AS64" s="3" t="n">
        <f aca="false" ca="false" dt2D="false" dtr="false" t="normal">+(K64*10+L64*20)*12*30-6222132.17-133900.5</f>
        <v>8973487.33</v>
      </c>
      <c r="AT64" s="9" t="n">
        <f aca="false" ca="false" dt2D="false" dtr="false" t="normal">+S64-AS64</f>
        <v>-12960</v>
      </c>
      <c r="AW64" s="113" t="n">
        <f aca="false" ca="true" dt2D="false" dtr="false" t="normal">SUBTOTAL(9, AX64:BL64)</f>
        <v>20563603.904344082</v>
      </c>
      <c r="AX64" s="13" t="n"/>
      <c r="AY64" s="106" t="n"/>
      <c r="BA64" s="106" t="n"/>
      <c r="BB64" s="106" t="n"/>
      <c r="BC64" s="106" t="n"/>
      <c r="BD64" s="106" t="n"/>
      <c r="BE64" s="106" t="n">
        <v>0</v>
      </c>
      <c r="BF64" s="106" t="n"/>
      <c r="BG64" s="106" t="n">
        <v>0</v>
      </c>
      <c r="BH64" s="106" t="n">
        <v>13315014.15</v>
      </c>
      <c r="BI64" s="106" t="n">
        <v>6316602.7</v>
      </c>
      <c r="BJ64" s="106" t="n">
        <v>184016.59</v>
      </c>
      <c r="BK64" s="114" t="n"/>
      <c r="BL64" s="115" t="n">
        <v>747970.46434408</v>
      </c>
      <c r="BM64" s="14" t="n">
        <f aca="false" ca="true" dt2D="false" dtr="false" t="normal">SUBTOTAL(9, BN64:CB64)</f>
        <v>20563603.904344082</v>
      </c>
      <c r="BN64" s="13" t="n"/>
      <c r="BO64" s="106" t="n"/>
      <c r="BQ64" s="106" t="n"/>
      <c r="BR64" s="106" t="n"/>
      <c r="BS64" s="106" t="n"/>
      <c r="BT64" s="106" t="n"/>
      <c r="BU64" s="106" t="n">
        <v>0</v>
      </c>
      <c r="BV64" s="106" t="n"/>
      <c r="BW64" s="106" t="n">
        <v>0</v>
      </c>
      <c r="BX64" s="106" t="n">
        <v>13315014.15</v>
      </c>
      <c r="BY64" s="106" t="n">
        <v>6316602.7</v>
      </c>
      <c r="BZ64" s="106" t="n">
        <v>184016.59</v>
      </c>
      <c r="CA64" s="114" t="n"/>
      <c r="CB64" s="115" t="n">
        <v>747970.46434408</v>
      </c>
      <c r="CD64" s="116" t="n">
        <f aca="false" ca="false" dt2D="false" dtr="false" t="normal">+CD63+1</f>
        <v>47</v>
      </c>
      <c r="CE64" s="117" t="n">
        <f aca="false" ca="false" dt2D="false" dtr="false" t="normal">+CE63+1</f>
        <v>47</v>
      </c>
      <c r="CF64" s="104" t="s">
        <v>111</v>
      </c>
      <c r="CG64" s="104" t="s">
        <v>121</v>
      </c>
      <c r="CH64" s="118" t="n">
        <f aca="false" ca="true" dt2D="false" dtr="false" t="normal">SUBTOTAL(9, CI64:CW64)</f>
        <v>20563603.904344082</v>
      </c>
      <c r="CI64" s="13" t="n"/>
      <c r="CJ64" s="106" t="n"/>
      <c r="CL64" s="106" t="n"/>
      <c r="CM64" s="106" t="n"/>
      <c r="CN64" s="106" t="n"/>
      <c r="CO64" s="106" t="n"/>
      <c r="CP64" s="106" t="n">
        <v>0</v>
      </c>
      <c r="CQ64" s="106" t="n"/>
      <c r="CR64" s="106" t="n">
        <v>0</v>
      </c>
      <c r="CS64" s="106" t="n">
        <v>13315014.15</v>
      </c>
      <c r="CT64" s="106" t="n">
        <v>6316602.7</v>
      </c>
      <c r="CU64" s="106" t="n">
        <v>184016.59</v>
      </c>
      <c r="CV64" s="114" t="n"/>
      <c r="CW64" s="115" t="n">
        <v>747970.46434408</v>
      </c>
      <c r="CZ64" s="104" t="s">
        <v>121</v>
      </c>
      <c r="DA64" s="119" t="n">
        <f aca="false" ca="true" dt2D="false" dtr="false" t="normal">SUBTOTAL(9, DB64:DP64)</f>
        <v>20071938.110000003</v>
      </c>
      <c r="DB64" s="13" t="n"/>
      <c r="DC64" s="106" t="n"/>
      <c r="DE64" s="106" t="n"/>
      <c r="DF64" s="106" t="n"/>
      <c r="DG64" s="106" t="n"/>
      <c r="DH64" s="106" t="n"/>
      <c r="DI64" s="106" t="n">
        <v>0</v>
      </c>
      <c r="DJ64" s="106" t="n"/>
      <c r="DK64" s="106" t="n">
        <v>0</v>
      </c>
      <c r="DL64" s="106" t="n">
        <v>13315014.15</v>
      </c>
      <c r="DM64" s="106" t="n">
        <v>6316602.7</v>
      </c>
      <c r="DN64" s="106" t="n">
        <v>184016.59</v>
      </c>
      <c r="DO64" s="114" t="n"/>
      <c r="DP64" s="120" t="n">
        <f aca="false" ca="false" dt2D="false" dtr="false" t="normal">196715.63+59589.04</f>
        <v>256304.67</v>
      </c>
      <c r="DQ64" s="3" t="n">
        <f aca="false" ca="false" dt2D="false" dtr="false" t="normal">N64-DA64</f>
        <v>0</v>
      </c>
      <c r="DS64" s="9" t="n"/>
    </row>
    <row hidden="false" ht="15" outlineLevel="0" r="65">
      <c r="A65" s="103" t="n">
        <f aca="false" ca="false" dt2D="false" dtr="false" t="normal">+A64+1</f>
        <v>48</v>
      </c>
      <c r="B65" s="104" t="n">
        <f aca="false" ca="false" dt2D="false" dtr="false" t="normal">+B64+1</f>
        <v>48</v>
      </c>
      <c r="C65" s="104" t="s">
        <v>111</v>
      </c>
      <c r="D65" s="104" t="s">
        <v>122</v>
      </c>
      <c r="E65" s="105" t="n">
        <v>1963</v>
      </c>
      <c r="F65" s="105" t="n">
        <v>2013</v>
      </c>
      <c r="G65" s="105" t="s">
        <v>68</v>
      </c>
      <c r="H65" s="105" t="n">
        <v>4</v>
      </c>
      <c r="I65" s="105" t="n">
        <v>4</v>
      </c>
      <c r="J65" s="106" t="n">
        <v>5268.75</v>
      </c>
      <c r="K65" s="106" t="n">
        <v>3170.15</v>
      </c>
      <c r="L65" s="106" t="n">
        <v>2098.6</v>
      </c>
      <c r="M65" s="107" t="n">
        <v>92</v>
      </c>
      <c r="N65" s="108" t="n">
        <f aca="false" ca="false" dt2D="false" dtr="false" t="normal">SUM(P65:T65)</f>
        <v>25808089.74580198</v>
      </c>
      <c r="O65" s="106" t="n"/>
      <c r="P65" s="114" t="n">
        <v>1562915.71</v>
      </c>
      <c r="Q65" s="114" t="n"/>
      <c r="R65" s="114" t="n">
        <v>3803443.11</v>
      </c>
      <c r="S65" s="114" t="n">
        <v>12513319.670308</v>
      </c>
      <c r="T65" s="106" t="n">
        <v>7928411.25549398</v>
      </c>
      <c r="U65" s="114" t="n">
        <v>5076.42873932299</v>
      </c>
      <c r="V65" s="114" t="n">
        <v>5076.42873932299</v>
      </c>
      <c r="W65" s="110" t="n">
        <v>2022</v>
      </c>
      <c r="X65" s="9" t="e">
        <f aca="false" ca="false" dt2D="false" dtr="false" t="normal">+#REF!-'[9]Приложение №1'!$P1002</f>
        <v>#REF!</v>
      </c>
      <c r="Z65" s="113" t="n">
        <f aca="false" ca="false" dt2D="false" dtr="false" t="normal">SUM(AA65:AO65)</f>
        <v>55905524.456026606</v>
      </c>
      <c r="AA65" s="106" t="n">
        <v>8910375.13096359</v>
      </c>
      <c r="AB65" s="106" t="n">
        <v>3183729.76501603</v>
      </c>
      <c r="AC65" s="106" t="n">
        <v>3374754.23819906</v>
      </c>
      <c r="AD65" s="106" t="n">
        <v>2149419.79800305</v>
      </c>
      <c r="AE65" s="106" t="n">
        <v>1581654.12762</v>
      </c>
      <c r="AF65" s="106" t="n"/>
      <c r="AG65" s="106" t="n">
        <v>320562.321282</v>
      </c>
      <c r="AH65" s="106" t="n">
        <v>0</v>
      </c>
      <c r="AI65" s="106" t="n">
        <v>16307858.9365629</v>
      </c>
      <c r="AJ65" s="106" t="n">
        <v>0</v>
      </c>
      <c r="AK65" s="106" t="n">
        <v>8424086.4921022</v>
      </c>
      <c r="AL65" s="106" t="n">
        <v>9161049.13177177</v>
      </c>
      <c r="AM65" s="106" t="n">
        <v>1263665.59</v>
      </c>
      <c r="AN65" s="106" t="n">
        <v>60324.08</v>
      </c>
      <c r="AO65" s="115" t="n">
        <v>1168044.844506</v>
      </c>
      <c r="AP65" s="112" t="n">
        <f aca="false" ca="false" dt2D="false" dtr="false" t="normal">+N65-'Приложение №2'!E65</f>
        <v>0</v>
      </c>
      <c r="AQ65" s="1" t="n">
        <v>3051973.41</v>
      </c>
      <c r="AR65" s="3" t="n">
        <f aca="false" ca="false" dt2D="false" dtr="false" t="normal">+(K65*10+L65*20)*12*0.85</f>
        <v>751469.7</v>
      </c>
      <c r="AS65" s="3" t="n">
        <f aca="false" ca="false" dt2D="false" dtr="false" t="normal">+(K65*10+L65*20)*12*30</f>
        <v>26522460</v>
      </c>
      <c r="AT65" s="9" t="n">
        <f aca="false" ca="false" dt2D="false" dtr="false" t="normal">+S65-AS65</f>
        <v>-14009140.329692</v>
      </c>
      <c r="AW65" s="113" t="n">
        <f aca="false" ca="true" dt2D="false" dtr="false" t="normal">SUBTOTAL(9, AX65:BL65)</f>
        <v>26746433.92030798</v>
      </c>
      <c r="AX65" s="106" t="n">
        <v>4769407.1</v>
      </c>
      <c r="AY65" s="106" t="n"/>
      <c r="BA65" s="106" t="n">
        <v>1031316.84</v>
      </c>
      <c r="BB65" s="106" t="n"/>
      <c r="BC65" s="106" t="n"/>
      <c r="BD65" s="106" t="n"/>
      <c r="BE65" s="106" t="n">
        <v>0</v>
      </c>
      <c r="BF65" s="106" t="n">
        <v>10189652.14</v>
      </c>
      <c r="BG65" s="106" t="n">
        <v>0</v>
      </c>
      <c r="BH65" s="106" t="n">
        <v>7616799.19</v>
      </c>
      <c r="BI65" s="106" t="n">
        <v>787626.31</v>
      </c>
      <c r="BJ65" s="106" t="n">
        <v>1118801.88790099</v>
      </c>
      <c r="BK65" s="106" t="n">
        <f aca="false" ca="false" dt2D="false" dtr="false" t="normal">64785.607900992</f>
        <v>64785.607900992</v>
      </c>
      <c r="BL65" s="115" t="n">
        <v>1168044.844506</v>
      </c>
      <c r="BM65" s="14" t="n">
        <f aca="false" ca="true" dt2D="false" dtr="false" t="normal">SUBTOTAL(9, BN65:CB65)</f>
        <v>26746433.92030798</v>
      </c>
      <c r="BN65" s="106" t="n">
        <v>4769407.1</v>
      </c>
      <c r="BO65" s="106" t="n"/>
      <c r="BQ65" s="106" t="n">
        <v>1031316.84</v>
      </c>
      <c r="BR65" s="106" t="n"/>
      <c r="BS65" s="106" t="n"/>
      <c r="BT65" s="106" t="n"/>
      <c r="BU65" s="106" t="n">
        <v>0</v>
      </c>
      <c r="BV65" s="106" t="n">
        <v>10189652.14</v>
      </c>
      <c r="BW65" s="106" t="n">
        <v>0</v>
      </c>
      <c r="BX65" s="106" t="n">
        <v>7616799.19</v>
      </c>
      <c r="BY65" s="106" t="n">
        <v>787626.31</v>
      </c>
      <c r="BZ65" s="106" t="n">
        <v>1118801.88790099</v>
      </c>
      <c r="CA65" s="106" t="n">
        <f aca="false" ca="false" dt2D="false" dtr="false" t="normal">64785.607900992</f>
        <v>64785.607900992</v>
      </c>
      <c r="CB65" s="115" t="n">
        <v>1168044.844506</v>
      </c>
      <c r="CD65" s="116" t="n">
        <f aca="false" ca="false" dt2D="false" dtr="false" t="normal">+CD64+1</f>
        <v>48</v>
      </c>
      <c r="CE65" s="117" t="n">
        <f aca="false" ca="false" dt2D="false" dtr="false" t="normal">+CE64+1</f>
        <v>48</v>
      </c>
      <c r="CF65" s="104" t="s">
        <v>111</v>
      </c>
      <c r="CG65" s="104" t="s">
        <v>122</v>
      </c>
      <c r="CH65" s="118" t="n">
        <f aca="false" ca="true" dt2D="false" dtr="false" t="normal">SUBTOTAL(9, CI65:CW65)</f>
        <v>26746433.92030798</v>
      </c>
      <c r="CI65" s="106" t="n">
        <v>4769407.1</v>
      </c>
      <c r="CJ65" s="106" t="n"/>
      <c r="CL65" s="106" t="n">
        <v>1031316.84</v>
      </c>
      <c r="CM65" s="106" t="n"/>
      <c r="CN65" s="106" t="n"/>
      <c r="CO65" s="106" t="n"/>
      <c r="CP65" s="106" t="n">
        <v>0</v>
      </c>
      <c r="CQ65" s="106" t="n">
        <v>10189652.14</v>
      </c>
      <c r="CR65" s="106" t="n">
        <v>0</v>
      </c>
      <c r="CS65" s="106" t="n">
        <v>7616799.19</v>
      </c>
      <c r="CT65" s="106" t="n">
        <v>787626.31</v>
      </c>
      <c r="CU65" s="106" t="n">
        <v>1118801.88790099</v>
      </c>
      <c r="CV65" s="106" t="n">
        <f aca="false" ca="false" dt2D="false" dtr="false" t="normal">64785.607900992</f>
        <v>64785.607900992</v>
      </c>
      <c r="CW65" s="115" t="n">
        <v>1168044.844506</v>
      </c>
      <c r="CZ65" s="104" t="s">
        <v>122</v>
      </c>
      <c r="DA65" s="119" t="n">
        <f aca="false" ca="true" dt2D="false" dtr="false" t="normal">SUBTOTAL(9, DB65:DP65)</f>
        <v>25808089.74580198</v>
      </c>
      <c r="DB65" s="106" t="n">
        <v>4769407.1</v>
      </c>
      <c r="DC65" s="106" t="n"/>
      <c r="DE65" s="106" t="n">
        <v>1031316.84</v>
      </c>
      <c r="DF65" s="106" t="n"/>
      <c r="DG65" s="106" t="n"/>
      <c r="DH65" s="106" t="n"/>
      <c r="DI65" s="106" t="n">
        <v>0</v>
      </c>
      <c r="DJ65" s="106" t="n">
        <v>10189652.14</v>
      </c>
      <c r="DK65" s="106" t="n">
        <v>0</v>
      </c>
      <c r="DL65" s="106" t="n">
        <v>7616799.19</v>
      </c>
      <c r="DM65" s="106" t="n">
        <v>787626.31</v>
      </c>
      <c r="DN65" s="106" t="n">
        <v>1118801.88790099</v>
      </c>
      <c r="DO65" s="106" t="n">
        <f aca="false" ca="false" dt2D="false" dtr="false" t="normal">64785.607900992</f>
        <v>64785.607900992</v>
      </c>
      <c r="DP65" s="128" t="n">
        <f aca="false" ca="false" dt2D="false" dtr="false" t="normal">58276.61+6630.4+97841.34+57352.04+9600.28</f>
        <v>229700.67</v>
      </c>
      <c r="DQ65" s="3" t="n">
        <f aca="false" ca="false" dt2D="false" dtr="false" t="normal">N65-DA65</f>
        <v>0</v>
      </c>
      <c r="DS65" s="9" t="n"/>
    </row>
    <row hidden="false" ht="15" outlineLevel="0" r="66">
      <c r="A66" s="103" t="n">
        <f aca="false" ca="false" dt2D="false" dtr="false" t="normal">+A65+1</f>
        <v>49</v>
      </c>
      <c r="B66" s="104" t="n">
        <f aca="false" ca="false" dt2D="false" dtr="false" t="normal">+B65+1</f>
        <v>49</v>
      </c>
      <c r="C66" s="104" t="s">
        <v>111</v>
      </c>
      <c r="D66" s="104" t="s">
        <v>123</v>
      </c>
      <c r="E66" s="105" t="n">
        <v>1962</v>
      </c>
      <c r="F66" s="105" t="n">
        <v>2013</v>
      </c>
      <c r="G66" s="105" t="s">
        <v>68</v>
      </c>
      <c r="H66" s="105" t="n">
        <v>3</v>
      </c>
      <c r="I66" s="105" t="n">
        <v>4</v>
      </c>
      <c r="J66" s="106" t="n">
        <v>2475.3</v>
      </c>
      <c r="K66" s="106" t="n">
        <v>1760.3</v>
      </c>
      <c r="L66" s="106" t="n">
        <v>633.7</v>
      </c>
      <c r="M66" s="107" t="n">
        <v>67</v>
      </c>
      <c r="N66" s="108" t="n">
        <f aca="false" ca="false" dt2D="false" dtr="false" t="normal">SUM(P66:T66)</f>
        <v>657551.96</v>
      </c>
      <c r="O66" s="106" t="n"/>
      <c r="P66" s="114" t="n"/>
      <c r="Q66" s="114" t="n"/>
      <c r="R66" s="114" t="n">
        <v>657551.96</v>
      </c>
      <c r="S66" s="114" t="n">
        <v>0</v>
      </c>
      <c r="T66" s="114" t="n">
        <v>0</v>
      </c>
      <c r="U66" s="106" t="n">
        <v>293.174607936608</v>
      </c>
      <c r="V66" s="106" t="n">
        <v>293.174607936608</v>
      </c>
      <c r="W66" s="110" t="n">
        <v>2022</v>
      </c>
      <c r="X66" s="9" t="e">
        <f aca="false" ca="false" dt2D="false" dtr="false" t="normal">+#REF!-'[9]Приложение №1'!$P1603</f>
        <v>#REF!</v>
      </c>
      <c r="Z66" s="113" t="n">
        <f aca="false" ca="false" dt2D="false" dtr="false" t="normal">SUM(AA66:AO66)</f>
        <v>42587143.97</v>
      </c>
      <c r="AA66" s="106" t="n">
        <v>7066614.75374946</v>
      </c>
      <c r="AB66" s="106" t="n">
        <v>4299926.44467792</v>
      </c>
      <c r="AC66" s="106" t="n">
        <v>2026161.64019976</v>
      </c>
      <c r="AD66" s="106" t="n">
        <v>1726716.820332</v>
      </c>
      <c r="AE66" s="106" t="n">
        <v>927837.09472608</v>
      </c>
      <c r="AF66" s="106" t="n"/>
      <c r="AG66" s="106" t="n">
        <v>721134.151647</v>
      </c>
      <c r="AH66" s="106" t="n">
        <v>0</v>
      </c>
      <c r="AI66" s="106" t="n">
        <v>20442556.2216078</v>
      </c>
      <c r="AJ66" s="106" t="n">
        <v>0</v>
      </c>
      <c r="AK66" s="106" t="n">
        <v>0</v>
      </c>
      <c r="AL66" s="106" t="n">
        <v>0</v>
      </c>
      <c r="AM66" s="106" t="n">
        <v>4136597.3546</v>
      </c>
      <c r="AN66" s="114" t="n">
        <v>425871.4397</v>
      </c>
      <c r="AO66" s="115" t="n">
        <v>813728.04875998</v>
      </c>
      <c r="AP66" s="112" t="n">
        <f aca="false" ca="false" dt2D="false" dtr="false" t="normal">+N66-'Приложение №2'!E66</f>
        <v>0</v>
      </c>
      <c r="AQ66" s="1" t="n">
        <v>1210415.78</v>
      </c>
      <c r="AR66" s="3" t="n">
        <f aca="false" ca="false" dt2D="false" dtr="false" t="normal">+(K66*10+L66*20)*12*0.85</f>
        <v>308825.39999999997</v>
      </c>
      <c r="AS66" s="3" t="n">
        <f aca="false" ca="false" dt2D="false" dtr="false" t="normal">+(K66*10+L66*20)*12*30-4713256</f>
        <v>6186464</v>
      </c>
      <c r="AT66" s="9" t="n">
        <f aca="false" ca="false" dt2D="false" dtr="false" t="normal">+S66-AS66</f>
        <v>-6186464</v>
      </c>
      <c r="AW66" s="113" t="n">
        <f aca="false" ca="true" dt2D="false" dtr="false" t="normal">SUBTOTAL(9, AX66:BL66)</f>
        <v>701860.01140024</v>
      </c>
      <c r="AX66" s="106" t="n"/>
      <c r="AY66" s="106" t="n"/>
      <c r="AZ66" s="106" t="n">
        <v>657551.96</v>
      </c>
      <c r="BA66" s="106" t="n"/>
      <c r="BB66" s="106" t="n"/>
      <c r="BC66" s="106" t="n"/>
      <c r="BD66" s="106" t="n"/>
      <c r="BE66" s="106" t="n">
        <v>0</v>
      </c>
      <c r="BF66" s="106" t="n"/>
      <c r="BG66" s="106" t="n">
        <v>0</v>
      </c>
      <c r="BH66" s="106" t="n">
        <v>0</v>
      </c>
      <c r="BI66" s="106" t="n">
        <v>0</v>
      </c>
      <c r="BJ66" s="106" t="n"/>
      <c r="BK66" s="114" t="n"/>
      <c r="BL66" s="115" t="n">
        <v>44308.05140024</v>
      </c>
      <c r="BM66" s="14" t="n">
        <f aca="false" ca="true" dt2D="false" dtr="false" t="normal">SUBTOTAL(9, BN66:CB66)</f>
        <v>701860.01140024</v>
      </c>
      <c r="BN66" s="106" t="n"/>
      <c r="BO66" s="106" t="n"/>
      <c r="BP66" s="106" t="n">
        <v>657551.96</v>
      </c>
      <c r="BQ66" s="106" t="n"/>
      <c r="BR66" s="106" t="n"/>
      <c r="BS66" s="106" t="n"/>
      <c r="BT66" s="106" t="n"/>
      <c r="BU66" s="106" t="n">
        <v>0</v>
      </c>
      <c r="BV66" s="106" t="n"/>
      <c r="BW66" s="106" t="n">
        <v>0</v>
      </c>
      <c r="BX66" s="106" t="n">
        <v>0</v>
      </c>
      <c r="BY66" s="106" t="n">
        <v>0</v>
      </c>
      <c r="BZ66" s="106" t="n"/>
      <c r="CA66" s="114" t="n"/>
      <c r="CB66" s="115" t="n">
        <v>44308.05140024</v>
      </c>
      <c r="CD66" s="116" t="n">
        <f aca="false" ca="false" dt2D="false" dtr="false" t="normal">+CD65+1</f>
        <v>49</v>
      </c>
      <c r="CE66" s="117" t="n">
        <f aca="false" ca="false" dt2D="false" dtr="false" t="normal">+CE65+1</f>
        <v>49</v>
      </c>
      <c r="CF66" s="104" t="s">
        <v>111</v>
      </c>
      <c r="CG66" s="104" t="s">
        <v>123</v>
      </c>
      <c r="CH66" s="118" t="n">
        <f aca="false" ca="true" dt2D="false" dtr="false" t="normal">SUBTOTAL(9, CI66:CW66)</f>
        <v>701860.01140024</v>
      </c>
      <c r="CI66" s="106" t="n"/>
      <c r="CJ66" s="106" t="n"/>
      <c r="CK66" s="106" t="n">
        <v>657551.96</v>
      </c>
      <c r="CL66" s="106" t="n"/>
      <c r="CM66" s="106" t="n"/>
      <c r="CN66" s="106" t="n"/>
      <c r="CO66" s="106" t="n"/>
      <c r="CP66" s="106" t="n">
        <v>0</v>
      </c>
      <c r="CQ66" s="106" t="n"/>
      <c r="CR66" s="106" t="n">
        <v>0</v>
      </c>
      <c r="CS66" s="106" t="n">
        <v>0</v>
      </c>
      <c r="CT66" s="106" t="n">
        <v>0</v>
      </c>
      <c r="CU66" s="106" t="n"/>
      <c r="CV66" s="114" t="n"/>
      <c r="CW66" s="115" t="n">
        <v>44308.05140024</v>
      </c>
      <c r="CZ66" s="104" t="s">
        <v>123</v>
      </c>
      <c r="DA66" s="119" t="n">
        <f aca="false" ca="true" dt2D="false" dtr="false" t="normal">SUBTOTAL(9, DB66:DP66)</f>
        <v>657551.96</v>
      </c>
      <c r="DB66" s="106" t="n"/>
      <c r="DC66" s="106" t="n"/>
      <c r="DD66" s="106" t="n">
        <v>657551.96</v>
      </c>
      <c r="DE66" s="106" t="n"/>
      <c r="DF66" s="106" t="n"/>
      <c r="DG66" s="106" t="n"/>
      <c r="DH66" s="106" t="n"/>
      <c r="DI66" s="106" t="n">
        <v>0</v>
      </c>
      <c r="DJ66" s="106" t="n"/>
      <c r="DK66" s="106" t="n">
        <v>0</v>
      </c>
      <c r="DL66" s="106" t="n">
        <v>0</v>
      </c>
      <c r="DM66" s="106" t="n">
        <v>0</v>
      </c>
      <c r="DN66" s="106" t="n"/>
      <c r="DO66" s="114" t="n"/>
      <c r="DP66" s="122" t="n"/>
      <c r="DQ66" s="3" t="n">
        <f aca="false" ca="false" dt2D="false" dtr="false" t="normal">N66-DA66</f>
        <v>0</v>
      </c>
    </row>
    <row customFormat="true" hidden="false" ht="15" outlineLevel="0" r="67" s="129">
      <c r="A67" s="103" t="n">
        <f aca="false" ca="false" dt2D="false" dtr="false" t="normal">+A66+1</f>
        <v>50</v>
      </c>
      <c r="B67" s="104" t="n">
        <f aca="false" ca="false" dt2D="false" dtr="false" t="normal">+B66+1</f>
        <v>50</v>
      </c>
      <c r="C67" s="104" t="s">
        <v>111</v>
      </c>
      <c r="D67" s="104" t="s">
        <v>124</v>
      </c>
      <c r="E67" s="105" t="s">
        <v>125</v>
      </c>
      <c r="F67" s="105" t="n"/>
      <c r="G67" s="105" t="s">
        <v>68</v>
      </c>
      <c r="H67" s="105" t="s">
        <v>126</v>
      </c>
      <c r="I67" s="105" t="s">
        <v>105</v>
      </c>
      <c r="J67" s="106" t="n">
        <v>6441.2</v>
      </c>
      <c r="K67" s="106" t="n">
        <v>4463.1</v>
      </c>
      <c r="L67" s="106" t="n">
        <v>1969.2</v>
      </c>
      <c r="M67" s="107" t="n">
        <v>152</v>
      </c>
      <c r="N67" s="108" t="n">
        <f aca="false" ca="false" dt2D="false" dtr="false" t="normal">SUM(P67:T67)</f>
        <v>5909562.2026752</v>
      </c>
      <c r="O67" s="106" t="n">
        <v>0</v>
      </c>
      <c r="P67" s="114" t="n"/>
      <c r="Q67" s="114" t="n">
        <v>0</v>
      </c>
      <c r="R67" s="114" t="n">
        <v>5329893.6566</v>
      </c>
      <c r="S67" s="114" t="n">
        <v>579668.5460752</v>
      </c>
      <c r="T67" s="106" t="n">
        <v>0</v>
      </c>
      <c r="U67" s="114" t="n">
        <v>1357.7159901705</v>
      </c>
      <c r="V67" s="114" t="n">
        <v>1172.283020064</v>
      </c>
      <c r="W67" s="110" t="n">
        <v>2022</v>
      </c>
      <c r="X67" s="129" t="n">
        <v>3464637.96</v>
      </c>
      <c r="Y67" s="129" t="n">
        <f aca="false" ca="false" dt2D="false" dtr="false" t="normal">+(K67*12.08+L67*20.47)*12</f>
        <v>1130685.264</v>
      </c>
      <c r="AA67" s="130" t="e">
        <f aca="false" ca="false" dt2D="false" dtr="false" t="normal">+N67-'[8]Приложение № 2'!E64</f>
        <v>#REF!</v>
      </c>
      <c r="AD67" s="130" t="e">
        <f aca="false" ca="false" dt2D="false" dtr="false" t="normal">+N67-'[8]Приложение № 2'!E64</f>
        <v>#REF!</v>
      </c>
      <c r="AP67" s="112" t="n">
        <f aca="false" ca="false" dt2D="false" dtr="false" t="normal">+N67-'Приложение №2'!E67</f>
        <v>0</v>
      </c>
      <c r="AQ67" s="129" t="n">
        <v>4272551.63</v>
      </c>
      <c r="AR67" s="3" t="n">
        <f aca="false" ca="false" dt2D="false" dtr="false" t="normal">+(K67*13.29+L67*22.52)*12*0.85</f>
        <v>1057342.0266</v>
      </c>
      <c r="AS67" s="3" t="n">
        <f aca="false" ca="false" dt2D="false" dtr="false" t="normal">+(K67*13.29+L67*22.52)*12*30</f>
        <v>37317953.88</v>
      </c>
      <c r="AT67" s="9" t="n">
        <f aca="false" ca="false" dt2D="false" dtr="false" t="normal">+S67-AS67</f>
        <v>-36738285.3339248</v>
      </c>
      <c r="AW67" s="113" t="n">
        <f aca="false" ca="true" dt2D="false" dtr="false" t="normal">SUBTOTAL(9, AX67:BL67)</f>
        <v>6059622.235729951</v>
      </c>
      <c r="AX67" s="113" t="n"/>
      <c r="AY67" s="113" t="n"/>
      <c r="AZ67" s="113" t="n"/>
      <c r="BA67" s="113" t="n"/>
      <c r="BB67" s="113" t="n"/>
      <c r="BC67" s="113" t="n"/>
      <c r="BD67" s="113" t="n"/>
      <c r="BE67" s="113" t="n">
        <v>5738993.28</v>
      </c>
      <c r="BF67" s="113" t="n"/>
      <c r="BG67" s="113" t="n"/>
      <c r="BH67" s="113" t="n"/>
      <c r="BI67" s="113" t="n"/>
      <c r="BJ67" s="113" t="n">
        <v>146568.9226752</v>
      </c>
      <c r="BK67" s="113" t="n">
        <v>24000</v>
      </c>
      <c r="BL67" s="113" t="n">
        <v>150060.033054751</v>
      </c>
      <c r="BM67" s="14" t="n">
        <f aca="false" ca="true" dt2D="false" dtr="false" t="normal">SUBTOTAL(9, BN67:CB67)</f>
        <v>6059622.235729951</v>
      </c>
      <c r="BN67" s="113" t="n"/>
      <c r="BO67" s="113" t="n"/>
      <c r="BP67" s="113" t="n"/>
      <c r="BQ67" s="113" t="n"/>
      <c r="BR67" s="113" t="n"/>
      <c r="BS67" s="113" t="n"/>
      <c r="BT67" s="113" t="n"/>
      <c r="BU67" s="113" t="n">
        <v>5738993.28</v>
      </c>
      <c r="BV67" s="113" t="n"/>
      <c r="BW67" s="113" t="n"/>
      <c r="BX67" s="113" t="n"/>
      <c r="BY67" s="113" t="n"/>
      <c r="BZ67" s="113" t="n">
        <v>146568.9226752</v>
      </c>
      <c r="CA67" s="113" t="n">
        <v>24000</v>
      </c>
      <c r="CB67" s="113" t="n">
        <v>150060.033054751</v>
      </c>
      <c r="CD67" s="116" t="n">
        <f aca="false" ca="false" dt2D="false" dtr="false" t="normal">+CD66+1</f>
        <v>50</v>
      </c>
      <c r="CE67" s="117" t="n">
        <f aca="false" ca="false" dt2D="false" dtr="false" t="normal">+CE66+1</f>
        <v>50</v>
      </c>
      <c r="CF67" s="104" t="s">
        <v>111</v>
      </c>
      <c r="CG67" s="104" t="s">
        <v>124</v>
      </c>
      <c r="CH67" s="118" t="n">
        <f aca="false" ca="true" dt2D="false" dtr="false" t="normal">SUBTOTAL(9, CI67:CW67)</f>
        <v>6059622.235729951</v>
      </c>
      <c r="CI67" s="113" t="n"/>
      <c r="CJ67" s="113" t="n"/>
      <c r="CK67" s="113" t="n"/>
      <c r="CL67" s="113" t="n"/>
      <c r="CM67" s="113" t="n"/>
      <c r="CN67" s="113" t="n"/>
      <c r="CO67" s="113" t="n"/>
      <c r="CP67" s="113" t="n">
        <v>5738993.28</v>
      </c>
      <c r="CQ67" s="113" t="n"/>
      <c r="CR67" s="113" t="n"/>
      <c r="CS67" s="113" t="n"/>
      <c r="CT67" s="113" t="n"/>
      <c r="CU67" s="113" t="n">
        <v>146568.9226752</v>
      </c>
      <c r="CV67" s="113" t="n">
        <v>24000</v>
      </c>
      <c r="CW67" s="113" t="n">
        <v>150060.033054751</v>
      </c>
      <c r="CZ67" s="104" t="s">
        <v>124</v>
      </c>
      <c r="DA67" s="119" t="n">
        <f aca="false" ca="true" dt2D="false" dtr="false" t="normal">SUBTOTAL(9, DB67:DP67)</f>
        <v>5909562.2026752</v>
      </c>
      <c r="DB67" s="113" t="n"/>
      <c r="DC67" s="113" t="n"/>
      <c r="DD67" s="113" t="n"/>
      <c r="DE67" s="113" t="n"/>
      <c r="DF67" s="113" t="n"/>
      <c r="DG67" s="113" t="n"/>
      <c r="DH67" s="113" t="n"/>
      <c r="DI67" s="113" t="n">
        <v>5738993.28</v>
      </c>
      <c r="DJ67" s="113" t="n"/>
      <c r="DK67" s="113" t="n"/>
      <c r="DL67" s="113" t="n"/>
      <c r="DM67" s="113" t="n"/>
      <c r="DN67" s="113" t="n">
        <v>146568.9226752</v>
      </c>
      <c r="DO67" s="113" t="n">
        <v>24000</v>
      </c>
      <c r="DP67" s="131" t="n"/>
      <c r="DQ67" s="3" t="n">
        <f aca="false" ca="false" dt2D="false" dtr="false" t="normal">N67-DA67</f>
        <v>0</v>
      </c>
      <c r="DS67" s="132" t="n"/>
    </row>
    <row customFormat="true" hidden="false" ht="15" outlineLevel="0" r="68" s="129">
      <c r="A68" s="103" t="n">
        <f aca="false" ca="false" dt2D="false" dtr="false" t="normal">+A67+1</f>
        <v>51</v>
      </c>
      <c r="B68" s="104" t="n">
        <f aca="false" ca="false" dt2D="false" dtr="false" t="normal">+B67+1</f>
        <v>51</v>
      </c>
      <c r="C68" s="104" t="s">
        <v>111</v>
      </c>
      <c r="D68" s="104" t="s">
        <v>127</v>
      </c>
      <c r="E68" s="105" t="s">
        <v>125</v>
      </c>
      <c r="F68" s="105" t="n"/>
      <c r="G68" s="105" t="s">
        <v>68</v>
      </c>
      <c r="H68" s="105" t="s">
        <v>128</v>
      </c>
      <c r="I68" s="105" t="s">
        <v>105</v>
      </c>
      <c r="J68" s="106" t="n">
        <v>5186.36</v>
      </c>
      <c r="K68" s="106" t="n">
        <v>4076.7</v>
      </c>
      <c r="L68" s="106" t="n">
        <v>540.4</v>
      </c>
      <c r="M68" s="107" t="n">
        <v>130</v>
      </c>
      <c r="N68" s="108" t="n">
        <f aca="false" ca="false" dt2D="false" dtr="false" t="normal">SUM(P68:T68)</f>
        <v>5898632.361792</v>
      </c>
      <c r="O68" s="106" t="n">
        <v>0</v>
      </c>
      <c r="P68" s="114" t="n"/>
      <c r="Q68" s="114" t="n">
        <v>0</v>
      </c>
      <c r="R68" s="114" t="n">
        <v>3933138.0602</v>
      </c>
      <c r="S68" s="114" t="n">
        <v>1965494.301592</v>
      </c>
      <c r="T68" s="106" t="n">
        <v>0</v>
      </c>
      <c r="U68" s="114" t="n">
        <v>1483.78009013213</v>
      </c>
      <c r="V68" s="114" t="n">
        <v>1172.283020064</v>
      </c>
      <c r="W68" s="110" t="n">
        <v>2022</v>
      </c>
      <c r="X68" s="129" t="n">
        <v>2572778.1</v>
      </c>
      <c r="Y68" s="129" t="n">
        <f aca="false" ca="false" dt2D="false" dtr="false" t="normal">+(K68*12.08+L68*20.47)*12</f>
        <v>723702.288</v>
      </c>
      <c r="AA68" s="130" t="e">
        <f aca="false" ca="false" dt2D="false" dtr="false" t="normal">+N68-'[8]Приложение № 2'!E65</f>
        <v>#REF!</v>
      </c>
      <c r="AD68" s="130" t="e">
        <f aca="false" ca="false" dt2D="false" dtr="false" t="normal">+N68-'[8]Приложение № 2'!E65</f>
        <v>#REF!</v>
      </c>
      <c r="AP68" s="112" t="n">
        <f aca="false" ca="false" dt2D="false" dtr="false" t="normal">+N68-'Приложение №2'!E68</f>
        <v>0</v>
      </c>
      <c r="AQ68" s="129" t="n">
        <v>3256376.72</v>
      </c>
      <c r="AR68" s="3" t="n">
        <f aca="false" ca="false" dt2D="false" dtr="false" t="normal">+(K68*13.29+L68*22.52)*12*0.85</f>
        <v>676761.3401999999</v>
      </c>
      <c r="AS68" s="3" t="n">
        <f aca="false" ca="false" dt2D="false" dtr="false" t="normal">+(K68*13.29+L68*22.52)*12*30</f>
        <v>23885694.36</v>
      </c>
      <c r="AT68" s="9" t="n">
        <f aca="false" ca="false" dt2D="false" dtr="false" t="normal">+S68-AS68</f>
        <v>-21920200.058408</v>
      </c>
      <c r="AW68" s="113" t="n">
        <f aca="false" ca="true" dt2D="false" dtr="false" t="normal">SUBTOTAL(9, AX68:BL68)</f>
        <v>6048926.293441651</v>
      </c>
      <c r="AX68" s="113" t="n"/>
      <c r="AY68" s="113" t="n"/>
      <c r="AZ68" s="113" t="n"/>
      <c r="BA68" s="113" t="n"/>
      <c r="BB68" s="113" t="n"/>
      <c r="BC68" s="113" t="n"/>
      <c r="BD68" s="113" t="n"/>
      <c r="BE68" s="113" t="n">
        <v>5738993.28</v>
      </c>
      <c r="BF68" s="113" t="n"/>
      <c r="BG68" s="113" t="n"/>
      <c r="BH68" s="113" t="n"/>
      <c r="BI68" s="113" t="n"/>
      <c r="BJ68" s="113" t="n">
        <v>135639.081792</v>
      </c>
      <c r="BK68" s="113" t="n">
        <v>24000</v>
      </c>
      <c r="BL68" s="113" t="n">
        <v>150293.931649651</v>
      </c>
      <c r="BM68" s="14" t="n">
        <f aca="false" ca="true" dt2D="false" dtr="false" t="normal">SUBTOTAL(9, BN68:CB68)</f>
        <v>6048926.293441651</v>
      </c>
      <c r="BN68" s="113" t="n"/>
      <c r="BO68" s="113" t="n"/>
      <c r="BP68" s="113" t="n"/>
      <c r="BQ68" s="113" t="n"/>
      <c r="BR68" s="113" t="n"/>
      <c r="BS68" s="113" t="n"/>
      <c r="BT68" s="113" t="n"/>
      <c r="BU68" s="113" t="n">
        <v>5738993.28</v>
      </c>
      <c r="BV68" s="113" t="n"/>
      <c r="BW68" s="113" t="n"/>
      <c r="BX68" s="113" t="n"/>
      <c r="BY68" s="113" t="n"/>
      <c r="BZ68" s="113" t="n">
        <v>135639.081792</v>
      </c>
      <c r="CA68" s="113" t="n">
        <v>24000</v>
      </c>
      <c r="CB68" s="113" t="n">
        <v>150293.931649651</v>
      </c>
      <c r="CD68" s="116" t="n">
        <f aca="false" ca="false" dt2D="false" dtr="false" t="normal">+CD67+1</f>
        <v>51</v>
      </c>
      <c r="CE68" s="117" t="n">
        <f aca="false" ca="false" dt2D="false" dtr="false" t="normal">+CE67+1</f>
        <v>51</v>
      </c>
      <c r="CF68" s="104" t="s">
        <v>111</v>
      </c>
      <c r="CG68" s="104" t="s">
        <v>127</v>
      </c>
      <c r="CH68" s="118" t="n">
        <f aca="false" ca="true" dt2D="false" dtr="false" t="normal">SUBTOTAL(9, CI68:CW68)</f>
        <v>6048926.293441651</v>
      </c>
      <c r="CI68" s="113" t="n"/>
      <c r="CJ68" s="113" t="n"/>
      <c r="CK68" s="113" t="n"/>
      <c r="CL68" s="113" t="n"/>
      <c r="CM68" s="113" t="n"/>
      <c r="CN68" s="113" t="n"/>
      <c r="CO68" s="113" t="n"/>
      <c r="CP68" s="113" t="n">
        <v>5738993.28</v>
      </c>
      <c r="CQ68" s="113" t="n"/>
      <c r="CR68" s="113" t="n"/>
      <c r="CS68" s="113" t="n"/>
      <c r="CT68" s="113" t="n"/>
      <c r="CU68" s="113" t="n">
        <v>135639.081792</v>
      </c>
      <c r="CV68" s="113" t="n">
        <v>24000</v>
      </c>
      <c r="CW68" s="113" t="n">
        <v>150293.931649651</v>
      </c>
      <c r="CZ68" s="104" t="s">
        <v>127</v>
      </c>
      <c r="DA68" s="119" t="n">
        <f aca="false" ca="true" dt2D="false" dtr="false" t="normal">SUBTOTAL(9, DB68:DP68)</f>
        <v>5898632.361792</v>
      </c>
      <c r="DB68" s="113" t="n"/>
      <c r="DC68" s="113" t="n"/>
      <c r="DD68" s="113" t="n"/>
      <c r="DE68" s="113" t="n"/>
      <c r="DF68" s="113" t="n"/>
      <c r="DG68" s="113" t="n"/>
      <c r="DH68" s="113" t="n"/>
      <c r="DI68" s="113" t="n">
        <v>5738993.28</v>
      </c>
      <c r="DJ68" s="113" t="n"/>
      <c r="DK68" s="113" t="n"/>
      <c r="DL68" s="113" t="n"/>
      <c r="DM68" s="113" t="n"/>
      <c r="DN68" s="113" t="n">
        <v>135639.081792</v>
      </c>
      <c r="DO68" s="113" t="n">
        <v>24000</v>
      </c>
      <c r="DP68" s="131" t="n"/>
      <c r="DQ68" s="3" t="n">
        <f aca="false" ca="false" dt2D="false" dtr="false" t="normal">N68-DA68</f>
        <v>0</v>
      </c>
      <c r="DS68" s="132" t="n"/>
    </row>
    <row hidden="false" ht="15" outlineLevel="0" r="69">
      <c r="A69" s="103" t="n">
        <f aca="false" ca="false" dt2D="false" dtr="false" t="normal">+A68+1</f>
        <v>52</v>
      </c>
      <c r="B69" s="104" t="n">
        <f aca="false" ca="false" dt2D="false" dtr="false" t="normal">+B68+1</f>
        <v>52</v>
      </c>
      <c r="C69" s="104" t="s">
        <v>111</v>
      </c>
      <c r="D69" s="104" t="s">
        <v>129</v>
      </c>
      <c r="E69" s="105" t="n">
        <v>1968</v>
      </c>
      <c r="F69" s="105" t="n">
        <v>2013</v>
      </c>
      <c r="G69" s="105" t="s">
        <v>68</v>
      </c>
      <c r="H69" s="105" t="n">
        <v>5</v>
      </c>
      <c r="I69" s="105" t="n">
        <v>4</v>
      </c>
      <c r="J69" s="106" t="n">
        <v>3228.9</v>
      </c>
      <c r="K69" s="106" t="n">
        <v>2518.9</v>
      </c>
      <c r="L69" s="106" t="n">
        <v>710</v>
      </c>
      <c r="M69" s="107" t="n">
        <v>136</v>
      </c>
      <c r="N69" s="108" t="n">
        <f aca="false" ca="false" dt2D="false" dtr="false" t="normal">SUM(P69:T69)</f>
        <v>1118404.042262</v>
      </c>
      <c r="O69" s="106" t="n"/>
      <c r="P69" s="114" t="n"/>
      <c r="Q69" s="114" t="n"/>
      <c r="R69" s="114" t="n">
        <v>1118404.042262</v>
      </c>
      <c r="S69" s="114" t="n">
        <v>0</v>
      </c>
      <c r="T69" s="114" t="n">
        <v>0</v>
      </c>
      <c r="U69" s="106" t="n">
        <v>381.404333445446</v>
      </c>
      <c r="V69" s="106" t="n">
        <v>381.404333445446</v>
      </c>
      <c r="W69" s="110" t="n">
        <v>2022</v>
      </c>
      <c r="X69" s="9" t="e">
        <f aca="false" ca="false" dt2D="false" dtr="false" t="normal">+#REF!-'[9]Приложение №1'!$P1407</f>
        <v>#REF!</v>
      </c>
      <c r="Z69" s="113" t="n">
        <f aca="false" ca="false" dt2D="false" dtr="false" t="normal">SUM(AA69:AO69)</f>
        <v>27107198.400000002</v>
      </c>
      <c r="AA69" s="106" t="n">
        <v>5940143.10638658</v>
      </c>
      <c r="AB69" s="106" t="n">
        <v>2116717.19237958</v>
      </c>
      <c r="AC69" s="106" t="n">
        <v>2211498.4827243</v>
      </c>
      <c r="AD69" s="106" t="n">
        <v>1384537.88247348</v>
      </c>
      <c r="AE69" s="106" t="n">
        <v>847110.81731472</v>
      </c>
      <c r="AF69" s="106" t="n"/>
      <c r="AG69" s="106" t="n">
        <v>227939.55009504</v>
      </c>
      <c r="AH69" s="106" t="n">
        <v>0</v>
      </c>
      <c r="AI69" s="106" t="n">
        <v>10859485.4122104</v>
      </c>
      <c r="AJ69" s="106" t="n">
        <v>0</v>
      </c>
      <c r="AK69" s="106" t="n">
        <v>0</v>
      </c>
      <c r="AL69" s="106" t="n">
        <v>0</v>
      </c>
      <c r="AM69" s="106" t="n">
        <v>2732884.5975</v>
      </c>
      <c r="AN69" s="114" t="n">
        <v>271071.984</v>
      </c>
      <c r="AO69" s="115" t="n">
        <v>515809.3749159</v>
      </c>
      <c r="AP69" s="112" t="n">
        <f aca="false" ca="false" dt2D="false" dtr="false" t="normal">+N69-'Приложение №2'!E69</f>
        <v>0</v>
      </c>
      <c r="AQ69" s="1" t="n">
        <v>1993779.07</v>
      </c>
      <c r="AR69" s="3" t="n">
        <f aca="false" ca="false" dt2D="false" dtr="false" t="normal">+(K69*10+L69*20)*12*0.85</f>
        <v>401767.8</v>
      </c>
      <c r="AS69" s="3" t="n">
        <f aca="false" ca="false" dt2D="false" dtr="false" t="normal">+(K69*10+L69*20)*12*30</f>
        <v>14180040</v>
      </c>
      <c r="AT69" s="9" t="n">
        <f aca="false" ca="false" dt2D="false" dtr="false" t="normal">+S69-AS69</f>
        <v>-14180040</v>
      </c>
      <c r="AU69" s="9" t="e">
        <f aca="false" ca="false" dt2D="false" dtr="false" t="normal">+P69-'[5]Приложение №1'!$P264</f>
        <v>#REF!</v>
      </c>
      <c r="AV69" s="9" t="e">
        <f aca="false" ca="false" dt2D="false" dtr="false" t="normal">+Q69-'[5]Приложение №1'!$Q264</f>
        <v>#REF!</v>
      </c>
      <c r="AW69" s="113" t="n">
        <f aca="false" ca="true" dt2D="false" dtr="false" t="normal">SUBTOTAL(9, AX69:BL69)</f>
        <v>1231516.452262</v>
      </c>
      <c r="AX69" s="106" t="n"/>
      <c r="AY69" s="106" t="n"/>
      <c r="AZ69" s="106" t="n"/>
      <c r="BA69" s="106" t="n"/>
      <c r="BB69" s="106" t="n">
        <f aca="false" ca="false" dt2D="false" dtr="false" t="normal">1117005.032262+1399.01</f>
        <v>1118404.042262</v>
      </c>
      <c r="BC69" s="106" t="n"/>
      <c r="BD69" s="106" t="n"/>
      <c r="BE69" s="106" t="n"/>
      <c r="BF69" s="106" t="n"/>
      <c r="BG69" s="106" t="n">
        <v>0</v>
      </c>
      <c r="BH69" s="106" t="n">
        <v>0</v>
      </c>
      <c r="BI69" s="106" t="n">
        <v>0</v>
      </c>
      <c r="BJ69" s="106" t="n"/>
      <c r="BK69" s="114" t="n"/>
      <c r="BL69" s="115" t="n">
        <v>113112.41</v>
      </c>
      <c r="BM69" s="14" t="n">
        <f aca="false" ca="true" dt2D="false" dtr="false" t="normal">SUBTOTAL(9, BN69:CB69)</f>
        <v>1231516.452262</v>
      </c>
      <c r="BN69" s="106" t="n"/>
      <c r="BO69" s="106" t="n"/>
      <c r="BP69" s="106" t="n"/>
      <c r="BQ69" s="106" t="n"/>
      <c r="BR69" s="106" t="n">
        <f aca="false" ca="false" dt2D="false" dtr="false" t="normal">1117005.032262+1399.01</f>
        <v>1118404.042262</v>
      </c>
      <c r="BS69" s="106" t="n"/>
      <c r="BT69" s="106" t="n"/>
      <c r="BU69" s="106" t="n"/>
      <c r="BV69" s="106" t="n"/>
      <c r="BW69" s="106" t="n">
        <v>0</v>
      </c>
      <c r="BX69" s="106" t="n">
        <v>0</v>
      </c>
      <c r="BY69" s="106" t="n">
        <v>0</v>
      </c>
      <c r="BZ69" s="106" t="n"/>
      <c r="CA69" s="114" t="n"/>
      <c r="CB69" s="115" t="n">
        <v>113112.41</v>
      </c>
      <c r="CD69" s="116" t="n">
        <f aca="false" ca="false" dt2D="false" dtr="false" t="normal">+CD68+1</f>
        <v>52</v>
      </c>
      <c r="CE69" s="117" t="n">
        <f aca="false" ca="false" dt2D="false" dtr="false" t="normal">+CE68+1</f>
        <v>52</v>
      </c>
      <c r="CF69" s="104" t="s">
        <v>111</v>
      </c>
      <c r="CG69" s="104" t="s">
        <v>129</v>
      </c>
      <c r="CH69" s="118" t="n">
        <f aca="false" ca="true" dt2D="false" dtr="false" t="normal">SUBTOTAL(9, CI69:CW69)</f>
        <v>1231516.452262</v>
      </c>
      <c r="CI69" s="106" t="n"/>
      <c r="CJ69" s="106" t="n"/>
      <c r="CK69" s="106" t="n"/>
      <c r="CL69" s="106" t="n"/>
      <c r="CM69" s="106" t="n">
        <f aca="false" ca="false" dt2D="false" dtr="false" t="normal">1117005.032262+1399.01</f>
        <v>1118404.042262</v>
      </c>
      <c r="CN69" s="106" t="n"/>
      <c r="CO69" s="106" t="n"/>
      <c r="CP69" s="106" t="n"/>
      <c r="CQ69" s="106" t="n"/>
      <c r="CR69" s="106" t="n">
        <v>0</v>
      </c>
      <c r="CS69" s="106" t="n">
        <v>0</v>
      </c>
      <c r="CT69" s="106" t="n">
        <v>0</v>
      </c>
      <c r="CU69" s="106" t="n"/>
      <c r="CV69" s="114" t="n"/>
      <c r="CW69" s="115" t="n">
        <v>113112.41</v>
      </c>
      <c r="CZ69" s="104" t="s">
        <v>129</v>
      </c>
      <c r="DA69" s="119" t="n">
        <f aca="false" ca="true" dt2D="false" dtr="false" t="normal">SUBTOTAL(9, DB69:DP69)</f>
        <v>1118404.042262</v>
      </c>
      <c r="DB69" s="106" t="n"/>
      <c r="DC69" s="106" t="n"/>
      <c r="DD69" s="106" t="n"/>
      <c r="DE69" s="106" t="n"/>
      <c r="DF69" s="106" t="n">
        <f aca="false" ca="false" dt2D="false" dtr="false" t="normal">1117005.032262+1399.01</f>
        <v>1118404.042262</v>
      </c>
      <c r="DG69" s="106" t="n"/>
      <c r="DH69" s="106" t="n"/>
      <c r="DI69" s="106" t="n"/>
      <c r="DJ69" s="106" t="n"/>
      <c r="DK69" s="106" t="n">
        <v>0</v>
      </c>
      <c r="DL69" s="106" t="n">
        <v>0</v>
      </c>
      <c r="DM69" s="106" t="n">
        <v>0</v>
      </c>
      <c r="DN69" s="106" t="n"/>
      <c r="DO69" s="114" t="n"/>
      <c r="DP69" s="122" t="n"/>
      <c r="DQ69" s="3" t="n">
        <f aca="false" ca="false" dt2D="false" dtr="false" t="normal">N69-DA69</f>
        <v>0</v>
      </c>
    </row>
    <row hidden="false" ht="15" outlineLevel="0" r="70">
      <c r="A70" s="103" t="n">
        <f aca="false" ca="false" dt2D="false" dtr="false" t="normal">+A69+1</f>
        <v>53</v>
      </c>
      <c r="B70" s="104" t="n">
        <f aca="false" ca="false" dt2D="false" dtr="false" t="normal">+B69+1</f>
        <v>53</v>
      </c>
      <c r="C70" s="104" t="s">
        <v>111</v>
      </c>
      <c r="D70" s="104" t="s">
        <v>130</v>
      </c>
      <c r="E70" s="105" t="n">
        <v>1965</v>
      </c>
      <c r="F70" s="105" t="n">
        <v>2005</v>
      </c>
      <c r="G70" s="105" t="s">
        <v>68</v>
      </c>
      <c r="H70" s="105" t="n">
        <v>4</v>
      </c>
      <c r="I70" s="105" t="n">
        <v>2</v>
      </c>
      <c r="J70" s="106" t="n">
        <v>1948.5</v>
      </c>
      <c r="K70" s="106" t="n">
        <v>1410</v>
      </c>
      <c r="L70" s="106" t="n">
        <v>537.7</v>
      </c>
      <c r="M70" s="107" t="n">
        <v>38</v>
      </c>
      <c r="N70" s="108" t="n">
        <f aca="false" ca="false" dt2D="false" dtr="false" t="normal">SUM(P70:T70)</f>
        <v>735121.99</v>
      </c>
      <c r="O70" s="106" t="n"/>
      <c r="P70" s="114" t="n"/>
      <c r="Q70" s="114" t="n"/>
      <c r="R70" s="114" t="n">
        <v>735121.99</v>
      </c>
      <c r="S70" s="114" t="n">
        <v>0</v>
      </c>
      <c r="T70" s="106" t="n"/>
      <c r="U70" s="114" t="n">
        <v>402.783962698958</v>
      </c>
      <c r="V70" s="114" t="n">
        <v>402.783962698958</v>
      </c>
      <c r="W70" s="110" t="n">
        <v>2022</v>
      </c>
      <c r="X70" s="9" t="e">
        <f aca="false" ca="false" dt2D="false" dtr="false" t="normal">+#REF!-'[9]Приложение №1'!$P1408</f>
        <v>#REF!</v>
      </c>
      <c r="Z70" s="113" t="n">
        <f aca="false" ca="false" dt2D="false" dtr="false" t="normal">SUM(AA70:AO70)</f>
        <v>10380935.740000002</v>
      </c>
      <c r="AA70" s="106" t="n">
        <v>4172919.55032498</v>
      </c>
      <c r="AB70" s="106" t="n">
        <v>1486982.78641038</v>
      </c>
      <c r="AC70" s="106" t="n">
        <v>1553566.1571465</v>
      </c>
      <c r="AD70" s="106" t="n">
        <v>972630.63727284</v>
      </c>
      <c r="AE70" s="106" t="n">
        <v>595090.92894678</v>
      </c>
      <c r="AF70" s="106" t="n"/>
      <c r="AG70" s="106" t="n">
        <v>160126.34455524</v>
      </c>
      <c r="AH70" s="106" t="n">
        <v>0</v>
      </c>
      <c r="AI70" s="106" t="n">
        <v>0</v>
      </c>
      <c r="AJ70" s="106" t="n">
        <v>0</v>
      </c>
      <c r="AK70" s="106" t="n">
        <v>0</v>
      </c>
      <c r="AL70" s="106" t="n">
        <v>0</v>
      </c>
      <c r="AM70" s="106" t="n">
        <v>1140281.4974</v>
      </c>
      <c r="AN70" s="114" t="n">
        <v>103809.3574</v>
      </c>
      <c r="AO70" s="115" t="n">
        <v>195528.48054328</v>
      </c>
      <c r="AP70" s="112" t="n">
        <f aca="false" ca="false" dt2D="false" dtr="false" t="normal">+N70-'Приложение №2'!E70</f>
        <v>0</v>
      </c>
      <c r="AQ70" s="1" t="n">
        <v>945052.78</v>
      </c>
      <c r="AR70" s="3" t="n">
        <f aca="false" ca="false" dt2D="false" dtr="false" t="normal">+(K70*10+L70*20)*12*0.85</f>
        <v>253510.8</v>
      </c>
      <c r="AS70" s="3" t="n">
        <f aca="false" ca="false" dt2D="false" dtr="false" t="normal">+(K70*10+L70*20)*12*30</f>
        <v>8947440</v>
      </c>
      <c r="AT70" s="9" t="n">
        <f aca="false" ca="false" dt2D="false" dtr="false" t="normal">+S70-AS70</f>
        <v>-8947440</v>
      </c>
      <c r="AW70" s="113" t="n">
        <f aca="false" ca="true" dt2D="false" dtr="false" t="normal">SUBTOTAL(9, AX70:BL70)</f>
        <v>784502.32414876</v>
      </c>
      <c r="AX70" s="106" t="n"/>
      <c r="AY70" s="106" t="n"/>
      <c r="AZ70" s="106" t="n">
        <v>727596.98</v>
      </c>
      <c r="BA70" s="106" t="n"/>
      <c r="BB70" s="106" t="n"/>
      <c r="BC70" s="106" t="n"/>
      <c r="BD70" s="106" t="n"/>
      <c r="BE70" s="106" t="n">
        <v>0</v>
      </c>
      <c r="BF70" s="106" t="n">
        <v>0</v>
      </c>
      <c r="BG70" s="106" t="n">
        <v>0</v>
      </c>
      <c r="BH70" s="106" t="n">
        <v>0</v>
      </c>
      <c r="BI70" s="106" t="n">
        <v>0</v>
      </c>
      <c r="BJ70" s="106" t="n"/>
      <c r="BK70" s="114" t="n"/>
      <c r="BL70" s="115" t="n">
        <v>56905.34414876</v>
      </c>
      <c r="BM70" s="14" t="n">
        <f aca="false" ca="true" dt2D="false" dtr="false" t="normal">SUBTOTAL(9, BN70:CB70)</f>
        <v>784502.32414876</v>
      </c>
      <c r="BN70" s="106" t="n"/>
      <c r="BO70" s="106" t="n"/>
      <c r="BP70" s="106" t="n">
        <v>727596.98</v>
      </c>
      <c r="BQ70" s="106" t="n"/>
      <c r="BR70" s="106" t="n"/>
      <c r="BS70" s="106" t="n"/>
      <c r="BT70" s="106" t="n"/>
      <c r="BU70" s="106" t="n">
        <v>0</v>
      </c>
      <c r="BV70" s="106" t="n">
        <v>0</v>
      </c>
      <c r="BW70" s="106" t="n">
        <v>0</v>
      </c>
      <c r="BX70" s="106" t="n">
        <v>0</v>
      </c>
      <c r="BY70" s="106" t="n">
        <v>0</v>
      </c>
      <c r="BZ70" s="106" t="n"/>
      <c r="CA70" s="114" t="n"/>
      <c r="CB70" s="115" t="n">
        <v>56905.34414876</v>
      </c>
      <c r="CD70" s="116" t="n">
        <f aca="false" ca="false" dt2D="false" dtr="false" t="normal">+CD69+1</f>
        <v>53</v>
      </c>
      <c r="CE70" s="117" t="n">
        <f aca="false" ca="false" dt2D="false" dtr="false" t="normal">+CE69+1</f>
        <v>53</v>
      </c>
      <c r="CF70" s="104" t="s">
        <v>111</v>
      </c>
      <c r="CG70" s="104" t="s">
        <v>130</v>
      </c>
      <c r="CH70" s="118" t="n">
        <f aca="false" ca="true" dt2D="false" dtr="false" t="normal">SUBTOTAL(9, CI70:CW70)</f>
        <v>784502.32414876</v>
      </c>
      <c r="CI70" s="106" t="n"/>
      <c r="CJ70" s="106" t="n"/>
      <c r="CK70" s="106" t="n">
        <v>727596.98</v>
      </c>
      <c r="CL70" s="106" t="n"/>
      <c r="CM70" s="106" t="n"/>
      <c r="CN70" s="106" t="n"/>
      <c r="CO70" s="106" t="n"/>
      <c r="CP70" s="106" t="n">
        <v>0</v>
      </c>
      <c r="CQ70" s="106" t="n">
        <v>0</v>
      </c>
      <c r="CR70" s="106" t="n">
        <v>0</v>
      </c>
      <c r="CS70" s="106" t="n">
        <v>0</v>
      </c>
      <c r="CT70" s="106" t="n">
        <v>0</v>
      </c>
      <c r="CU70" s="106" t="n"/>
      <c r="CV70" s="114" t="n"/>
      <c r="CW70" s="115" t="n">
        <v>56905.34414876</v>
      </c>
      <c r="CZ70" s="104" t="s">
        <v>130</v>
      </c>
      <c r="DA70" s="119" t="n">
        <f aca="false" ca="true" dt2D="false" dtr="false" t="normal">SUBTOTAL(9, DB70:DP70)</f>
        <v>735121.99</v>
      </c>
      <c r="DB70" s="106" t="n"/>
      <c r="DC70" s="106" t="n"/>
      <c r="DD70" s="106" t="n">
        <v>727596.98</v>
      </c>
      <c r="DE70" s="106" t="n"/>
      <c r="DF70" s="106" t="n"/>
      <c r="DG70" s="106" t="n"/>
      <c r="DH70" s="106" t="n"/>
      <c r="DI70" s="106" t="n">
        <v>0</v>
      </c>
      <c r="DJ70" s="106" t="n">
        <v>0</v>
      </c>
      <c r="DK70" s="106" t="n">
        <v>0</v>
      </c>
      <c r="DL70" s="106" t="n">
        <v>0</v>
      </c>
      <c r="DM70" s="106" t="n">
        <v>0</v>
      </c>
      <c r="DN70" s="106" t="n"/>
      <c r="DO70" s="114" t="n"/>
      <c r="DP70" s="120" t="n">
        <f aca="false" ca="false" dt2D="false" dtr="false" t="normal">7525.01</f>
        <v>7525.01</v>
      </c>
      <c r="DQ70" s="3" t="n">
        <f aca="false" ca="false" dt2D="false" dtr="false" t="normal">N70-DA70</f>
        <v>0</v>
      </c>
    </row>
    <row hidden="false" ht="15" outlineLevel="0" r="71">
      <c r="A71" s="103" t="n">
        <f aca="false" ca="false" dt2D="false" dtr="false" t="normal">+A70+1</f>
        <v>54</v>
      </c>
      <c r="B71" s="104" t="n">
        <f aca="false" ca="false" dt2D="false" dtr="false" t="normal">+B70+1</f>
        <v>54</v>
      </c>
      <c r="C71" s="104" t="s">
        <v>111</v>
      </c>
      <c r="D71" s="104" t="s">
        <v>131</v>
      </c>
      <c r="E71" s="105" t="n">
        <v>1963</v>
      </c>
      <c r="F71" s="105" t="n">
        <v>2013</v>
      </c>
      <c r="G71" s="105" t="s">
        <v>68</v>
      </c>
      <c r="H71" s="105" t="n">
        <v>4</v>
      </c>
      <c r="I71" s="105" t="n">
        <v>3</v>
      </c>
      <c r="J71" s="106" t="n">
        <v>2328.4</v>
      </c>
      <c r="K71" s="106" t="n">
        <v>1950.9</v>
      </c>
      <c r="L71" s="106" t="n">
        <v>377.5</v>
      </c>
      <c r="M71" s="107" t="n">
        <v>49</v>
      </c>
      <c r="N71" s="108" t="n">
        <f aca="false" ca="false" dt2D="false" dtr="false" t="normal">SUM(P71:T71)</f>
        <v>4389935.65</v>
      </c>
      <c r="O71" s="106" t="n"/>
      <c r="P71" s="114" t="n"/>
      <c r="Q71" s="114" t="n"/>
      <c r="R71" s="114" t="n">
        <v>761274.89161744</v>
      </c>
      <c r="S71" s="114" t="n">
        <v>3628660.75838256</v>
      </c>
      <c r="T71" s="106" t="n">
        <v>0</v>
      </c>
      <c r="U71" s="114" t="n">
        <v>1972.36981687744</v>
      </c>
      <c r="V71" s="114" t="n">
        <v>1972.36981687744</v>
      </c>
      <c r="W71" s="110" t="n">
        <v>2022</v>
      </c>
      <c r="X71" s="9" t="e">
        <f aca="false" ca="false" dt2D="false" dtr="false" t="normal">+#REF!-'[9]Приложение №1'!$P1409</f>
        <v>#REF!</v>
      </c>
      <c r="Z71" s="113" t="n">
        <f aca="false" ca="false" dt2D="false" dtr="false" t="normal">SUM(AA71:AO71)</f>
        <v>11906775.32</v>
      </c>
      <c r="AA71" s="106" t="n">
        <v>4786275.21920184</v>
      </c>
      <c r="AB71" s="106" t="n">
        <v>1705546.6285494</v>
      </c>
      <c r="AC71" s="106" t="n">
        <v>1781916.73519272</v>
      </c>
      <c r="AD71" s="106" t="n">
        <v>1115592.54137688</v>
      </c>
      <c r="AE71" s="106" t="n">
        <v>682560.24163362</v>
      </c>
      <c r="AF71" s="106" t="n"/>
      <c r="AG71" s="106" t="n">
        <v>183662.48366172</v>
      </c>
      <c r="AH71" s="106" t="n">
        <v>0</v>
      </c>
      <c r="AI71" s="106" t="n">
        <v>0</v>
      </c>
      <c r="AJ71" s="106" t="n">
        <v>0</v>
      </c>
      <c r="AK71" s="106" t="n">
        <v>0</v>
      </c>
      <c r="AL71" s="106" t="n">
        <v>0</v>
      </c>
      <c r="AM71" s="106" t="n">
        <v>1307885.5255</v>
      </c>
      <c r="AN71" s="114" t="n">
        <v>119067.7532</v>
      </c>
      <c r="AO71" s="115" t="n">
        <v>224268.19168382</v>
      </c>
      <c r="AP71" s="112" t="n">
        <f aca="false" ca="false" dt2D="false" dtr="false" t="normal">+N71-'Приложение №2'!E71</f>
        <v>0</v>
      </c>
      <c r="AQ71" s="1" t="n">
        <v>1234380.76</v>
      </c>
      <c r="AR71" s="3" t="n">
        <f aca="false" ca="false" dt2D="false" dtr="false" t="normal">+(K71*10+L71*20)*12*0.85</f>
        <v>276001.8</v>
      </c>
      <c r="AS71" s="3" t="n">
        <f aca="false" ca="false" dt2D="false" dtr="false" t="normal">+(K71*10+L71*20)*12*30</f>
        <v>9741240</v>
      </c>
      <c r="AT71" s="9" t="n">
        <f aca="false" ca="false" dt2D="false" dtr="false" t="normal">+S71-AS71</f>
        <v>-6112579.241617439</v>
      </c>
      <c r="AW71" s="113" t="n">
        <f aca="false" ca="true" dt2D="false" dtr="false" t="normal">SUBTOTAL(9, AX71:BL71)</f>
        <v>4592465.88161744</v>
      </c>
      <c r="AX71" s="106" t="n">
        <v>2728315.47</v>
      </c>
      <c r="AY71" s="106" t="n">
        <v>1047486.37</v>
      </c>
      <c r="AZ71" s="106" t="n">
        <v>607322.06</v>
      </c>
      <c r="BA71" s="106" t="n"/>
      <c r="BB71" s="106" t="n"/>
      <c r="BC71" s="106" t="n"/>
      <c r="BD71" s="106" t="n"/>
      <c r="BE71" s="106" t="n">
        <v>0</v>
      </c>
      <c r="BF71" s="106" t="n">
        <v>0</v>
      </c>
      <c r="BG71" s="106" t="n">
        <v>0</v>
      </c>
      <c r="BH71" s="106" t="n">
        <v>0</v>
      </c>
      <c r="BI71" s="106" t="n">
        <v>0</v>
      </c>
      <c r="BJ71" s="106" t="n"/>
      <c r="BK71" s="114" t="n"/>
      <c r="BL71" s="115" t="n">
        <v>209341.98161744</v>
      </c>
      <c r="BM71" s="14" t="n">
        <f aca="false" ca="true" dt2D="false" dtr="false" t="normal">SUBTOTAL(9, BN71:CB71)</f>
        <v>4592465.88161744</v>
      </c>
      <c r="BN71" s="106" t="n">
        <v>2728315.47</v>
      </c>
      <c r="BO71" s="106" t="n">
        <v>1047486.37</v>
      </c>
      <c r="BP71" s="106" t="n">
        <v>607322.06</v>
      </c>
      <c r="BQ71" s="106" t="n"/>
      <c r="BR71" s="106" t="n"/>
      <c r="BS71" s="106" t="n"/>
      <c r="BT71" s="106" t="n"/>
      <c r="BU71" s="106" t="n">
        <v>0</v>
      </c>
      <c r="BV71" s="106" t="n">
        <v>0</v>
      </c>
      <c r="BW71" s="106" t="n">
        <v>0</v>
      </c>
      <c r="BX71" s="106" t="n">
        <v>0</v>
      </c>
      <c r="BY71" s="106" t="n">
        <v>0</v>
      </c>
      <c r="BZ71" s="106" t="n"/>
      <c r="CA71" s="114" t="n"/>
      <c r="CB71" s="115" t="n">
        <v>209341.98161744</v>
      </c>
      <c r="CD71" s="116" t="n">
        <f aca="false" ca="false" dt2D="false" dtr="false" t="normal">+CD70+1</f>
        <v>54</v>
      </c>
      <c r="CE71" s="117" t="n">
        <f aca="false" ca="false" dt2D="false" dtr="false" t="normal">+CE70+1</f>
        <v>54</v>
      </c>
      <c r="CF71" s="104" t="s">
        <v>111</v>
      </c>
      <c r="CG71" s="104" t="s">
        <v>131</v>
      </c>
      <c r="CH71" s="118" t="n">
        <f aca="false" ca="true" dt2D="false" dtr="false" t="normal">SUBTOTAL(9, CI71:CW71)</f>
        <v>4592465.88161744</v>
      </c>
      <c r="CI71" s="106" t="n">
        <v>2728315.47</v>
      </c>
      <c r="CJ71" s="106" t="n">
        <v>1047486.37</v>
      </c>
      <c r="CK71" s="106" t="n">
        <v>607322.06</v>
      </c>
      <c r="CL71" s="106" t="n"/>
      <c r="CM71" s="106" t="n"/>
      <c r="CN71" s="106" t="n"/>
      <c r="CO71" s="106" t="n"/>
      <c r="CP71" s="106" t="n">
        <v>0</v>
      </c>
      <c r="CQ71" s="106" t="n">
        <v>0</v>
      </c>
      <c r="CR71" s="106" t="n">
        <v>0</v>
      </c>
      <c r="CS71" s="106" t="n">
        <v>0</v>
      </c>
      <c r="CT71" s="106" t="n">
        <v>0</v>
      </c>
      <c r="CU71" s="106" t="n"/>
      <c r="CV71" s="114" t="n"/>
      <c r="CW71" s="115" t="n">
        <v>209341.98161744</v>
      </c>
      <c r="CZ71" s="104" t="s">
        <v>131</v>
      </c>
      <c r="DA71" s="119" t="n">
        <f aca="false" ca="true" dt2D="false" dtr="false" t="normal">SUBTOTAL(9, DB71:DP71)</f>
        <v>4389935.65</v>
      </c>
      <c r="DB71" s="106" t="n">
        <v>2728315.47</v>
      </c>
      <c r="DC71" s="106" t="n">
        <v>1047486.37</v>
      </c>
      <c r="DD71" s="106" t="n">
        <v>607322.06</v>
      </c>
      <c r="DE71" s="106" t="n"/>
      <c r="DF71" s="106" t="n"/>
      <c r="DG71" s="106" t="n"/>
      <c r="DH71" s="106" t="n"/>
      <c r="DI71" s="106" t="n">
        <v>0</v>
      </c>
      <c r="DJ71" s="106" t="n">
        <v>0</v>
      </c>
      <c r="DK71" s="106" t="n">
        <v>0</v>
      </c>
      <c r="DL71" s="106" t="n">
        <v>0</v>
      </c>
      <c r="DM71" s="106" t="n">
        <v>0</v>
      </c>
      <c r="DN71" s="106" t="n"/>
      <c r="DO71" s="114" t="n"/>
      <c r="DP71" s="120" t="n">
        <v>6811.75</v>
      </c>
      <c r="DQ71" s="3" t="n">
        <f aca="false" ca="false" dt2D="false" dtr="false" t="normal">N71-DA71</f>
        <v>0</v>
      </c>
      <c r="DS71" s="9" t="n"/>
    </row>
    <row hidden="false" ht="15" outlineLevel="0" r="72">
      <c r="A72" s="103" t="n">
        <f aca="false" ca="false" dt2D="false" dtr="false" t="normal">+A71+1</f>
        <v>55</v>
      </c>
      <c r="B72" s="104" t="n">
        <f aca="false" ca="false" dt2D="false" dtr="false" t="normal">+B71+1</f>
        <v>55</v>
      </c>
      <c r="C72" s="104" t="s">
        <v>111</v>
      </c>
      <c r="D72" s="104" t="s">
        <v>132</v>
      </c>
      <c r="E72" s="105" t="n">
        <v>1989</v>
      </c>
      <c r="F72" s="105" t="n">
        <v>2017</v>
      </c>
      <c r="G72" s="105" t="s">
        <v>68</v>
      </c>
      <c r="H72" s="105" t="n">
        <v>9</v>
      </c>
      <c r="I72" s="105" t="n">
        <v>3</v>
      </c>
      <c r="J72" s="106" t="n">
        <v>7106.9</v>
      </c>
      <c r="K72" s="106" t="n">
        <v>6247.4</v>
      </c>
      <c r="L72" s="106" t="n">
        <v>0</v>
      </c>
      <c r="M72" s="107" t="n">
        <v>249</v>
      </c>
      <c r="N72" s="108" t="n">
        <f aca="false" ca="false" dt2D="false" dtr="false" t="normal">SUM(P72:T72)</f>
        <v>1827661.8</v>
      </c>
      <c r="O72" s="106" t="n"/>
      <c r="P72" s="114" t="n"/>
      <c r="Q72" s="114" t="n"/>
      <c r="R72" s="114" t="n">
        <v>1710288.97421662</v>
      </c>
      <c r="S72" s="114" t="n">
        <v>117372.82578338</v>
      </c>
      <c r="T72" s="106" t="n">
        <v>0</v>
      </c>
      <c r="U72" s="114" t="n">
        <v>435.178335662295</v>
      </c>
      <c r="V72" s="114" t="n">
        <v>435.178335662295</v>
      </c>
      <c r="W72" s="110" t="n">
        <v>2022</v>
      </c>
      <c r="X72" s="9" t="e">
        <f aca="false" ca="false" dt2D="false" dtr="false" t="normal">+#REF!-'[9]Приложение №1'!$P366</f>
        <v>#REF!</v>
      </c>
      <c r="Z72" s="113" t="n">
        <f aca="false" ca="false" dt2D="false" dtr="false" t="normal">SUM(AA72:AO72)</f>
        <v>25881031.24</v>
      </c>
      <c r="AA72" s="106" t="n"/>
      <c r="AB72" s="106" t="n"/>
      <c r="AC72" s="106" t="n"/>
      <c r="AD72" s="106" t="n"/>
      <c r="AE72" s="106" t="n">
        <v>0</v>
      </c>
      <c r="AF72" s="106" t="n"/>
      <c r="AG72" s="106" t="n"/>
      <c r="AH72" s="106" t="n">
        <v>0</v>
      </c>
      <c r="AI72" s="106" t="n"/>
      <c r="AJ72" s="106" t="n">
        <v>0</v>
      </c>
      <c r="AK72" s="106" t="n">
        <v>25881031.24</v>
      </c>
      <c r="AL72" s="106" t="n">
        <v>0</v>
      </c>
      <c r="AM72" s="106" t="n"/>
      <c r="AN72" s="114" t="n"/>
      <c r="AO72" s="115" t="n"/>
      <c r="AP72" s="112" t="n">
        <f aca="false" ca="false" dt2D="false" dtr="false" t="normal">+N72-'Приложение №2'!E72</f>
        <v>0</v>
      </c>
      <c r="AQ72" s="1" t="n">
        <v>2787898.61</v>
      </c>
      <c r="AR72" s="3" t="n">
        <f aca="false" ca="false" dt2D="false" dtr="false" t="normal">+(K72*13.29+L72*22.52)*12*0.85</f>
        <v>846885.0491999999</v>
      </c>
      <c r="AS72" s="3" t="n">
        <f aca="false" ca="false" dt2D="false" dtr="false" t="normal">+(K72*13.29+L72*22.52)*12*30-131853.4</f>
        <v>29758207.16</v>
      </c>
      <c r="AT72" s="9" t="n">
        <f aca="false" ca="false" dt2D="false" dtr="false" t="normal">+S72-AS72</f>
        <v>-29640834.33421662</v>
      </c>
      <c r="AW72" s="113" t="n">
        <f aca="false" ca="true" dt2D="false" dtr="false" t="normal">SUBTOTAL(9, AX72:BL72)</f>
        <v>2718733.13421662</v>
      </c>
      <c r="AX72" s="106" t="n"/>
      <c r="AY72" s="106" t="n">
        <v>0</v>
      </c>
      <c r="AZ72" s="106" t="n"/>
      <c r="BA72" s="106" t="n">
        <v>1827661.8</v>
      </c>
      <c r="BB72" s="106" t="n">
        <v>0</v>
      </c>
      <c r="BC72" s="106" t="n"/>
      <c r="BD72" s="106" t="n"/>
      <c r="BE72" s="106" t="n">
        <v>0</v>
      </c>
      <c r="BF72" s="106" t="n"/>
      <c r="BG72" s="106" t="n">
        <v>0</v>
      </c>
      <c r="BH72" s="106" t="n"/>
      <c r="BI72" s="106" t="n">
        <v>0</v>
      </c>
      <c r="BJ72" s="106" t="n"/>
      <c r="BK72" s="114" t="n"/>
      <c r="BL72" s="115" t="n">
        <v>891071.33421662</v>
      </c>
      <c r="BM72" s="14" t="n">
        <f aca="false" ca="true" dt2D="false" dtr="false" t="normal">SUBTOTAL(9, BN72:CB72)</f>
        <v>2718733.13421662</v>
      </c>
      <c r="BN72" s="106" t="n"/>
      <c r="BO72" s="106" t="n">
        <v>0</v>
      </c>
      <c r="BP72" s="106" t="n"/>
      <c r="BQ72" s="106" t="n">
        <v>1827661.8</v>
      </c>
      <c r="BR72" s="106" t="n">
        <v>0</v>
      </c>
      <c r="BS72" s="106" t="n"/>
      <c r="BT72" s="106" t="n"/>
      <c r="BU72" s="106" t="n">
        <v>0</v>
      </c>
      <c r="BV72" s="106" t="n"/>
      <c r="BW72" s="106" t="n">
        <v>0</v>
      </c>
      <c r="BX72" s="106" t="n"/>
      <c r="BY72" s="106" t="n">
        <v>0</v>
      </c>
      <c r="BZ72" s="106" t="n"/>
      <c r="CA72" s="114" t="n"/>
      <c r="CB72" s="115" t="n">
        <v>891071.33421662</v>
      </c>
      <c r="CD72" s="116" t="n">
        <f aca="false" ca="false" dt2D="false" dtr="false" t="normal">+CD71+1</f>
        <v>55</v>
      </c>
      <c r="CE72" s="117" t="n">
        <f aca="false" ca="false" dt2D="false" dtr="false" t="normal">+CE71+1</f>
        <v>55</v>
      </c>
      <c r="CF72" s="104" t="s">
        <v>111</v>
      </c>
      <c r="CG72" s="104" t="s">
        <v>132</v>
      </c>
      <c r="CH72" s="118" t="n">
        <f aca="false" ca="true" dt2D="false" dtr="false" t="normal">SUBTOTAL(9, CI72:CW72)</f>
        <v>2718733.13421662</v>
      </c>
      <c r="CI72" s="106" t="n"/>
      <c r="CJ72" s="106" t="n">
        <v>0</v>
      </c>
      <c r="CK72" s="106" t="n"/>
      <c r="CL72" s="106" t="n">
        <v>1827661.8</v>
      </c>
      <c r="CM72" s="106" t="n">
        <v>0</v>
      </c>
      <c r="CN72" s="106" t="n"/>
      <c r="CO72" s="106" t="n"/>
      <c r="CP72" s="106" t="n">
        <v>0</v>
      </c>
      <c r="CQ72" s="106" t="n"/>
      <c r="CR72" s="106" t="n">
        <v>0</v>
      </c>
      <c r="CS72" s="106" t="n"/>
      <c r="CT72" s="106" t="n">
        <v>0</v>
      </c>
      <c r="CU72" s="106" t="n"/>
      <c r="CV72" s="114" t="n"/>
      <c r="CW72" s="115" t="n">
        <v>891071.33421662</v>
      </c>
      <c r="CZ72" s="104" t="s">
        <v>132</v>
      </c>
      <c r="DA72" s="119" t="n">
        <f aca="false" ca="true" dt2D="false" dtr="false" t="normal">SUBTOTAL(9, DB72:DP72)</f>
        <v>1827661.8</v>
      </c>
      <c r="DB72" s="106" t="n"/>
      <c r="DC72" s="106" t="n">
        <v>0</v>
      </c>
      <c r="DD72" s="106" t="n"/>
      <c r="DE72" s="106" t="n">
        <v>1827661.8</v>
      </c>
      <c r="DF72" s="106" t="n">
        <v>0</v>
      </c>
      <c r="DG72" s="106" t="n"/>
      <c r="DH72" s="106" t="n"/>
      <c r="DI72" s="106" t="n">
        <v>0</v>
      </c>
      <c r="DJ72" s="106" t="n"/>
      <c r="DK72" s="106" t="n">
        <v>0</v>
      </c>
      <c r="DL72" s="106" t="n"/>
      <c r="DM72" s="106" t="n">
        <v>0</v>
      </c>
      <c r="DN72" s="106" t="n"/>
      <c r="DO72" s="114" t="n"/>
      <c r="DP72" s="122" t="n"/>
      <c r="DQ72" s="3" t="n">
        <f aca="false" ca="false" dt2D="false" dtr="false" t="normal">N72-DA72</f>
        <v>0</v>
      </c>
      <c r="DS72" s="9" t="n"/>
    </row>
    <row hidden="false" ht="15" outlineLevel="0" r="73">
      <c r="A73" s="103" t="n">
        <f aca="false" ca="false" dt2D="false" dtr="false" t="normal">+A72+1</f>
        <v>56</v>
      </c>
      <c r="B73" s="104" t="n">
        <f aca="false" ca="false" dt2D="false" dtr="false" t="normal">+B72+1</f>
        <v>56</v>
      </c>
      <c r="C73" s="104" t="s">
        <v>111</v>
      </c>
      <c r="D73" s="104" t="s">
        <v>133</v>
      </c>
      <c r="E73" s="105" t="n">
        <v>1989</v>
      </c>
      <c r="F73" s="105" t="n">
        <v>2017</v>
      </c>
      <c r="G73" s="105" t="s">
        <v>68</v>
      </c>
      <c r="H73" s="105" t="n">
        <v>9</v>
      </c>
      <c r="I73" s="105" t="n">
        <v>3</v>
      </c>
      <c r="J73" s="106" t="n">
        <v>8049.4</v>
      </c>
      <c r="K73" s="106" t="n">
        <v>6639.6</v>
      </c>
      <c r="L73" s="106" t="n">
        <v>0</v>
      </c>
      <c r="M73" s="107" t="n">
        <v>258</v>
      </c>
      <c r="N73" s="108" t="n">
        <f aca="false" ca="false" dt2D="false" dtr="false" t="normal">SUM(P73:T73)</f>
        <v>2845906.28</v>
      </c>
      <c r="O73" s="106" t="n"/>
      <c r="P73" s="114" t="n"/>
      <c r="Q73" s="114" t="n"/>
      <c r="R73" s="114" t="n"/>
      <c r="S73" s="114" t="n">
        <v>2845906.28</v>
      </c>
      <c r="T73" s="106" t="n">
        <v>0</v>
      </c>
      <c r="U73" s="114" t="n">
        <v>509.870771958109</v>
      </c>
      <c r="V73" s="114" t="n">
        <v>509.870771958109</v>
      </c>
      <c r="W73" s="110" t="n">
        <v>2022</v>
      </c>
      <c r="X73" s="9" t="e">
        <f aca="false" ca="false" dt2D="false" dtr="false" t="normal">+#REF!-'[9]Приложение №1'!$P1010</f>
        <v>#REF!</v>
      </c>
      <c r="Z73" s="113" t="n">
        <f aca="false" ca="false" dt2D="false" dtr="false" t="normal">SUM(AA73:AO73)</f>
        <v>34535107.58613093</v>
      </c>
      <c r="AA73" s="106" t="n">
        <v>9503098.76983194</v>
      </c>
      <c r="AB73" s="106" t="n">
        <v>0</v>
      </c>
      <c r="AC73" s="106" t="n">
        <v>6138860.89766292</v>
      </c>
      <c r="AD73" s="106" t="n">
        <v>2958309.31565568</v>
      </c>
      <c r="AE73" s="106" t="n">
        <v>0</v>
      </c>
      <c r="AF73" s="106" t="n"/>
      <c r="AG73" s="106" t="n">
        <v>715245.7676784</v>
      </c>
      <c r="AH73" s="106" t="n">
        <v>0</v>
      </c>
      <c r="AI73" s="106" t="n">
        <v>5352142.219578</v>
      </c>
      <c r="AJ73" s="106" t="n">
        <v>0</v>
      </c>
      <c r="AK73" s="106" t="n"/>
      <c r="AL73" s="106" t="n">
        <v>0</v>
      </c>
      <c r="AM73" s="106" t="n">
        <v>7589459.6136</v>
      </c>
      <c r="AN73" s="114" t="n">
        <v>782532.3664</v>
      </c>
      <c r="AO73" s="115" t="n">
        <v>1495458.635724</v>
      </c>
      <c r="AP73" s="112" t="n">
        <f aca="false" ca="false" dt2D="false" dtr="false" t="normal">+N73-'Приложение №2'!E73</f>
        <v>0</v>
      </c>
      <c r="AQ73" s="1" t="n">
        <v>4261157.78</v>
      </c>
      <c r="AR73" s="3" t="n">
        <f aca="false" ca="false" dt2D="false" dtr="false" t="normal">+(K73*13.29+L73*22.52)*12*0.85</f>
        <v>900050.8968</v>
      </c>
      <c r="AS73" s="3" t="n">
        <f aca="false" ca="false" dt2D="false" dtr="false" t="normal">+(K73*13.29+L73*22.52)*12*30-14694406.85</f>
        <v>17072095.39</v>
      </c>
      <c r="AT73" s="9" t="n">
        <f aca="false" ca="false" dt2D="false" dtr="false" t="normal">+S73-AS73</f>
        <v>-14226189.110000001</v>
      </c>
      <c r="AW73" s="113" t="n">
        <f aca="false" ca="true" dt2D="false" dtr="false" t="normal">SUBTOTAL(9, AX73:BL73)</f>
        <v>3385337.97749306</v>
      </c>
      <c r="AX73" s="106" t="n"/>
      <c r="AY73" s="106" t="n">
        <v>0</v>
      </c>
      <c r="AZ73" s="106" t="n"/>
      <c r="BA73" s="106" t="n"/>
      <c r="BB73" s="106" t="n">
        <v>0</v>
      </c>
      <c r="BC73" s="106" t="n"/>
      <c r="BD73" s="106" t="n"/>
      <c r="BE73" s="106" t="n">
        <v>0</v>
      </c>
      <c r="BF73" s="106" t="n">
        <v>2845906.28</v>
      </c>
      <c r="BG73" s="106" t="n">
        <v>0</v>
      </c>
      <c r="BH73" s="106" t="n"/>
      <c r="BI73" s="106" t="n">
        <v>0</v>
      </c>
      <c r="BJ73" s="106" t="n"/>
      <c r="BK73" s="114" t="n"/>
      <c r="BL73" s="115" t="n">
        <v>539431.69749306</v>
      </c>
      <c r="BM73" s="14" t="n">
        <f aca="false" ca="true" dt2D="false" dtr="false" t="normal">SUBTOTAL(9, BN73:CB73)</f>
        <v>3385337.97749306</v>
      </c>
      <c r="BN73" s="106" t="n"/>
      <c r="BO73" s="106" t="n">
        <v>0</v>
      </c>
      <c r="BP73" s="106" t="n"/>
      <c r="BQ73" s="106" t="n"/>
      <c r="BR73" s="106" t="n">
        <v>0</v>
      </c>
      <c r="BS73" s="106" t="n"/>
      <c r="BT73" s="106" t="n"/>
      <c r="BU73" s="106" t="n">
        <v>0</v>
      </c>
      <c r="BV73" s="106" t="n">
        <v>2845906.28</v>
      </c>
      <c r="BW73" s="106" t="n">
        <v>0</v>
      </c>
      <c r="BX73" s="106" t="n"/>
      <c r="BY73" s="106" t="n">
        <v>0</v>
      </c>
      <c r="BZ73" s="106" t="n"/>
      <c r="CA73" s="114" t="n"/>
      <c r="CB73" s="115" t="n">
        <v>539431.69749306</v>
      </c>
      <c r="CD73" s="116" t="n">
        <f aca="false" ca="false" dt2D="false" dtr="false" t="normal">+CD72+1</f>
        <v>56</v>
      </c>
      <c r="CE73" s="117" t="n">
        <f aca="false" ca="false" dt2D="false" dtr="false" t="normal">+CE72+1</f>
        <v>56</v>
      </c>
      <c r="CF73" s="104" t="s">
        <v>111</v>
      </c>
      <c r="CG73" s="104" t="s">
        <v>133</v>
      </c>
      <c r="CH73" s="118" t="n">
        <f aca="false" ca="true" dt2D="false" dtr="false" t="normal">SUBTOTAL(9, CI73:CW73)</f>
        <v>3385337.97749306</v>
      </c>
      <c r="CI73" s="106" t="n"/>
      <c r="CJ73" s="106" t="n">
        <v>0</v>
      </c>
      <c r="CK73" s="106" t="n"/>
      <c r="CL73" s="106" t="n"/>
      <c r="CM73" s="106" t="n">
        <v>0</v>
      </c>
      <c r="CN73" s="106" t="n"/>
      <c r="CO73" s="106" t="n"/>
      <c r="CP73" s="106" t="n">
        <v>0</v>
      </c>
      <c r="CQ73" s="106" t="n">
        <v>2845906.28</v>
      </c>
      <c r="CR73" s="106" t="n">
        <v>0</v>
      </c>
      <c r="CS73" s="106" t="n"/>
      <c r="CT73" s="106" t="n">
        <v>0</v>
      </c>
      <c r="CU73" s="106" t="n"/>
      <c r="CV73" s="114" t="n"/>
      <c r="CW73" s="115" t="n">
        <v>539431.69749306</v>
      </c>
      <c r="CZ73" s="104" t="s">
        <v>133</v>
      </c>
      <c r="DA73" s="119" t="n">
        <f aca="false" ca="true" dt2D="false" dtr="false" t="normal">SUBTOTAL(9, DB73:DP73)</f>
        <v>2845906.28</v>
      </c>
      <c r="DB73" s="106" t="n"/>
      <c r="DC73" s="106" t="n">
        <v>0</v>
      </c>
      <c r="DD73" s="106" t="n"/>
      <c r="DE73" s="106" t="n"/>
      <c r="DF73" s="106" t="n">
        <v>0</v>
      </c>
      <c r="DG73" s="106" t="n"/>
      <c r="DH73" s="106" t="n"/>
      <c r="DI73" s="106" t="n">
        <v>0</v>
      </c>
      <c r="DJ73" s="106" t="n">
        <v>2845906.28</v>
      </c>
      <c r="DK73" s="106" t="n">
        <v>0</v>
      </c>
      <c r="DL73" s="106" t="n"/>
      <c r="DM73" s="106" t="n">
        <v>0</v>
      </c>
      <c r="DN73" s="106" t="n"/>
      <c r="DO73" s="114" t="n"/>
      <c r="DP73" s="122" t="n"/>
      <c r="DQ73" s="3" t="n">
        <f aca="false" ca="false" dt2D="false" dtr="false" t="normal">N73-DA73</f>
        <v>0</v>
      </c>
      <c r="DS73" s="9" t="n"/>
    </row>
    <row hidden="false" ht="15" outlineLevel="0" r="74">
      <c r="A74" s="103" t="n">
        <f aca="false" ca="false" dt2D="false" dtr="false" t="normal">+A73+1</f>
        <v>57</v>
      </c>
      <c r="B74" s="104" t="n">
        <f aca="false" ca="false" dt2D="false" dtr="false" t="normal">+B73+1</f>
        <v>57</v>
      </c>
      <c r="C74" s="104" t="s">
        <v>111</v>
      </c>
      <c r="D74" s="104" t="s">
        <v>134</v>
      </c>
      <c r="E74" s="105" t="n">
        <v>1994</v>
      </c>
      <c r="F74" s="105" t="n">
        <v>2013</v>
      </c>
      <c r="G74" s="105" t="s">
        <v>68</v>
      </c>
      <c r="H74" s="105" t="n">
        <v>9</v>
      </c>
      <c r="I74" s="105" t="n">
        <v>3</v>
      </c>
      <c r="J74" s="106" t="n">
        <v>7891.7</v>
      </c>
      <c r="K74" s="106" t="n">
        <v>6600.8</v>
      </c>
      <c r="L74" s="106" t="n">
        <v>0</v>
      </c>
      <c r="M74" s="107" t="n">
        <v>291</v>
      </c>
      <c r="N74" s="108" t="n">
        <f aca="false" ca="false" dt2D="false" dtr="false" t="normal">SUM(P74:T74)</f>
        <v>5847141.2763</v>
      </c>
      <c r="O74" s="106" t="n"/>
      <c r="P74" s="114" t="n"/>
      <c r="Q74" s="114" t="n"/>
      <c r="R74" s="114" t="n">
        <v>1668103.1164</v>
      </c>
      <c r="S74" s="114" t="n">
        <v>4179038.1599</v>
      </c>
      <c r="T74" s="106" t="n">
        <v>0</v>
      </c>
      <c r="U74" s="114" t="n">
        <v>966.918783462486</v>
      </c>
      <c r="V74" s="114" t="n">
        <v>966.918783462486</v>
      </c>
      <c r="W74" s="110" t="n">
        <v>2022</v>
      </c>
      <c r="Z74" s="113" t="n">
        <f aca="false" ca="false" dt2D="false" dtr="false" t="normal">SUM(AA74:AO74)</f>
        <v>8703397.319999998</v>
      </c>
      <c r="AA74" s="106" t="n"/>
      <c r="AB74" s="114" t="n"/>
      <c r="AC74" s="106" t="n"/>
      <c r="AD74" s="106" t="n"/>
      <c r="AE74" s="114" t="n">
        <v>0</v>
      </c>
      <c r="AF74" s="114" t="n">
        <v>0</v>
      </c>
      <c r="AG74" s="114" t="n"/>
      <c r="AH74" s="114" t="n">
        <v>8628684.86</v>
      </c>
      <c r="AI74" s="106" t="n"/>
      <c r="AJ74" s="114" t="n">
        <v>0</v>
      </c>
      <c r="AK74" s="106" t="n"/>
      <c r="AL74" s="114" t="n">
        <v>0</v>
      </c>
      <c r="AM74" s="106" t="n">
        <v>55020.37</v>
      </c>
      <c r="AN74" s="106" t="n">
        <v>19692.09</v>
      </c>
      <c r="AO74" s="111" t="n"/>
      <c r="AP74" s="112" t="n">
        <f aca="false" ca="false" dt2D="false" dtr="false" t="normal">+N74-'Приложение №2'!E74</f>
        <v>0</v>
      </c>
      <c r="AQ74" s="1" t="n">
        <f aca="false" ca="false" dt2D="false" dtr="false" t="normal">4161512.94-301266.52-3086934.55</f>
        <v>773311.8700000001</v>
      </c>
      <c r="AR74" s="3" t="n">
        <f aca="false" ca="false" dt2D="false" dtr="false" t="normal">+(K74*13.29+L74*22.52)*12*0.85</f>
        <v>894791.2464</v>
      </c>
      <c r="AS74" s="3" t="n">
        <f aca="false" ca="false" dt2D="false" dtr="false" t="normal">+(K74*13.29+L74*22.52)*12*30-1198680.53-8354818.57</f>
        <v>22027368.419999998</v>
      </c>
      <c r="AT74" s="9" t="n">
        <f aca="false" ca="false" dt2D="false" dtr="false" t="normal">+S74-AS74</f>
        <v>-17848330.2601</v>
      </c>
      <c r="AW74" s="113" t="n">
        <f aca="false" ca="true" dt2D="false" dtr="false" t="normal">SUBTOTAL(9, AX74:BL74)</f>
        <v>6382437.5058791805</v>
      </c>
      <c r="AX74" s="106" t="n"/>
      <c r="AY74" s="106" t="n">
        <v>0</v>
      </c>
      <c r="BB74" s="106" t="n">
        <v>0</v>
      </c>
      <c r="BC74" s="106" t="n"/>
      <c r="BD74" s="106" t="n"/>
      <c r="BE74" s="106" t="n">
        <v>0</v>
      </c>
      <c r="BF74" s="106" t="n">
        <v>3018526.85</v>
      </c>
      <c r="BG74" s="106" t="n">
        <v>0</v>
      </c>
      <c r="BH74" s="106" t="n"/>
      <c r="BI74" s="106" t="n">
        <v>0</v>
      </c>
      <c r="BJ74" s="106" t="n">
        <v>2550189.857</v>
      </c>
      <c r="BK74" s="114" t="n">
        <f aca="false" ca="false" dt2D="false" dtr="false" t="normal">278424.5693</f>
        <v>278424.5693</v>
      </c>
      <c r="BL74" s="115" t="n">
        <v>535296.22957918</v>
      </c>
      <c r="BM74" s="14" t="n">
        <f aca="false" ca="true" dt2D="false" dtr="false" t="normal">SUBTOTAL(9, BN74:CB74)</f>
        <v>6382437.5058791805</v>
      </c>
      <c r="BN74" s="106" t="n"/>
      <c r="BO74" s="106" t="n">
        <v>0</v>
      </c>
      <c r="BR74" s="106" t="n">
        <v>0</v>
      </c>
      <c r="BS74" s="106" t="n"/>
      <c r="BT74" s="106" t="n"/>
      <c r="BU74" s="106" t="n">
        <v>0</v>
      </c>
      <c r="BV74" s="106" t="n">
        <v>3018526.85</v>
      </c>
      <c r="BW74" s="106" t="n">
        <v>0</v>
      </c>
      <c r="BX74" s="106" t="n"/>
      <c r="BY74" s="106" t="n">
        <v>0</v>
      </c>
      <c r="BZ74" s="106" t="n">
        <v>2550189.857</v>
      </c>
      <c r="CA74" s="114" t="n">
        <f aca="false" ca="false" dt2D="false" dtr="false" t="normal">278424.5693</f>
        <v>278424.5693</v>
      </c>
      <c r="CB74" s="115" t="n">
        <v>535296.22957918</v>
      </c>
      <c r="CD74" s="116" t="n">
        <f aca="false" ca="false" dt2D="false" dtr="false" t="normal">+CD73+1</f>
        <v>57</v>
      </c>
      <c r="CE74" s="117" t="n">
        <f aca="false" ca="false" dt2D="false" dtr="false" t="normal">+CE73+1</f>
        <v>57</v>
      </c>
      <c r="CF74" s="104" t="s">
        <v>111</v>
      </c>
      <c r="CG74" s="104" t="s">
        <v>134</v>
      </c>
      <c r="CH74" s="118" t="n">
        <f aca="false" ca="true" dt2D="false" dtr="false" t="normal">SUBTOTAL(9, CI74:CW74)</f>
        <v>6382437.5058791805</v>
      </c>
      <c r="CI74" s="106" t="n"/>
      <c r="CJ74" s="106" t="n">
        <v>0</v>
      </c>
      <c r="CM74" s="106" t="n">
        <v>0</v>
      </c>
      <c r="CN74" s="106" t="n"/>
      <c r="CO74" s="106" t="n"/>
      <c r="CP74" s="106" t="n">
        <v>0</v>
      </c>
      <c r="CQ74" s="106" t="n">
        <v>3018526.85</v>
      </c>
      <c r="CR74" s="106" t="n">
        <v>0</v>
      </c>
      <c r="CS74" s="106" t="n"/>
      <c r="CT74" s="106" t="n">
        <v>0</v>
      </c>
      <c r="CU74" s="106" t="n">
        <v>2550189.857</v>
      </c>
      <c r="CV74" s="114" t="n">
        <f aca="false" ca="false" dt2D="false" dtr="false" t="normal">278424.5693</f>
        <v>278424.5693</v>
      </c>
      <c r="CW74" s="115" t="n">
        <v>535296.22957918</v>
      </c>
      <c r="CZ74" s="104" t="s">
        <v>134</v>
      </c>
      <c r="DA74" s="119" t="n">
        <f aca="false" ca="true" dt2D="false" dtr="false" t="normal">SUBTOTAL(9, DB74:DP74)</f>
        <v>5847141.2763</v>
      </c>
      <c r="DB74" s="106" t="n"/>
      <c r="DC74" s="106" t="n">
        <v>0</v>
      </c>
      <c r="DF74" s="106" t="n">
        <v>0</v>
      </c>
      <c r="DG74" s="106" t="n"/>
      <c r="DH74" s="106" t="n"/>
      <c r="DI74" s="106" t="n">
        <v>0</v>
      </c>
      <c r="DJ74" s="106" t="n">
        <v>3018526.85</v>
      </c>
      <c r="DK74" s="106" t="n">
        <v>0</v>
      </c>
      <c r="DL74" s="106" t="n"/>
      <c r="DM74" s="106" t="n">
        <v>0</v>
      </c>
      <c r="DN74" s="106" t="n">
        <v>2550189.857</v>
      </c>
      <c r="DO74" s="114" t="n">
        <f aca="false" ca="false" dt2D="false" dtr="false" t="normal">278424.5693</f>
        <v>278424.5693</v>
      </c>
      <c r="DP74" s="122" t="n"/>
      <c r="DQ74" s="3" t="n">
        <f aca="false" ca="false" dt2D="false" dtr="false" t="normal">N74-DA74</f>
        <v>0</v>
      </c>
      <c r="DS74" s="9" t="n"/>
    </row>
    <row hidden="false" ht="15" outlineLevel="0" r="75">
      <c r="A75" s="103" t="n">
        <f aca="false" ca="false" dt2D="false" dtr="false" t="normal">+A74+1</f>
        <v>58</v>
      </c>
      <c r="B75" s="104" t="n">
        <f aca="false" ca="false" dt2D="false" dtr="false" t="normal">+B74+1</f>
        <v>58</v>
      </c>
      <c r="C75" s="104" t="s">
        <v>111</v>
      </c>
      <c r="D75" s="104" t="s">
        <v>135</v>
      </c>
      <c r="E75" s="105" t="n">
        <v>1987</v>
      </c>
      <c r="F75" s="105" t="n">
        <v>2013</v>
      </c>
      <c r="G75" s="105" t="s">
        <v>68</v>
      </c>
      <c r="H75" s="105" t="n">
        <v>3</v>
      </c>
      <c r="I75" s="105" t="n">
        <v>3</v>
      </c>
      <c r="J75" s="106" t="n">
        <v>1395.8</v>
      </c>
      <c r="K75" s="106" t="n">
        <v>1268</v>
      </c>
      <c r="L75" s="106" t="n">
        <v>0</v>
      </c>
      <c r="M75" s="107" t="n">
        <v>63</v>
      </c>
      <c r="N75" s="108" t="n">
        <f aca="false" ca="false" dt2D="false" dtr="false" t="normal">SUM(P75:T75)</f>
        <v>9311700.5</v>
      </c>
      <c r="O75" s="106" t="n"/>
      <c r="P75" s="13" t="n"/>
      <c r="Q75" s="114" t="n"/>
      <c r="R75" s="114" t="n">
        <v>412386.65</v>
      </c>
      <c r="S75" s="114" t="n">
        <v>5662093.78188272</v>
      </c>
      <c r="T75" s="106" t="n">
        <v>3237220.06811728</v>
      </c>
      <c r="U75" s="106" t="n">
        <v>7677.12687056997</v>
      </c>
      <c r="V75" s="106" t="n">
        <v>7677.12687056997</v>
      </c>
      <c r="W75" s="110" t="n">
        <v>2022</v>
      </c>
      <c r="X75" s="9" t="e">
        <f aca="false" ca="false" dt2D="false" dtr="false" t="normal">+#REF!-'[9]Приложение №1'!$P449</f>
        <v>#REF!</v>
      </c>
      <c r="Z75" s="113" t="n">
        <f aca="false" ca="false" dt2D="false" dtr="false" t="normal">SUM(AA75:AO75)</f>
        <v>20424271.12</v>
      </c>
      <c r="AA75" s="106" t="n">
        <v>3880461.38125464</v>
      </c>
      <c r="AB75" s="106" t="n">
        <v>2361201.09587376</v>
      </c>
      <c r="AC75" s="106" t="n">
        <v>1112617.89379482</v>
      </c>
      <c r="AD75" s="106" t="n">
        <v>948184.974996</v>
      </c>
      <c r="AE75" s="106" t="n">
        <v>0</v>
      </c>
      <c r="AF75" s="106" t="n"/>
      <c r="AG75" s="106" t="n">
        <v>395993.45985528</v>
      </c>
      <c r="AH75" s="106" t="n">
        <v>0</v>
      </c>
      <c r="AI75" s="106" t="n">
        <v>0</v>
      </c>
      <c r="AJ75" s="106" t="n">
        <v>0</v>
      </c>
      <c r="AK75" s="106" t="n">
        <v>9178717.2150513</v>
      </c>
      <c r="AL75" s="106" t="n">
        <v>0</v>
      </c>
      <c r="AM75" s="106" t="n">
        <v>1951914.7558</v>
      </c>
      <c r="AN75" s="114" t="n">
        <v>204242.7112</v>
      </c>
      <c r="AO75" s="115" t="n">
        <v>390937.6321742</v>
      </c>
      <c r="AP75" s="112" t="n">
        <f aca="false" ca="false" dt2D="false" dtr="false" t="normal">+N75-'Приложение №2'!E75</f>
        <v>0</v>
      </c>
      <c r="AQ75" s="1" t="n">
        <v>502354.09</v>
      </c>
      <c r="AR75" s="3" t="n">
        <f aca="false" ca="false" dt2D="false" dtr="false" t="normal">+(K75*10+L75*20)*12*0.85</f>
        <v>129336</v>
      </c>
      <c r="AS75" s="3" t="n">
        <f aca="false" ca="false" dt2D="false" dtr="false" t="normal">+(K75*10+L75*20)*12*30</f>
        <v>4564800</v>
      </c>
      <c r="AT75" s="9" t="n">
        <f aca="false" ca="false" dt2D="false" dtr="false" t="normal">+S75-AS75</f>
        <v>1097293.78188272</v>
      </c>
      <c r="AW75" s="113" t="n">
        <f aca="false" ca="true" dt2D="false" dtr="false" t="normal">SUBTOTAL(9, AX75:BL75)</f>
        <v>9734596.87188272</v>
      </c>
      <c r="AX75" s="106" t="n"/>
      <c r="AY75" s="106" t="n"/>
      <c r="AZ75" s="106" t="n"/>
      <c r="BA75" s="106" t="n"/>
      <c r="BB75" s="106" t="n">
        <v>0</v>
      </c>
      <c r="BC75" s="106" t="n"/>
      <c r="BD75" s="106" t="n"/>
      <c r="BE75" s="106" t="n">
        <v>0</v>
      </c>
      <c r="BF75" s="106" t="n">
        <v>0</v>
      </c>
      <c r="BG75" s="106" t="n">
        <v>0</v>
      </c>
      <c r="BH75" s="106" t="n">
        <v>9311700.5</v>
      </c>
      <c r="BI75" s="106" t="n">
        <v>0</v>
      </c>
      <c r="BJ75" s="106" t="n"/>
      <c r="BK75" s="114" t="n"/>
      <c r="BL75" s="115" t="n">
        <v>422896.37188272</v>
      </c>
      <c r="BM75" s="14" t="n">
        <f aca="false" ca="true" dt2D="false" dtr="false" t="normal">SUBTOTAL(9, BN75:CB75)</f>
        <v>9734596.87188272</v>
      </c>
      <c r="BN75" s="106" t="n"/>
      <c r="BO75" s="106" t="n"/>
      <c r="BP75" s="106" t="n"/>
      <c r="BQ75" s="106" t="n"/>
      <c r="BR75" s="106" t="n">
        <v>0</v>
      </c>
      <c r="BS75" s="106" t="n"/>
      <c r="BT75" s="106" t="n"/>
      <c r="BU75" s="106" t="n">
        <v>0</v>
      </c>
      <c r="BV75" s="106" t="n">
        <v>0</v>
      </c>
      <c r="BW75" s="106" t="n">
        <v>0</v>
      </c>
      <c r="BX75" s="106" t="n">
        <v>9311700.5</v>
      </c>
      <c r="BY75" s="106" t="n">
        <v>0</v>
      </c>
      <c r="BZ75" s="106" t="n"/>
      <c r="CA75" s="114" t="n"/>
      <c r="CB75" s="115" t="n">
        <v>422896.37188272</v>
      </c>
      <c r="CD75" s="116" t="n">
        <f aca="false" ca="false" dt2D="false" dtr="false" t="normal">+CD74+1</f>
        <v>58</v>
      </c>
      <c r="CE75" s="117" t="n">
        <f aca="false" ca="false" dt2D="false" dtr="false" t="normal">+CE74+1</f>
        <v>58</v>
      </c>
      <c r="CF75" s="104" t="s">
        <v>111</v>
      </c>
      <c r="CG75" s="104" t="s">
        <v>135</v>
      </c>
      <c r="CH75" s="118" t="n">
        <f aca="false" ca="true" dt2D="false" dtr="false" t="normal">SUBTOTAL(9, CI75:CW75)</f>
        <v>9734596.87188272</v>
      </c>
      <c r="CI75" s="106" t="n"/>
      <c r="CJ75" s="106" t="n"/>
      <c r="CK75" s="106" t="n"/>
      <c r="CL75" s="106" t="n"/>
      <c r="CM75" s="106" t="n">
        <v>0</v>
      </c>
      <c r="CN75" s="106" t="n"/>
      <c r="CO75" s="106" t="n"/>
      <c r="CP75" s="106" t="n">
        <v>0</v>
      </c>
      <c r="CQ75" s="106" t="n">
        <v>0</v>
      </c>
      <c r="CR75" s="106" t="n">
        <v>0</v>
      </c>
      <c r="CS75" s="106" t="n">
        <v>9311700.5</v>
      </c>
      <c r="CT75" s="106" t="n">
        <v>0</v>
      </c>
      <c r="CU75" s="106" t="n"/>
      <c r="CV75" s="114" t="n"/>
      <c r="CW75" s="115" t="n">
        <v>422896.37188272</v>
      </c>
      <c r="CZ75" s="104" t="s">
        <v>135</v>
      </c>
      <c r="DA75" s="119" t="n">
        <f aca="false" ca="true" dt2D="false" dtr="false" t="normal">SUBTOTAL(9, DB75:DP75)</f>
        <v>9311700.5</v>
      </c>
      <c r="DB75" s="106" t="n"/>
      <c r="DC75" s="106" t="n"/>
      <c r="DD75" s="106" t="n"/>
      <c r="DE75" s="106" t="n"/>
      <c r="DF75" s="106" t="n">
        <v>0</v>
      </c>
      <c r="DG75" s="106" t="n"/>
      <c r="DH75" s="106" t="n"/>
      <c r="DI75" s="106" t="n">
        <v>0</v>
      </c>
      <c r="DJ75" s="106" t="n">
        <v>0</v>
      </c>
      <c r="DK75" s="106" t="n">
        <v>0</v>
      </c>
      <c r="DL75" s="106" t="n">
        <v>9311700.5</v>
      </c>
      <c r="DM75" s="106" t="n">
        <v>0</v>
      </c>
      <c r="DN75" s="106" t="n"/>
      <c r="DO75" s="114" t="n"/>
      <c r="DP75" s="122" t="n"/>
      <c r="DQ75" s="3" t="n">
        <f aca="false" ca="false" dt2D="false" dtr="false" t="normal">N75-DA75</f>
        <v>0</v>
      </c>
      <c r="DS75" s="9" t="n"/>
    </row>
    <row hidden="false" ht="15" outlineLevel="0" r="76">
      <c r="A76" s="103" t="n">
        <f aca="false" ca="false" dt2D="false" dtr="false" t="normal">+A75+1</f>
        <v>59</v>
      </c>
      <c r="B76" s="104" t="n">
        <f aca="false" ca="false" dt2D="false" dtr="false" t="normal">+B75+1</f>
        <v>59</v>
      </c>
      <c r="C76" s="104" t="s">
        <v>111</v>
      </c>
      <c r="D76" s="104" t="s">
        <v>136</v>
      </c>
      <c r="E76" s="105" t="n">
        <v>1982</v>
      </c>
      <c r="F76" s="105" t="n">
        <v>2005</v>
      </c>
      <c r="G76" s="105" t="s">
        <v>68</v>
      </c>
      <c r="H76" s="105" t="n">
        <v>4</v>
      </c>
      <c r="I76" s="105" t="n">
        <v>3</v>
      </c>
      <c r="J76" s="106" t="n">
        <v>4260.17</v>
      </c>
      <c r="K76" s="106" t="n">
        <v>3632.44</v>
      </c>
      <c r="L76" s="106" t="n">
        <v>448.5</v>
      </c>
      <c r="M76" s="107" t="n">
        <v>282</v>
      </c>
      <c r="N76" s="108" t="n">
        <f aca="false" ca="false" dt2D="false" dtr="false" t="normal">SUM(P76:T76)</f>
        <v>33304826.762599997</v>
      </c>
      <c r="O76" s="106" t="n"/>
      <c r="P76" s="114" t="n">
        <v>9795460.28</v>
      </c>
      <c r="Q76" s="114" t="n"/>
      <c r="R76" s="114" t="n">
        <v>2404077.68</v>
      </c>
      <c r="S76" s="114" t="n">
        <v>21105288.8026</v>
      </c>
      <c r="T76" s="106" t="n">
        <v>0</v>
      </c>
      <c r="U76" s="114" t="n">
        <v>8440.01642904242</v>
      </c>
      <c r="V76" s="114" t="n">
        <v>8440.01642904242</v>
      </c>
      <c r="W76" s="110" t="n">
        <v>2022</v>
      </c>
      <c r="X76" s="9" t="e">
        <f aca="false" ca="false" dt2D="false" dtr="false" t="normal">+#REF!-'[9]Приложение №1'!$P844</f>
        <v>#REF!</v>
      </c>
      <c r="Z76" s="113" t="n">
        <f aca="false" ca="false" dt2D="false" dtr="false" t="normal">SUM(AA76:AO76)</f>
        <v>64128906.54</v>
      </c>
      <c r="AA76" s="106" t="n">
        <v>9690780.77548854</v>
      </c>
      <c r="AB76" s="106" t="n">
        <v>3453223.58397828</v>
      </c>
      <c r="AC76" s="106" t="n">
        <v>3607850.28362892</v>
      </c>
      <c r="AD76" s="106" t="n">
        <v>2258742.39475332</v>
      </c>
      <c r="AE76" s="106" t="n">
        <v>0</v>
      </c>
      <c r="AF76" s="106" t="n"/>
      <c r="AG76" s="106" t="n">
        <v>371861.79313164</v>
      </c>
      <c r="AH76" s="106" t="n">
        <v>0</v>
      </c>
      <c r="AI76" s="106" t="n">
        <v>17716221.746811</v>
      </c>
      <c r="AJ76" s="106" t="n">
        <v>0</v>
      </c>
      <c r="AK76" s="106" t="n">
        <v>9198344.34634164</v>
      </c>
      <c r="AL76" s="106" t="n">
        <v>9921491.07715836</v>
      </c>
      <c r="AM76" s="106" t="n">
        <v>6039716.3901</v>
      </c>
      <c r="AN76" s="114" t="n">
        <v>641289.0654</v>
      </c>
      <c r="AO76" s="115" t="n">
        <v>1229385.0832083</v>
      </c>
      <c r="AP76" s="112" t="n">
        <f aca="false" ca="false" dt2D="false" dtr="false" t="normal">+N76-'Приложение №2'!E76</f>
        <v>0</v>
      </c>
      <c r="AQ76" s="1" t="n">
        <v>1942074.8</v>
      </c>
      <c r="AR76" s="3" t="n">
        <f aca="false" ca="false" dt2D="false" dtr="false" t="normal">+(K76*10+L76*20)*12*0.85</f>
        <v>462002.88</v>
      </c>
      <c r="AS76" s="3" t="n">
        <f aca="false" ca="false" dt2D="false" dtr="false" t="normal">+(K76*10+L76*20)*12*30</f>
        <v>16305984.000000002</v>
      </c>
      <c r="AT76" s="9" t="n">
        <f aca="false" ca="false" dt2D="false" dtr="false" t="normal">+S76-AS76</f>
        <v>4799304.802599998</v>
      </c>
      <c r="AW76" s="113" t="n">
        <f aca="false" ca="true" dt2D="false" dtr="false" t="normal">SUBTOTAL(9, AX76:BL76)</f>
        <v>34443200.64593636</v>
      </c>
      <c r="AX76" s="106" t="n">
        <v>6954265.38</v>
      </c>
      <c r="AY76" s="106" t="n">
        <v>2374323.58</v>
      </c>
      <c r="AZ76" s="106" t="n">
        <v>3305645.72</v>
      </c>
      <c r="BA76" s="106" t="n">
        <v>2650517.18</v>
      </c>
      <c r="BB76" s="106" t="n"/>
      <c r="BC76" s="106" t="n"/>
      <c r="BD76" s="106" t="n"/>
      <c r="BE76" s="106" t="n"/>
      <c r="BF76" s="106" t="n">
        <v>7951460.72</v>
      </c>
      <c r="BG76" s="106" t="n"/>
      <c r="BH76" s="106" t="n"/>
      <c r="BI76" s="106" t="n">
        <v>9695977.58</v>
      </c>
      <c r="BJ76" s="106" t="n">
        <v>328083.3963</v>
      </c>
      <c r="BK76" s="114" t="n">
        <v>44553.2063</v>
      </c>
      <c r="BL76" s="115" t="n">
        <v>1138373.88333636</v>
      </c>
      <c r="BM76" s="14" t="n">
        <f aca="false" ca="true" dt2D="false" dtr="false" t="normal">SUBTOTAL(9, BN76:CB76)</f>
        <v>34443200.64593636</v>
      </c>
      <c r="BN76" s="106" t="n">
        <v>6954265.38</v>
      </c>
      <c r="BO76" s="106" t="n">
        <v>2374323.58</v>
      </c>
      <c r="BP76" s="106" t="n">
        <v>3305645.72</v>
      </c>
      <c r="BQ76" s="106" t="n">
        <v>2650517.18</v>
      </c>
      <c r="BR76" s="106" t="n"/>
      <c r="BS76" s="106" t="n"/>
      <c r="BT76" s="106" t="n"/>
      <c r="BU76" s="106" t="n"/>
      <c r="BV76" s="106" t="n">
        <v>7951460.72</v>
      </c>
      <c r="BW76" s="106" t="n"/>
      <c r="BX76" s="106" t="n"/>
      <c r="BY76" s="106" t="n">
        <v>9695977.58</v>
      </c>
      <c r="BZ76" s="106" t="n">
        <v>328083.3963</v>
      </c>
      <c r="CA76" s="114" t="n">
        <v>44553.2063</v>
      </c>
      <c r="CB76" s="115" t="n">
        <v>1138373.88333636</v>
      </c>
      <c r="CD76" s="116" t="n">
        <f aca="false" ca="false" dt2D="false" dtr="false" t="normal">+CD75+1</f>
        <v>59</v>
      </c>
      <c r="CE76" s="117" t="n">
        <f aca="false" ca="false" dt2D="false" dtr="false" t="normal">+CE75+1</f>
        <v>59</v>
      </c>
      <c r="CF76" s="104" t="s">
        <v>111</v>
      </c>
      <c r="CG76" s="104" t="s">
        <v>136</v>
      </c>
      <c r="CH76" s="118" t="n">
        <f aca="false" ca="true" dt2D="false" dtr="false" t="normal">SUBTOTAL(9, CI76:CW76)</f>
        <v>34443200.64593636</v>
      </c>
      <c r="CI76" s="106" t="n">
        <v>6954265.38</v>
      </c>
      <c r="CJ76" s="106" t="n">
        <v>2374323.58</v>
      </c>
      <c r="CK76" s="106" t="n">
        <v>3305645.72</v>
      </c>
      <c r="CL76" s="106" t="n">
        <v>2650517.18</v>
      </c>
      <c r="CM76" s="106" t="n"/>
      <c r="CN76" s="106" t="n"/>
      <c r="CO76" s="106" t="n"/>
      <c r="CP76" s="106" t="n"/>
      <c r="CQ76" s="106" t="n">
        <v>7951460.72</v>
      </c>
      <c r="CR76" s="106" t="n"/>
      <c r="CS76" s="106" t="n"/>
      <c r="CT76" s="106" t="n">
        <v>9695977.58</v>
      </c>
      <c r="CU76" s="106" t="n">
        <v>328083.3963</v>
      </c>
      <c r="CV76" s="114" t="n">
        <v>44553.2063</v>
      </c>
      <c r="CW76" s="115" t="n">
        <v>1138373.88333636</v>
      </c>
      <c r="CZ76" s="104" t="s">
        <v>136</v>
      </c>
      <c r="DA76" s="119" t="n">
        <f aca="false" ca="true" dt2D="false" dtr="false" t="normal">SUBTOTAL(9, DB76:DP76)</f>
        <v>33304826.762600005</v>
      </c>
      <c r="DB76" s="106" t="n">
        <v>6954265.38</v>
      </c>
      <c r="DC76" s="106" t="n">
        <v>2374323.58</v>
      </c>
      <c r="DD76" s="106" t="n">
        <v>3305645.72</v>
      </c>
      <c r="DE76" s="106" t="n">
        <v>2650517.18</v>
      </c>
      <c r="DF76" s="106" t="n"/>
      <c r="DG76" s="106" t="n"/>
      <c r="DH76" s="106" t="n"/>
      <c r="DI76" s="106" t="n"/>
      <c r="DJ76" s="106" t="n">
        <v>7951460.72</v>
      </c>
      <c r="DK76" s="106" t="n"/>
      <c r="DL76" s="106" t="n"/>
      <c r="DM76" s="106" t="n">
        <v>9695977.58</v>
      </c>
      <c r="DN76" s="106" t="n">
        <v>328083.3963</v>
      </c>
      <c r="DO76" s="114" t="n">
        <v>44553.2063</v>
      </c>
      <c r="DP76" s="122" t="n"/>
      <c r="DQ76" s="3" t="n">
        <f aca="false" ca="false" dt2D="false" dtr="false" t="normal">N76-DA76</f>
        <v>0</v>
      </c>
      <c r="DS76" s="9" t="n"/>
    </row>
    <row hidden="false" ht="15" outlineLevel="0" r="77">
      <c r="A77" s="103" t="n">
        <f aca="false" ca="false" dt2D="false" dtr="false" t="normal">+A76+1</f>
        <v>60</v>
      </c>
      <c r="B77" s="104" t="n">
        <f aca="false" ca="false" dt2D="false" dtr="false" t="normal">+B76+1</f>
        <v>60</v>
      </c>
      <c r="C77" s="104" t="s">
        <v>111</v>
      </c>
      <c r="D77" s="104" t="s">
        <v>137</v>
      </c>
      <c r="E77" s="105" t="n">
        <v>1976</v>
      </c>
      <c r="F77" s="105" t="n">
        <v>2013</v>
      </c>
      <c r="G77" s="105" t="s">
        <v>68</v>
      </c>
      <c r="H77" s="105" t="n">
        <v>4</v>
      </c>
      <c r="I77" s="105" t="n">
        <v>4</v>
      </c>
      <c r="J77" s="106" t="n">
        <v>2991.3</v>
      </c>
      <c r="K77" s="106" t="n">
        <v>2484.4</v>
      </c>
      <c r="L77" s="106" t="n">
        <v>250.6</v>
      </c>
      <c r="M77" s="107" t="n">
        <v>122</v>
      </c>
      <c r="N77" s="108" t="n">
        <f aca="false" ca="false" dt2D="false" dtr="false" t="normal">SUM(P77:T77)</f>
        <v>1171020.99</v>
      </c>
      <c r="O77" s="106" t="n"/>
      <c r="P77" s="114" t="n"/>
      <c r="Q77" s="114" t="n"/>
      <c r="R77" s="114" t="n">
        <v>230063.63</v>
      </c>
      <c r="S77" s="114" t="n">
        <v>940957.36</v>
      </c>
      <c r="T77" s="106" t="n">
        <v>0</v>
      </c>
      <c r="U77" s="114" t="n">
        <v>428.161239488117</v>
      </c>
      <c r="V77" s="114" t="n">
        <v>428.161239488117</v>
      </c>
      <c r="W77" s="110" t="n">
        <v>2022</v>
      </c>
      <c r="X77" s="9" t="e">
        <f aca="false" ca="false" dt2D="false" dtr="false" t="normal">+#REF!-'[9]Приложение №1'!$P656</f>
        <v>#REF!</v>
      </c>
      <c r="Z77" s="113" t="n">
        <f aca="false" ca="false" dt2D="false" dtr="false" t="normal">SUM(AA77:AO77)</f>
        <v>37022548.278852</v>
      </c>
      <c r="AA77" s="106" t="n">
        <v>6531079.89898182</v>
      </c>
      <c r="AB77" s="106" t="n">
        <v>0</v>
      </c>
      <c r="AC77" s="106" t="n">
        <v>0</v>
      </c>
      <c r="AD77" s="106" t="n">
        <v>0</v>
      </c>
      <c r="AE77" s="106" t="n">
        <v>1171020.99</v>
      </c>
      <c r="AF77" s="106" t="n"/>
      <c r="AG77" s="106" t="n">
        <v>0</v>
      </c>
      <c r="AH77" s="106" t="n">
        <v>0</v>
      </c>
      <c r="AI77" s="106" t="n">
        <v>11939807.781027</v>
      </c>
      <c r="AJ77" s="106" t="n">
        <v>0</v>
      </c>
      <c r="AK77" s="106" t="n">
        <v>6199203.47364066</v>
      </c>
      <c r="AL77" s="106" t="n">
        <v>6686566.58272218</v>
      </c>
      <c r="AM77" s="106" t="n">
        <v>3445210.5711</v>
      </c>
      <c r="AN77" s="114" t="n">
        <v>359077.4958</v>
      </c>
      <c r="AO77" s="115" t="n">
        <v>690581.48558034</v>
      </c>
      <c r="AP77" s="112" t="n">
        <f aca="false" ca="false" dt2D="false" dtr="false" t="normal">+N77-'Приложение №2'!E77</f>
        <v>0</v>
      </c>
      <c r="AQ77" s="1" t="n">
        <v>1388531.28</v>
      </c>
      <c r="AR77" s="3" t="n">
        <f aca="false" ca="false" dt2D="false" dtr="false" t="normal">+(K77*10+L77*20)*12*0.85</f>
        <v>304531.2</v>
      </c>
      <c r="AS77" s="3" t="n">
        <f aca="false" ca="false" dt2D="false" dtr="false" t="normal">+(K77*10+L77*20)*12*30</f>
        <v>10748160</v>
      </c>
      <c r="AT77" s="9" t="n">
        <f aca="false" ca="false" dt2D="false" dtr="false" t="normal">+S77-AS77</f>
        <v>-9807202.64</v>
      </c>
      <c r="AW77" s="113" t="n">
        <f aca="false" ca="true" dt2D="false" dtr="false" t="normal">SUBTOTAL(9, AX77:BL77)</f>
        <v>1171020.99</v>
      </c>
      <c r="AX77" s="106" t="n"/>
      <c r="AY77" s="106" t="n">
        <v>0</v>
      </c>
      <c r="AZ77" s="106" t="n">
        <v>0</v>
      </c>
      <c r="BA77" s="106" t="n">
        <v>0</v>
      </c>
      <c r="BB77" s="106" t="n">
        <v>1171020.99</v>
      </c>
      <c r="BC77" s="106" t="n"/>
      <c r="BD77" s="106" t="n"/>
      <c r="BE77" s="106" t="n">
        <v>0</v>
      </c>
      <c r="BF77" s="106" t="n"/>
      <c r="BG77" s="106" t="n">
        <v>0</v>
      </c>
      <c r="BH77" s="106" t="n"/>
      <c r="BI77" s="106" t="n"/>
      <c r="BJ77" s="106" t="n"/>
      <c r="BK77" s="114" t="n"/>
      <c r="BL77" s="115" t="n"/>
      <c r="BM77" s="14" t="n">
        <f aca="false" ca="true" dt2D="false" dtr="false" t="normal">SUBTOTAL(9, BN77:CB77)</f>
        <v>1171020.99</v>
      </c>
      <c r="BN77" s="106" t="n"/>
      <c r="BO77" s="106" t="n">
        <v>0</v>
      </c>
      <c r="BP77" s="106" t="n">
        <v>0</v>
      </c>
      <c r="BQ77" s="106" t="n">
        <v>0</v>
      </c>
      <c r="BR77" s="106" t="n">
        <v>1171020.99</v>
      </c>
      <c r="BS77" s="106" t="n"/>
      <c r="BT77" s="106" t="n"/>
      <c r="BU77" s="106" t="n">
        <v>0</v>
      </c>
      <c r="BV77" s="106" t="n"/>
      <c r="BW77" s="106" t="n">
        <v>0</v>
      </c>
      <c r="BX77" s="106" t="n"/>
      <c r="BY77" s="106" t="n"/>
      <c r="BZ77" s="106" t="n"/>
      <c r="CA77" s="114" t="n"/>
      <c r="CB77" s="115" t="n"/>
      <c r="CD77" s="116" t="n">
        <f aca="false" ca="false" dt2D="false" dtr="false" t="normal">+CD76+1</f>
        <v>60</v>
      </c>
      <c r="CE77" s="117" t="n">
        <f aca="false" ca="false" dt2D="false" dtr="false" t="normal">+CE76+1</f>
        <v>60</v>
      </c>
      <c r="CF77" s="104" t="s">
        <v>111</v>
      </c>
      <c r="CG77" s="104" t="s">
        <v>137</v>
      </c>
      <c r="CH77" s="118" t="n">
        <f aca="false" ca="true" dt2D="false" dtr="false" t="normal">SUBTOTAL(9, CI77:CW77)</f>
        <v>1171020.99</v>
      </c>
      <c r="CI77" s="106" t="n"/>
      <c r="CJ77" s="106" t="n">
        <v>0</v>
      </c>
      <c r="CK77" s="106" t="n">
        <v>0</v>
      </c>
      <c r="CL77" s="106" t="n">
        <v>0</v>
      </c>
      <c r="CM77" s="106" t="n">
        <v>1171020.99</v>
      </c>
      <c r="CN77" s="106" t="n"/>
      <c r="CO77" s="106" t="n"/>
      <c r="CP77" s="106" t="n">
        <v>0</v>
      </c>
      <c r="CQ77" s="106" t="n"/>
      <c r="CR77" s="106" t="n">
        <v>0</v>
      </c>
      <c r="CS77" s="106" t="n"/>
      <c r="CT77" s="106" t="n"/>
      <c r="CU77" s="106" t="n"/>
      <c r="CV77" s="114" t="n"/>
      <c r="CW77" s="115" t="n"/>
      <c r="CZ77" s="104" t="s">
        <v>137</v>
      </c>
      <c r="DA77" s="119" t="n">
        <f aca="false" ca="true" dt2D="false" dtr="false" t="normal">SUBTOTAL(9, DB77:DP77)</f>
        <v>1171020.99</v>
      </c>
      <c r="DB77" s="106" t="n"/>
      <c r="DC77" s="106" t="n">
        <v>0</v>
      </c>
      <c r="DD77" s="106" t="n">
        <v>0</v>
      </c>
      <c r="DE77" s="106" t="n">
        <v>0</v>
      </c>
      <c r="DF77" s="106" t="n">
        <v>1171020.99</v>
      </c>
      <c r="DG77" s="106" t="n"/>
      <c r="DH77" s="106" t="n"/>
      <c r="DI77" s="106" t="n">
        <v>0</v>
      </c>
      <c r="DJ77" s="106" t="n"/>
      <c r="DK77" s="106" t="n">
        <v>0</v>
      </c>
      <c r="DL77" s="106" t="n"/>
      <c r="DM77" s="106" t="n"/>
      <c r="DN77" s="106" t="n"/>
      <c r="DO77" s="114" t="n"/>
      <c r="DP77" s="115" t="n"/>
      <c r="DQ77" s="3" t="n">
        <f aca="false" ca="false" dt2D="false" dtr="false" t="normal">N77-DA77</f>
        <v>0</v>
      </c>
    </row>
    <row hidden="false" ht="15" outlineLevel="0" r="78">
      <c r="A78" s="103" t="n">
        <f aca="false" ca="false" dt2D="false" dtr="false" t="normal">+A77+1</f>
        <v>61</v>
      </c>
      <c r="B78" s="104" t="n">
        <f aca="false" ca="false" dt2D="false" dtr="false" t="normal">+B77+1</f>
        <v>61</v>
      </c>
      <c r="C78" s="104" t="s">
        <v>111</v>
      </c>
      <c r="D78" s="104" t="s">
        <v>138</v>
      </c>
      <c r="E78" s="105" t="n">
        <v>1977</v>
      </c>
      <c r="F78" s="105" t="n">
        <v>1977</v>
      </c>
      <c r="G78" s="105" t="s">
        <v>68</v>
      </c>
      <c r="H78" s="105" t="n">
        <v>4</v>
      </c>
      <c r="I78" s="105" t="n">
        <v>6</v>
      </c>
      <c r="J78" s="106" t="n">
        <v>5672.9</v>
      </c>
      <c r="K78" s="106" t="n">
        <v>4964.7</v>
      </c>
      <c r="L78" s="106" t="n">
        <v>0</v>
      </c>
      <c r="M78" s="107" t="n">
        <v>207</v>
      </c>
      <c r="N78" s="108" t="n">
        <f aca="false" ca="false" dt2D="false" dtr="false" t="normal">SUM(P78:T78)</f>
        <v>19908141.098</v>
      </c>
      <c r="O78" s="106" t="n"/>
      <c r="P78" s="114" t="n">
        <v>3593219.09</v>
      </c>
      <c r="Q78" s="114" t="n"/>
      <c r="R78" s="114" t="n">
        <v>1638227</v>
      </c>
      <c r="S78" s="114" t="n">
        <v>11618244.7184288</v>
      </c>
      <c r="T78" s="106" t="n">
        <v>3058450.2895712</v>
      </c>
      <c r="U78" s="114" t="n">
        <v>4173.42714734602</v>
      </c>
      <c r="V78" s="114" t="n">
        <v>4173.42714734602</v>
      </c>
      <c r="W78" s="110" t="n">
        <v>2022</v>
      </c>
      <c r="X78" s="9" t="e">
        <f aca="false" ca="false" dt2D="false" dtr="false" t="normal">+#REF!-'[9]Приложение №1'!$P1019</f>
        <v>#REF!</v>
      </c>
      <c r="Z78" s="113" t="n">
        <f aca="false" ca="false" dt2D="false" dtr="false" t="normal">SUM(AA78:AO78)</f>
        <v>40803772.099999994</v>
      </c>
      <c r="AA78" s="106" t="n">
        <v>8274934.64577234</v>
      </c>
      <c r="AB78" s="106" t="n">
        <v>4785620.927829</v>
      </c>
      <c r="AC78" s="106" t="n">
        <v>5058755.65572132</v>
      </c>
      <c r="AD78" s="106" t="n">
        <v>3857344.19215992</v>
      </c>
      <c r="AE78" s="106" t="n">
        <v>1540930.04571114</v>
      </c>
      <c r="AF78" s="106" t="n"/>
      <c r="AG78" s="106" t="n">
        <v>411179.3229852</v>
      </c>
      <c r="AH78" s="106" t="n">
        <v>0</v>
      </c>
      <c r="AI78" s="106" t="n">
        <v>0</v>
      </c>
      <c r="AJ78" s="106" t="n">
        <v>0</v>
      </c>
      <c r="AK78" s="106" t="n">
        <v>0</v>
      </c>
      <c r="AL78" s="106" t="n">
        <v>11247866.8889202</v>
      </c>
      <c r="AM78" s="106" t="n">
        <v>4449861.0098</v>
      </c>
      <c r="AN78" s="114" t="n">
        <v>408037.721</v>
      </c>
      <c r="AO78" s="115" t="n">
        <v>769241.69010088</v>
      </c>
      <c r="AP78" s="112" t="n">
        <f aca="false" ca="false" dt2D="false" dtr="false" t="normal">+N78-'Приложение №2'!E78</f>
        <v>0</v>
      </c>
      <c r="AQ78" s="1" t="n">
        <f aca="false" ca="false" dt2D="false" dtr="false" t="normal">2390424.58-114155.72</f>
        <v>2276268.86</v>
      </c>
      <c r="AR78" s="3" t="n">
        <f aca="false" ca="false" dt2D="false" dtr="false" t="normal">+(K78*10+L78*20)*12*0.85</f>
        <v>506399.39999999997</v>
      </c>
      <c r="AS78" s="3" t="n">
        <f aca="false" ca="false" dt2D="false" dtr="false" t="normal">+(K78*10+L78*20)*12*30</f>
        <v>17872920</v>
      </c>
      <c r="AT78" s="9" t="n">
        <f aca="false" ca="false" dt2D="false" dtr="false" t="normal">+S78-AS78</f>
        <v>-6254675.2815712</v>
      </c>
      <c r="AW78" s="113" t="n">
        <f aca="false" ca="true" dt2D="false" dtr="false" t="normal">SUBTOTAL(9, AX78:BL78)</f>
        <v>20719813.758428805</v>
      </c>
      <c r="AX78" s="106" t="n">
        <v>7847760.99</v>
      </c>
      <c r="AY78" s="106" t="n"/>
      <c r="AZ78" s="106" t="n"/>
      <c r="BA78" s="106" t="n"/>
      <c r="BB78" s="106" t="n"/>
      <c r="BC78" s="106" t="n"/>
      <c r="BD78" s="106" t="n"/>
      <c r="BE78" s="106" t="n">
        <v>0</v>
      </c>
      <c r="BF78" s="106" t="n">
        <v>0</v>
      </c>
      <c r="BG78" s="106" t="n">
        <v>0</v>
      </c>
      <c r="BH78" s="106" t="n">
        <v>0</v>
      </c>
      <c r="BI78" s="106" t="n">
        <f aca="false" ca="false" dt2D="false" dtr="false" t="normal">7597182.26+3870122.95</f>
        <v>11467305.21</v>
      </c>
      <c r="BJ78" s="106" t="n">
        <v>504570.499</v>
      </c>
      <c r="BK78" s="114" t="n">
        <v>88504.399</v>
      </c>
      <c r="BL78" s="115" t="n">
        <v>811672.6604288</v>
      </c>
      <c r="BM78" s="14" t="n">
        <f aca="false" ca="true" dt2D="false" dtr="false" t="normal">SUBTOTAL(9, BN78:CB78)</f>
        <v>20719813.758428805</v>
      </c>
      <c r="BN78" s="106" t="n">
        <v>7847760.99</v>
      </c>
      <c r="BO78" s="106" t="n"/>
      <c r="BP78" s="106" t="n"/>
      <c r="BQ78" s="106" t="n"/>
      <c r="BR78" s="106" t="n"/>
      <c r="BS78" s="106" t="n"/>
      <c r="BT78" s="106" t="n"/>
      <c r="BU78" s="106" t="n">
        <v>0</v>
      </c>
      <c r="BV78" s="106" t="n">
        <v>0</v>
      </c>
      <c r="BW78" s="106" t="n">
        <v>0</v>
      </c>
      <c r="BX78" s="106" t="n">
        <v>0</v>
      </c>
      <c r="BY78" s="106" t="n">
        <f aca="false" ca="false" dt2D="false" dtr="false" t="normal">7597182.26+3870122.95</f>
        <v>11467305.21</v>
      </c>
      <c r="BZ78" s="106" t="n">
        <v>504570.499</v>
      </c>
      <c r="CA78" s="114" t="n">
        <v>88504.399</v>
      </c>
      <c r="CB78" s="115" t="n">
        <v>811672.6604288</v>
      </c>
      <c r="CD78" s="116" t="n">
        <f aca="false" ca="false" dt2D="false" dtr="false" t="normal">+CD77+1</f>
        <v>61</v>
      </c>
      <c r="CE78" s="117" t="n">
        <f aca="false" ca="false" dt2D="false" dtr="false" t="normal">+CE77+1</f>
        <v>61</v>
      </c>
      <c r="CF78" s="104" t="s">
        <v>111</v>
      </c>
      <c r="CG78" s="104" t="s">
        <v>138</v>
      </c>
      <c r="CH78" s="118" t="n">
        <f aca="false" ca="true" dt2D="false" dtr="false" t="normal">SUBTOTAL(9, CI78:CW78)</f>
        <v>20719813.758428805</v>
      </c>
      <c r="CI78" s="106" t="n">
        <v>7847760.99</v>
      </c>
      <c r="CJ78" s="106" t="n"/>
      <c r="CK78" s="106" t="n"/>
      <c r="CL78" s="106" t="n"/>
      <c r="CM78" s="106" t="n"/>
      <c r="CN78" s="106" t="n"/>
      <c r="CO78" s="106" t="n"/>
      <c r="CP78" s="106" t="n">
        <v>0</v>
      </c>
      <c r="CQ78" s="106" t="n">
        <v>0</v>
      </c>
      <c r="CR78" s="106" t="n">
        <v>0</v>
      </c>
      <c r="CS78" s="106" t="n">
        <v>0</v>
      </c>
      <c r="CT78" s="106" t="n">
        <f aca="false" ca="false" dt2D="false" dtr="false" t="normal">7597182.26+3870122.95</f>
        <v>11467305.21</v>
      </c>
      <c r="CU78" s="106" t="n">
        <v>504570.499</v>
      </c>
      <c r="CV78" s="114" t="n">
        <v>88504.399</v>
      </c>
      <c r="CW78" s="115" t="n">
        <v>811672.6604288</v>
      </c>
      <c r="CZ78" s="104" t="s">
        <v>138</v>
      </c>
      <c r="DA78" s="119" t="n">
        <f aca="false" ca="true" dt2D="false" dtr="false" t="normal">SUBTOTAL(9, DB78:DP78)</f>
        <v>19908141.098000005</v>
      </c>
      <c r="DB78" s="106" t="n">
        <v>7847760.99</v>
      </c>
      <c r="DC78" s="106" t="n"/>
      <c r="DD78" s="106" t="n"/>
      <c r="DE78" s="106" t="n"/>
      <c r="DF78" s="106" t="n"/>
      <c r="DG78" s="106" t="n"/>
      <c r="DH78" s="106" t="n"/>
      <c r="DI78" s="106" t="n">
        <v>0</v>
      </c>
      <c r="DJ78" s="106" t="n">
        <v>0</v>
      </c>
      <c r="DK78" s="106" t="n">
        <v>0</v>
      </c>
      <c r="DL78" s="106" t="n">
        <v>0</v>
      </c>
      <c r="DM78" s="106" t="n">
        <f aca="false" ca="false" dt2D="false" dtr="false" t="normal">7597182.26+3870122.95</f>
        <v>11467305.21</v>
      </c>
      <c r="DN78" s="106" t="n">
        <v>504570.499</v>
      </c>
      <c r="DO78" s="114" t="n">
        <v>88504.399</v>
      </c>
      <c r="DP78" s="122" t="n"/>
      <c r="DQ78" s="3" t="n">
        <f aca="false" ca="false" dt2D="false" dtr="false" t="normal">N78-DA78</f>
        <v>0</v>
      </c>
      <c r="DS78" s="9" t="n"/>
    </row>
    <row hidden="false" ht="15" outlineLevel="0" r="79">
      <c r="A79" s="103" t="n">
        <f aca="false" ca="false" dt2D="false" dtr="false" t="normal">+A78+1</f>
        <v>62</v>
      </c>
      <c r="B79" s="104" t="n">
        <f aca="false" ca="false" dt2D="false" dtr="false" t="normal">+B78+1</f>
        <v>62</v>
      </c>
      <c r="C79" s="104" t="s">
        <v>111</v>
      </c>
      <c r="D79" s="104" t="s">
        <v>139</v>
      </c>
      <c r="E79" s="105" t="n">
        <v>1974</v>
      </c>
      <c r="F79" s="105" t="n">
        <v>2013</v>
      </c>
      <c r="G79" s="105" t="s">
        <v>68</v>
      </c>
      <c r="H79" s="105" t="n">
        <v>4</v>
      </c>
      <c r="I79" s="105" t="n">
        <v>4</v>
      </c>
      <c r="J79" s="106" t="n">
        <v>3890.5</v>
      </c>
      <c r="K79" s="106" t="n">
        <v>3406.6</v>
      </c>
      <c r="L79" s="106" t="n">
        <v>0</v>
      </c>
      <c r="M79" s="107" t="n">
        <v>175</v>
      </c>
      <c r="N79" s="108" t="n">
        <f aca="false" ca="false" dt2D="false" dtr="false" t="normal">SUM(P79:T79)</f>
        <v>15562524.65</v>
      </c>
      <c r="O79" s="106" t="n"/>
      <c r="P79" s="114" t="n">
        <v>2144774.35</v>
      </c>
      <c r="Q79" s="114" t="n"/>
      <c r="R79" s="114" t="n">
        <v>1186883.42</v>
      </c>
      <c r="S79" s="114" t="n">
        <v>12230866.88</v>
      </c>
      <c r="T79" s="114" t="n">
        <v>0</v>
      </c>
      <c r="U79" s="106" t="n">
        <v>4570.22656663242</v>
      </c>
      <c r="V79" s="106" t="n">
        <v>4570.22656663242</v>
      </c>
      <c r="W79" s="110" t="n">
        <v>2022</v>
      </c>
      <c r="X79" s="9" t="e">
        <f aca="false" ca="false" dt2D="false" dtr="false" t="normal">+#REF!-'[9]Приложение №1'!$P786</f>
        <v>#REF!</v>
      </c>
      <c r="Z79" s="113" t="n">
        <f aca="false" ca="false" dt2D="false" dtr="false" t="normal">SUM(AA79:AO79)</f>
        <v>24100395.781890016</v>
      </c>
      <c r="AA79" s="106" t="n">
        <v>0</v>
      </c>
      <c r="AB79" s="106" t="n">
        <v>0</v>
      </c>
      <c r="AC79" s="106" t="n">
        <v>0</v>
      </c>
      <c r="AD79" s="106" t="n">
        <v>0</v>
      </c>
      <c r="AE79" s="106" t="n">
        <v>1356671.24</v>
      </c>
      <c r="AF79" s="106" t="n"/>
      <c r="AG79" s="106" t="n">
        <v>0</v>
      </c>
      <c r="AH79" s="106" t="n">
        <v>0</v>
      </c>
      <c r="AI79" s="106" t="n">
        <v>0</v>
      </c>
      <c r="AJ79" s="106" t="n">
        <v>0</v>
      </c>
      <c r="AK79" s="106" t="n">
        <v>19641111.6000809</v>
      </c>
      <c r="AL79" s="106" t="n">
        <v>0</v>
      </c>
      <c r="AM79" s="106" t="n">
        <v>2439179.822</v>
      </c>
      <c r="AN79" s="114" t="n">
        <v>227512.6172</v>
      </c>
      <c r="AO79" s="115" t="n">
        <v>435920.50260912</v>
      </c>
      <c r="AP79" s="112" t="n">
        <f aca="false" ca="false" dt2D="false" dtr="false" t="normal">+N79-'Приложение №2'!E79</f>
        <v>0</v>
      </c>
      <c r="AQ79" s="9" t="n">
        <f aca="false" ca="false" dt2D="false" dtr="false" t="normal">1535272.52</f>
        <v>1535272.52</v>
      </c>
      <c r="AR79" s="3" t="n">
        <f aca="false" ca="false" dt2D="false" dtr="false" t="normal">+(K79*10+L79*20)*12*0.85</f>
        <v>347473.2</v>
      </c>
      <c r="AS79" s="3" t="n">
        <f aca="false" ca="false" dt2D="false" dtr="false" t="normal">+(K79*10+L79*20)*12*30</f>
        <v>12263760</v>
      </c>
      <c r="AT79" s="9" t="n">
        <f aca="false" ca="false" dt2D="false" dtr="false" t="normal">+S79-AS79</f>
        <v>-32893.11999999918</v>
      </c>
      <c r="AW79" s="113" t="n">
        <f aca="false" ca="true" dt2D="false" dtr="false" t="normal">SUBTOTAL(9, AX79:BL79)</f>
        <v>15568933.82189</v>
      </c>
      <c r="AX79" s="106" t="n">
        <v>0</v>
      </c>
      <c r="AY79" s="106" t="n">
        <v>0</v>
      </c>
      <c r="AZ79" s="106" t="n">
        <v>0</v>
      </c>
      <c r="BA79" s="106" t="n">
        <v>0</v>
      </c>
      <c r="BB79" s="106" t="n"/>
      <c r="BC79" s="106" t="n"/>
      <c r="BD79" s="106" t="n"/>
      <c r="BE79" s="106" t="n">
        <v>0</v>
      </c>
      <c r="BF79" s="106" t="n">
        <v>0</v>
      </c>
      <c r="BG79" s="106" t="n">
        <v>0</v>
      </c>
      <c r="BH79" s="106" t="n">
        <v>15562524.65</v>
      </c>
      <c r="BI79" s="106" t="n">
        <v>0</v>
      </c>
      <c r="BJ79" s="106" t="n"/>
      <c r="BK79" s="114" t="n"/>
      <c r="BL79" s="115" t="n">
        <v>6409.17189</v>
      </c>
      <c r="BM79" s="14" t="n">
        <f aca="false" ca="true" dt2D="false" dtr="false" t="normal">SUBTOTAL(9, BN79:CB79)</f>
        <v>15568933.82189</v>
      </c>
      <c r="BN79" s="106" t="n">
        <v>0</v>
      </c>
      <c r="BO79" s="106" t="n">
        <v>0</v>
      </c>
      <c r="BP79" s="106" t="n">
        <v>0</v>
      </c>
      <c r="BQ79" s="106" t="n">
        <v>0</v>
      </c>
      <c r="BR79" s="106" t="n"/>
      <c r="BS79" s="106" t="n"/>
      <c r="BT79" s="106" t="n"/>
      <c r="BU79" s="106" t="n">
        <v>0</v>
      </c>
      <c r="BV79" s="106" t="n">
        <v>0</v>
      </c>
      <c r="BW79" s="106" t="n">
        <v>0</v>
      </c>
      <c r="BX79" s="106" t="n">
        <v>15562524.65</v>
      </c>
      <c r="BY79" s="106" t="n">
        <v>0</v>
      </c>
      <c r="BZ79" s="106" t="n"/>
      <c r="CA79" s="114" t="n"/>
      <c r="CB79" s="115" t="n">
        <v>6409.17189</v>
      </c>
      <c r="CD79" s="116" t="n">
        <f aca="false" ca="false" dt2D="false" dtr="false" t="normal">+CD78+1</f>
        <v>62</v>
      </c>
      <c r="CE79" s="117" t="n">
        <f aca="false" ca="false" dt2D="false" dtr="false" t="normal">+CE78+1</f>
        <v>62</v>
      </c>
      <c r="CF79" s="104" t="s">
        <v>111</v>
      </c>
      <c r="CG79" s="104" t="s">
        <v>139</v>
      </c>
      <c r="CH79" s="118" t="n">
        <f aca="false" ca="true" dt2D="false" dtr="false" t="normal">SUBTOTAL(9, CI79:CW79)</f>
        <v>15568933.82189</v>
      </c>
      <c r="CI79" s="106" t="n">
        <v>0</v>
      </c>
      <c r="CJ79" s="106" t="n">
        <v>0</v>
      </c>
      <c r="CK79" s="106" t="n">
        <v>0</v>
      </c>
      <c r="CL79" s="106" t="n">
        <v>0</v>
      </c>
      <c r="CM79" s="106" t="n"/>
      <c r="CN79" s="106" t="n"/>
      <c r="CO79" s="106" t="n"/>
      <c r="CP79" s="106" t="n">
        <v>0</v>
      </c>
      <c r="CQ79" s="106" t="n">
        <v>0</v>
      </c>
      <c r="CR79" s="106" t="n">
        <v>0</v>
      </c>
      <c r="CS79" s="106" t="n">
        <v>15562524.65</v>
      </c>
      <c r="CT79" s="106" t="n">
        <v>0</v>
      </c>
      <c r="CU79" s="106" t="n"/>
      <c r="CV79" s="114" t="n"/>
      <c r="CW79" s="115" t="n">
        <v>6409.17189</v>
      </c>
      <c r="CZ79" s="104" t="s">
        <v>139</v>
      </c>
      <c r="DA79" s="119" t="n">
        <f aca="false" ca="true" dt2D="false" dtr="false" t="normal">SUBTOTAL(9, DB79:DP79)</f>
        <v>15562524.65</v>
      </c>
      <c r="DB79" s="106" t="n">
        <v>0</v>
      </c>
      <c r="DC79" s="106" t="n">
        <v>0</v>
      </c>
      <c r="DD79" s="106" t="n">
        <v>0</v>
      </c>
      <c r="DE79" s="106" t="n">
        <v>0</v>
      </c>
      <c r="DF79" s="106" t="n"/>
      <c r="DG79" s="106" t="n"/>
      <c r="DH79" s="106" t="n"/>
      <c r="DI79" s="106" t="n">
        <v>0</v>
      </c>
      <c r="DJ79" s="106" t="n">
        <v>0</v>
      </c>
      <c r="DK79" s="106" t="n">
        <v>0</v>
      </c>
      <c r="DL79" s="106" t="n">
        <v>15562524.65</v>
      </c>
      <c r="DM79" s="106" t="n">
        <v>0</v>
      </c>
      <c r="DN79" s="106" t="n"/>
      <c r="DO79" s="114" t="n"/>
      <c r="DP79" s="122" t="n"/>
      <c r="DQ79" s="3" t="n">
        <f aca="false" ca="false" dt2D="false" dtr="false" t="normal">N79-DA79</f>
        <v>0</v>
      </c>
      <c r="DS79" s="9" t="n"/>
    </row>
    <row hidden="false" ht="15" outlineLevel="0" r="80">
      <c r="A80" s="103" t="n">
        <f aca="false" ca="false" dt2D="false" dtr="false" t="normal">+A79+1</f>
        <v>63</v>
      </c>
      <c r="B80" s="104" t="n">
        <f aca="false" ca="false" dt2D="false" dtr="false" t="normal">+B79+1</f>
        <v>63</v>
      </c>
      <c r="C80" s="104" t="s">
        <v>111</v>
      </c>
      <c r="D80" s="104" t="s">
        <v>140</v>
      </c>
      <c r="E80" s="105" t="n">
        <v>1978</v>
      </c>
      <c r="F80" s="105" t="n">
        <v>2008</v>
      </c>
      <c r="G80" s="105" t="s">
        <v>68</v>
      </c>
      <c r="H80" s="105" t="n">
        <v>5</v>
      </c>
      <c r="I80" s="105" t="n">
        <v>4</v>
      </c>
      <c r="J80" s="106" t="n">
        <v>4887.2</v>
      </c>
      <c r="K80" s="106" t="n">
        <v>4152.5</v>
      </c>
      <c r="L80" s="106" t="n">
        <v>141.4</v>
      </c>
      <c r="M80" s="107" t="n">
        <v>187</v>
      </c>
      <c r="N80" s="108" t="n">
        <f aca="false" ca="false" dt2D="false" dtr="false" t="normal">SUM(P80:T80)</f>
        <v>14282939.920000002</v>
      </c>
      <c r="O80" s="106" t="n"/>
      <c r="P80" s="114" t="n"/>
      <c r="Q80" s="114" t="n"/>
      <c r="R80" s="114" t="n">
        <v>1507307.99</v>
      </c>
      <c r="S80" s="114" t="n">
        <v>8730636.48</v>
      </c>
      <c r="T80" s="106" t="n">
        <v>4044995.45</v>
      </c>
      <c r="U80" s="114" t="n">
        <v>3436.89200716524</v>
      </c>
      <c r="V80" s="114" t="n">
        <v>3436.89200716524</v>
      </c>
      <c r="W80" s="110" t="n">
        <v>2022</v>
      </c>
      <c r="X80" s="9" t="e">
        <f aca="false" ca="false" dt2D="false" dtr="false" t="normal">+#REF!-'[9]Приложение №1'!$P1025</f>
        <v>#REF!</v>
      </c>
      <c r="Z80" s="113" t="n">
        <f aca="false" ca="false" dt2D="false" dtr="false" t="normal">SUM(AA80:AO80)</f>
        <v>48841397.922002405</v>
      </c>
      <c r="AA80" s="106" t="n"/>
      <c r="AB80" s="106" t="n">
        <v>4165477.21473114</v>
      </c>
      <c r="AC80" s="106" t="n">
        <v>4403217.83526618</v>
      </c>
      <c r="AD80" s="106" t="n">
        <v>3357491.03180316</v>
      </c>
      <c r="AE80" s="106" t="n">
        <v>1341248.93566524</v>
      </c>
      <c r="AF80" s="106" t="n"/>
      <c r="AG80" s="106" t="n">
        <v>357896.7342846</v>
      </c>
      <c r="AH80" s="106" t="n">
        <v>0</v>
      </c>
      <c r="AI80" s="106" t="n"/>
      <c r="AJ80" s="106" t="n">
        <v>0</v>
      </c>
      <c r="AK80" s="106" t="n">
        <v>24893551.051467</v>
      </c>
      <c r="AL80" s="106" t="n"/>
      <c r="AM80" s="106" t="n">
        <v>8041636.4647</v>
      </c>
      <c r="AN80" s="114" t="n">
        <v>786561.1731</v>
      </c>
      <c r="AO80" s="115" t="n">
        <v>1494317.48098508</v>
      </c>
      <c r="AP80" s="112" t="n">
        <f aca="false" ca="false" dt2D="false" dtr="false" t="normal">+N80-'Приложение №2'!E80</f>
        <v>0</v>
      </c>
      <c r="AQ80" s="1" t="n">
        <v>1938809.74</v>
      </c>
      <c r="AR80" s="3" t="n">
        <f aca="false" ca="false" dt2D="false" dtr="false" t="normal">+(K80*10+L80*20)*12*0.85</f>
        <v>452400.6</v>
      </c>
      <c r="AS80" s="3" t="n">
        <f aca="false" ca="false" dt2D="false" dtr="false" t="normal">+(K80*10+L80*20)*12*30-6800843.52</f>
        <v>9166236.48</v>
      </c>
      <c r="AT80" s="9" t="n">
        <f aca="false" ca="false" dt2D="false" dtr="false" t="normal">+S80-AS80</f>
        <v>-435600</v>
      </c>
      <c r="AW80" s="113" t="n">
        <f aca="false" ca="true" dt2D="false" dtr="false" t="normal">SUBTOTAL(9, AX80:BL80)</f>
        <v>14757670.58956682</v>
      </c>
      <c r="AX80" s="106" t="n"/>
      <c r="AY80" s="106" t="n"/>
      <c r="AZ80" s="106" t="n">
        <v>1212218.34</v>
      </c>
      <c r="BA80" s="106" t="n"/>
      <c r="BB80" s="106" t="n"/>
      <c r="BC80" s="106" t="n"/>
      <c r="BD80" s="106" t="n"/>
      <c r="BE80" s="106" t="n">
        <v>0</v>
      </c>
      <c r="BF80" s="106" t="n"/>
      <c r="BG80" s="106" t="n">
        <v>0</v>
      </c>
      <c r="BH80" s="106" t="n">
        <v>12904791.25</v>
      </c>
      <c r="BI80" s="106" t="n"/>
      <c r="BJ80" s="106" t="n"/>
      <c r="BK80" s="114" t="n"/>
      <c r="BL80" s="115" t="n">
        <v>640660.99956682</v>
      </c>
      <c r="BM80" s="14" t="n">
        <f aca="false" ca="true" dt2D="false" dtr="false" t="normal">SUBTOTAL(9, BN80:CB80)</f>
        <v>14757670.58956682</v>
      </c>
      <c r="BN80" s="106" t="n"/>
      <c r="BO80" s="106" t="n"/>
      <c r="BP80" s="106" t="n">
        <v>1212218.34</v>
      </c>
      <c r="BQ80" s="106" t="n"/>
      <c r="BR80" s="106" t="n"/>
      <c r="BS80" s="106" t="n"/>
      <c r="BT80" s="106" t="n"/>
      <c r="BU80" s="106" t="n">
        <v>0</v>
      </c>
      <c r="BV80" s="106" t="n"/>
      <c r="BW80" s="106" t="n">
        <v>0</v>
      </c>
      <c r="BX80" s="106" t="n">
        <v>12904791.25</v>
      </c>
      <c r="BY80" s="106" t="n"/>
      <c r="BZ80" s="106" t="n"/>
      <c r="CA80" s="114" t="n"/>
      <c r="CB80" s="115" t="n">
        <v>640660.99956682</v>
      </c>
      <c r="CD80" s="116" t="n">
        <f aca="false" ca="false" dt2D="false" dtr="false" t="normal">+CD79+1</f>
        <v>63</v>
      </c>
      <c r="CE80" s="117" t="n">
        <f aca="false" ca="false" dt2D="false" dtr="false" t="normal">+CE79+1</f>
        <v>63</v>
      </c>
      <c r="CF80" s="104" t="s">
        <v>111</v>
      </c>
      <c r="CG80" s="104" t="s">
        <v>140</v>
      </c>
      <c r="CH80" s="118" t="n">
        <f aca="false" ca="true" dt2D="false" dtr="false" t="normal">SUBTOTAL(9, CI80:CW80)</f>
        <v>14757670.58956682</v>
      </c>
      <c r="CI80" s="106" t="n"/>
      <c r="CJ80" s="106" t="n"/>
      <c r="CK80" s="106" t="n">
        <v>1212218.34</v>
      </c>
      <c r="CL80" s="106" t="n"/>
      <c r="CM80" s="106" t="n"/>
      <c r="CN80" s="106" t="n"/>
      <c r="CO80" s="106" t="n"/>
      <c r="CP80" s="106" t="n">
        <v>0</v>
      </c>
      <c r="CQ80" s="106" t="n"/>
      <c r="CR80" s="106" t="n">
        <v>0</v>
      </c>
      <c r="CS80" s="106" t="n">
        <v>12904791.25</v>
      </c>
      <c r="CT80" s="106" t="n"/>
      <c r="CU80" s="106" t="n"/>
      <c r="CV80" s="114" t="n"/>
      <c r="CW80" s="115" t="n">
        <v>640660.99956682</v>
      </c>
      <c r="CZ80" s="104" t="s">
        <v>140</v>
      </c>
      <c r="DA80" s="119" t="n">
        <f aca="false" ca="true" dt2D="false" dtr="false" t="normal">SUBTOTAL(9, DB80:DP80)</f>
        <v>14282939.92</v>
      </c>
      <c r="DB80" s="106" t="n"/>
      <c r="DC80" s="106" t="n"/>
      <c r="DD80" s="106" t="n">
        <v>1212218.34</v>
      </c>
      <c r="DE80" s="106" t="n"/>
      <c r="DF80" s="106" t="n"/>
      <c r="DG80" s="106" t="n"/>
      <c r="DH80" s="106" t="n"/>
      <c r="DI80" s="106" t="n">
        <v>0</v>
      </c>
      <c r="DJ80" s="106" t="n"/>
      <c r="DK80" s="106" t="n">
        <v>0</v>
      </c>
      <c r="DL80" s="106" t="n">
        <v>12904791.25</v>
      </c>
      <c r="DM80" s="106" t="n"/>
      <c r="DN80" s="106" t="n"/>
      <c r="DO80" s="114" t="n"/>
      <c r="DP80" s="120" t="n">
        <f aca="false" ca="false" dt2D="false" dtr="false" t="normal">14909.16+151021.17</f>
        <v>165930.33000000002</v>
      </c>
      <c r="DQ80" s="3" t="n">
        <f aca="false" ca="false" dt2D="false" dtr="false" t="normal">N80-DA80</f>
        <v>0</v>
      </c>
      <c r="DS80" s="9" t="n"/>
    </row>
    <row hidden="false" ht="15" outlineLevel="0" r="81">
      <c r="A81" s="103" t="n">
        <f aca="false" ca="false" dt2D="false" dtr="false" t="normal">+A80+1</f>
        <v>64</v>
      </c>
      <c r="B81" s="104" t="n">
        <f aca="false" ca="false" dt2D="false" dtr="false" t="normal">+B80+1</f>
        <v>64</v>
      </c>
      <c r="C81" s="104" t="s">
        <v>111</v>
      </c>
      <c r="D81" s="104" t="s">
        <v>141</v>
      </c>
      <c r="E81" s="105" t="n">
        <v>1979</v>
      </c>
      <c r="F81" s="105" t="n">
        <v>2008</v>
      </c>
      <c r="G81" s="105" t="s">
        <v>68</v>
      </c>
      <c r="H81" s="105" t="n">
        <v>5</v>
      </c>
      <c r="I81" s="105" t="n">
        <v>4</v>
      </c>
      <c r="J81" s="106" t="n">
        <v>4897.1</v>
      </c>
      <c r="K81" s="106" t="n">
        <v>4311.9</v>
      </c>
      <c r="L81" s="106" t="n">
        <v>0</v>
      </c>
      <c r="M81" s="107" t="n">
        <v>199</v>
      </c>
      <c r="N81" s="108" t="n">
        <f aca="false" ca="false" dt2D="false" dtr="false" t="normal">SUM(P81:T81)</f>
        <v>14428878.049999999</v>
      </c>
      <c r="O81" s="106" t="n"/>
      <c r="P81" s="114" t="n"/>
      <c r="Q81" s="114" t="n"/>
      <c r="R81" s="114" t="n">
        <v>1319980.63</v>
      </c>
      <c r="S81" s="114" t="n">
        <v>7217514.84</v>
      </c>
      <c r="T81" s="106" t="n">
        <v>5891382.58</v>
      </c>
      <c r="U81" s="114" t="n">
        <v>3456.88840324015</v>
      </c>
      <c r="V81" s="114" t="n">
        <v>3456.88840324015</v>
      </c>
      <c r="W81" s="110" t="n">
        <v>2022</v>
      </c>
      <c r="X81" s="9" t="e">
        <f aca="false" ca="false" dt2D="false" dtr="false" t="normal">+#REF!-'[9]Приложение №1'!$P1026</f>
        <v>#REF!</v>
      </c>
      <c r="Z81" s="113" t="n">
        <f aca="false" ca="false" dt2D="false" dtr="false" t="normal">SUM(AA81:AO81)</f>
        <v>66063234.6708396</v>
      </c>
      <c r="AA81" s="106" t="n">
        <v>7227671.091732</v>
      </c>
      <c r="AB81" s="106" t="n">
        <v>4179959.78622474</v>
      </c>
      <c r="AC81" s="106" t="n">
        <v>4418526.98565348</v>
      </c>
      <c r="AD81" s="106" t="n">
        <v>3369164.38912116</v>
      </c>
      <c r="AE81" s="106" t="n">
        <v>1345912.20295434</v>
      </c>
      <c r="AF81" s="106" t="n"/>
      <c r="AG81" s="106" t="n">
        <v>359141.0731146</v>
      </c>
      <c r="AH81" s="106" t="n">
        <v>0</v>
      </c>
      <c r="AI81" s="106" t="n"/>
      <c r="AJ81" s="106" t="n">
        <v>0</v>
      </c>
      <c r="AK81" s="106" t="n">
        <v>24980101.1907153</v>
      </c>
      <c r="AL81" s="106" t="n">
        <v>9824353.4120571</v>
      </c>
      <c r="AM81" s="106" t="n">
        <v>8069595.7042</v>
      </c>
      <c r="AN81" s="114" t="n">
        <v>789295.8966</v>
      </c>
      <c r="AO81" s="115" t="n">
        <v>1499512.93846688</v>
      </c>
      <c r="AP81" s="112" t="n">
        <f aca="false" ca="false" dt2D="false" dtr="false" t="normal">+N81-'Приложение №2'!E81</f>
        <v>0</v>
      </c>
      <c r="AQ81" s="1" t="n">
        <v>2090807.65</v>
      </c>
      <c r="AR81" s="3" t="n">
        <f aca="false" ca="false" dt2D="false" dtr="false" t="normal">+(K81*10+L81*20)*12*0.85</f>
        <v>439813.8</v>
      </c>
      <c r="AS81" s="3" t="n">
        <f aca="false" ca="false" dt2D="false" dtr="false" t="normal">+(K81*10+L81*20)*12*30-8305325.16</f>
        <v>7217514.84</v>
      </c>
      <c r="AT81" s="9" t="n">
        <f aca="false" ca="false" dt2D="false" dtr="false" t="normal">+S81-AS81</f>
        <v>0</v>
      </c>
      <c r="AW81" s="113" t="n">
        <f aca="false" ca="true" dt2D="false" dtr="false" t="normal">SUBTOTAL(9, AX81:BL81)</f>
        <v>14905757.10593122</v>
      </c>
      <c r="AX81" s="106" t="n"/>
      <c r="AY81" s="106" t="n"/>
      <c r="AZ81" s="106" t="n">
        <v>1218340.66</v>
      </c>
      <c r="BA81" s="106" t="n"/>
      <c r="BB81" s="106" t="n"/>
      <c r="BC81" s="106" t="n"/>
      <c r="BD81" s="106" t="n"/>
      <c r="BE81" s="106" t="n">
        <v>0</v>
      </c>
      <c r="BF81" s="106" t="n"/>
      <c r="BG81" s="106" t="n">
        <v>0</v>
      </c>
      <c r="BH81" s="106" t="n">
        <v>13044527.99</v>
      </c>
      <c r="BI81" s="106" t="n"/>
      <c r="BJ81" s="106" t="n"/>
      <c r="BK81" s="114" t="n"/>
      <c r="BL81" s="115" t="n">
        <v>642888.45593122</v>
      </c>
      <c r="BM81" s="14" t="n">
        <f aca="false" ca="true" dt2D="false" dtr="false" t="normal">SUBTOTAL(9, BN81:CB81)</f>
        <v>14905757.10593122</v>
      </c>
      <c r="BN81" s="106" t="n"/>
      <c r="BO81" s="106" t="n"/>
      <c r="BP81" s="106" t="n">
        <v>1218340.66</v>
      </c>
      <c r="BQ81" s="106" t="n"/>
      <c r="BR81" s="106" t="n"/>
      <c r="BS81" s="106" t="n"/>
      <c r="BT81" s="106" t="n"/>
      <c r="BU81" s="106" t="n">
        <v>0</v>
      </c>
      <c r="BV81" s="106" t="n"/>
      <c r="BW81" s="106" t="n">
        <v>0</v>
      </c>
      <c r="BX81" s="106" t="n">
        <v>13044527.99</v>
      </c>
      <c r="BY81" s="106" t="n"/>
      <c r="BZ81" s="106" t="n"/>
      <c r="CA81" s="114" t="n"/>
      <c r="CB81" s="115" t="n">
        <v>642888.45593122</v>
      </c>
      <c r="CD81" s="116" t="n">
        <f aca="false" ca="false" dt2D="false" dtr="false" t="normal">+CD80+1</f>
        <v>64</v>
      </c>
      <c r="CE81" s="117" t="n">
        <f aca="false" ca="false" dt2D="false" dtr="false" t="normal">+CE80+1</f>
        <v>64</v>
      </c>
      <c r="CF81" s="104" t="s">
        <v>111</v>
      </c>
      <c r="CG81" s="104" t="s">
        <v>141</v>
      </c>
      <c r="CH81" s="118" t="n">
        <f aca="false" ca="true" dt2D="false" dtr="false" t="normal">SUBTOTAL(9, CI81:CW81)</f>
        <v>14905757.10593122</v>
      </c>
      <c r="CI81" s="106" t="n"/>
      <c r="CJ81" s="106" t="n"/>
      <c r="CK81" s="106" t="n">
        <v>1218340.66</v>
      </c>
      <c r="CL81" s="106" t="n"/>
      <c r="CM81" s="106" t="n"/>
      <c r="CN81" s="106" t="n"/>
      <c r="CO81" s="106" t="n"/>
      <c r="CP81" s="106" t="n">
        <v>0</v>
      </c>
      <c r="CQ81" s="106" t="n"/>
      <c r="CR81" s="106" t="n">
        <v>0</v>
      </c>
      <c r="CS81" s="106" t="n">
        <v>13044527.99</v>
      </c>
      <c r="CT81" s="106" t="n"/>
      <c r="CU81" s="106" t="n"/>
      <c r="CV81" s="114" t="n"/>
      <c r="CW81" s="115" t="n">
        <v>642888.45593122</v>
      </c>
      <c r="CZ81" s="104" t="s">
        <v>141</v>
      </c>
      <c r="DA81" s="119" t="n">
        <f aca="false" ca="true" dt2D="false" dtr="false" t="normal">SUBTOTAL(9, DB81:DP81)</f>
        <v>14428878.05</v>
      </c>
      <c r="DB81" s="106" t="n"/>
      <c r="DC81" s="106" t="n"/>
      <c r="DD81" s="106" t="n">
        <v>1218340.66</v>
      </c>
      <c r="DE81" s="106" t="n"/>
      <c r="DF81" s="106" t="n"/>
      <c r="DG81" s="106" t="n"/>
      <c r="DH81" s="106" t="n"/>
      <c r="DI81" s="106" t="n">
        <v>0</v>
      </c>
      <c r="DJ81" s="106" t="n"/>
      <c r="DK81" s="106" t="n">
        <v>0</v>
      </c>
      <c r="DL81" s="106" t="n">
        <v>13044527.99</v>
      </c>
      <c r="DM81" s="106" t="n"/>
      <c r="DN81" s="106" t="n"/>
      <c r="DO81" s="114" t="n"/>
      <c r="DP81" s="120" t="n">
        <f aca="false" ca="false" dt2D="false" dtr="false" t="normal">151177.15+14832.25</f>
        <v>166009.4</v>
      </c>
      <c r="DQ81" s="3" t="n">
        <f aca="false" ca="false" dt2D="false" dtr="false" t="normal">N81-DA81</f>
        <v>0</v>
      </c>
      <c r="DS81" s="9" t="n"/>
    </row>
    <row hidden="false" ht="15" outlineLevel="0" r="82">
      <c r="A82" s="103" t="n">
        <f aca="false" ca="false" dt2D="false" dtr="false" t="normal">+A81+1</f>
        <v>65</v>
      </c>
      <c r="B82" s="104" t="n">
        <f aca="false" ca="false" dt2D="false" dtr="false" t="normal">+B81+1</f>
        <v>65</v>
      </c>
      <c r="C82" s="104" t="s">
        <v>111</v>
      </c>
      <c r="D82" s="104" t="s">
        <v>142</v>
      </c>
      <c r="E82" s="105" t="n">
        <v>1977</v>
      </c>
      <c r="F82" s="105" t="n">
        <v>2008</v>
      </c>
      <c r="G82" s="105" t="s">
        <v>68</v>
      </c>
      <c r="H82" s="105" t="n">
        <v>4</v>
      </c>
      <c r="I82" s="105" t="n">
        <v>4</v>
      </c>
      <c r="J82" s="106" t="n">
        <v>3978.4</v>
      </c>
      <c r="K82" s="106" t="n">
        <v>3426.4</v>
      </c>
      <c r="L82" s="106" t="n">
        <v>0</v>
      </c>
      <c r="M82" s="107" t="n">
        <v>156</v>
      </c>
      <c r="N82" s="108" t="n">
        <f aca="false" ca="false" dt2D="false" dtr="false" t="normal">SUM(P82:T82)</f>
        <v>9367953.2885</v>
      </c>
      <c r="O82" s="106" t="n"/>
      <c r="P82" s="114" t="n"/>
      <c r="Q82" s="114" t="n"/>
      <c r="R82" s="114" t="n">
        <v>1804243.37</v>
      </c>
      <c r="S82" s="114" t="n">
        <v>7563709.9185</v>
      </c>
      <c r="T82" s="106" t="n"/>
      <c r="U82" s="114" t="n">
        <v>2772.4564510256</v>
      </c>
      <c r="V82" s="114" t="n">
        <v>2772.4564510256</v>
      </c>
      <c r="W82" s="110" t="n">
        <v>2022</v>
      </c>
      <c r="X82" s="9" t="e">
        <f aca="false" ca="false" dt2D="false" dtr="false" t="normal">+#REF!-'[9]Приложение №1'!$P1028</f>
        <v>#REF!</v>
      </c>
      <c r="Z82" s="113" t="n">
        <f aca="false" ca="false" dt2D="false" dtr="false" t="normal">SUM(AA82:AO82)</f>
        <v>12575637.629999999</v>
      </c>
      <c r="AA82" s="106" t="n">
        <v>5842505.20347312</v>
      </c>
      <c r="AB82" s="106" t="n">
        <v>0</v>
      </c>
      <c r="AC82" s="106" t="n">
        <v>3571726.84810158</v>
      </c>
      <c r="AD82" s="106" t="n">
        <v>0</v>
      </c>
      <c r="AE82" s="106" t="n">
        <v>1087971.34969656</v>
      </c>
      <c r="AF82" s="106" t="n"/>
      <c r="AG82" s="106" t="n">
        <v>290312.5446312</v>
      </c>
      <c r="AH82" s="106" t="n">
        <v>0</v>
      </c>
      <c r="AI82" s="106" t="n">
        <v>0</v>
      </c>
      <c r="AJ82" s="106" t="n">
        <v>0</v>
      </c>
      <c r="AK82" s="106" t="n">
        <v>0</v>
      </c>
      <c r="AL82" s="106" t="n">
        <v>0</v>
      </c>
      <c r="AM82" s="106" t="n">
        <v>1421354.8426</v>
      </c>
      <c r="AN82" s="114" t="n">
        <v>125756.3763</v>
      </c>
      <c r="AO82" s="115" t="n">
        <v>236010.46519754</v>
      </c>
      <c r="AP82" s="112" t="n">
        <f aca="false" ca="false" dt2D="false" dtr="false" t="normal">+N82-'Приложение №2'!E82</f>
        <v>0</v>
      </c>
      <c r="AQ82" s="1" t="n">
        <v>1557234.97</v>
      </c>
      <c r="AR82" s="3" t="n">
        <f aca="false" ca="false" dt2D="false" dtr="false" t="normal">+(K82*10+L82*20)*12*0.85</f>
        <v>349492.8</v>
      </c>
      <c r="AS82" s="3" t="n">
        <f aca="false" ca="false" dt2D="false" dtr="false" t="normal">+(K82*10+L82*20)*12*30</f>
        <v>12335040</v>
      </c>
      <c r="AT82" s="9" t="n">
        <f aca="false" ca="false" dt2D="false" dtr="false" t="normal">+S82-AS82</f>
        <v>-4771330.0815</v>
      </c>
      <c r="AW82" s="113" t="n">
        <f aca="false" ca="true" dt2D="false" dtr="false" t="normal">SUBTOTAL(9, AX82:BL82)</f>
        <v>9499544.783794101</v>
      </c>
      <c r="AX82" s="106" t="n">
        <v>6542286.32</v>
      </c>
      <c r="AY82" s="106" t="n">
        <v>0</v>
      </c>
      <c r="AZ82" s="106" t="n">
        <v>1697416.27</v>
      </c>
      <c r="BA82" s="106" t="n">
        <v>0</v>
      </c>
      <c r="BB82" s="106" t="n"/>
      <c r="BC82" s="106" t="n"/>
      <c r="BD82" s="106" t="n"/>
      <c r="BE82" s="106" t="n">
        <v>0</v>
      </c>
      <c r="BF82" s="106" t="n">
        <v>0</v>
      </c>
      <c r="BG82" s="106" t="n">
        <v>0</v>
      </c>
      <c r="BH82" s="106" t="n">
        <v>0</v>
      </c>
      <c r="BI82" s="106" t="n">
        <v>0</v>
      </c>
      <c r="BJ82" s="106" t="n">
        <v>937979.5906</v>
      </c>
      <c r="BK82" s="114" t="n">
        <v>109643.8679</v>
      </c>
      <c r="BL82" s="115" t="n">
        <v>212218.7352941</v>
      </c>
      <c r="BM82" s="14" t="n">
        <f aca="false" ca="true" dt2D="false" dtr="false" t="normal">SUBTOTAL(9, BN82:CB82)</f>
        <v>9499544.783794101</v>
      </c>
      <c r="BN82" s="106" t="n">
        <v>6542286.32</v>
      </c>
      <c r="BO82" s="106" t="n">
        <v>0</v>
      </c>
      <c r="BP82" s="106" t="n">
        <v>1697416.27</v>
      </c>
      <c r="BQ82" s="106" t="n">
        <v>0</v>
      </c>
      <c r="BR82" s="106" t="n"/>
      <c r="BS82" s="106" t="n"/>
      <c r="BT82" s="106" t="n"/>
      <c r="BU82" s="106" t="n">
        <v>0</v>
      </c>
      <c r="BV82" s="106" t="n">
        <v>0</v>
      </c>
      <c r="BW82" s="106" t="n">
        <v>0</v>
      </c>
      <c r="BX82" s="106" t="n">
        <v>0</v>
      </c>
      <c r="BY82" s="106" t="n">
        <v>0</v>
      </c>
      <c r="BZ82" s="106" t="n">
        <v>937979.5906</v>
      </c>
      <c r="CA82" s="114" t="n">
        <v>109643.8679</v>
      </c>
      <c r="CB82" s="115" t="n">
        <v>212218.7352941</v>
      </c>
      <c r="CD82" s="116" t="n">
        <f aca="false" ca="false" dt2D="false" dtr="false" t="normal">+CD81+1</f>
        <v>65</v>
      </c>
      <c r="CE82" s="117" t="n">
        <f aca="false" ca="false" dt2D="false" dtr="false" t="normal">+CE81+1</f>
        <v>65</v>
      </c>
      <c r="CF82" s="104" t="s">
        <v>111</v>
      </c>
      <c r="CG82" s="104" t="s">
        <v>142</v>
      </c>
      <c r="CH82" s="118" t="n">
        <f aca="false" ca="true" dt2D="false" dtr="false" t="normal">SUBTOTAL(9, CI82:CW82)</f>
        <v>9499544.783794101</v>
      </c>
      <c r="CI82" s="106" t="n">
        <v>6542286.32</v>
      </c>
      <c r="CJ82" s="106" t="n">
        <v>0</v>
      </c>
      <c r="CK82" s="106" t="n">
        <v>1697416.27</v>
      </c>
      <c r="CL82" s="106" t="n">
        <v>0</v>
      </c>
      <c r="CM82" s="106" t="n"/>
      <c r="CN82" s="106" t="n"/>
      <c r="CO82" s="106" t="n"/>
      <c r="CP82" s="106" t="n">
        <v>0</v>
      </c>
      <c r="CQ82" s="106" t="n">
        <v>0</v>
      </c>
      <c r="CR82" s="106" t="n">
        <v>0</v>
      </c>
      <c r="CS82" s="106" t="n">
        <v>0</v>
      </c>
      <c r="CT82" s="106" t="n">
        <v>0</v>
      </c>
      <c r="CU82" s="106" t="n">
        <v>937979.5906</v>
      </c>
      <c r="CV82" s="114" t="n">
        <v>109643.8679</v>
      </c>
      <c r="CW82" s="115" t="n">
        <v>212218.7352941</v>
      </c>
      <c r="CZ82" s="104" t="s">
        <v>142</v>
      </c>
      <c r="DA82" s="119" t="n">
        <f aca="false" ca="true" dt2D="false" dtr="false" t="normal">SUBTOTAL(9, DB82:DP82)</f>
        <v>9367953.288500002</v>
      </c>
      <c r="DB82" s="106" t="n">
        <v>6542286.32</v>
      </c>
      <c r="DC82" s="106" t="n">
        <v>0</v>
      </c>
      <c r="DD82" s="106" t="n">
        <v>1697416.27</v>
      </c>
      <c r="DE82" s="106" t="n">
        <v>0</v>
      </c>
      <c r="DF82" s="106" t="n"/>
      <c r="DG82" s="106" t="n"/>
      <c r="DH82" s="106" t="n"/>
      <c r="DI82" s="106" t="n">
        <v>0</v>
      </c>
      <c r="DJ82" s="106" t="n">
        <v>0</v>
      </c>
      <c r="DK82" s="106" t="n">
        <v>0</v>
      </c>
      <c r="DL82" s="106" t="n">
        <v>0</v>
      </c>
      <c r="DM82" s="106" t="n">
        <v>0</v>
      </c>
      <c r="DN82" s="106" t="n">
        <v>937979.5906</v>
      </c>
      <c r="DO82" s="114" t="n">
        <v>109643.8679</v>
      </c>
      <c r="DP82" s="120" t="n">
        <f aca="false" ca="false" dt2D="false" dtr="false" t="normal">61658.99+18968.25</f>
        <v>80627.23999999999</v>
      </c>
      <c r="DQ82" s="3" t="n">
        <f aca="false" ca="false" dt2D="false" dtr="false" t="normal">N82-DA82</f>
        <v>0</v>
      </c>
      <c r="DS82" s="9" t="n"/>
    </row>
    <row hidden="false" ht="15" outlineLevel="0" r="83">
      <c r="A83" s="103" t="n">
        <f aca="false" ca="false" dt2D="false" dtr="false" t="normal">+A82+1</f>
        <v>66</v>
      </c>
      <c r="B83" s="104" t="n">
        <f aca="false" ca="false" dt2D="false" dtr="false" t="normal">+B82+1</f>
        <v>66</v>
      </c>
      <c r="C83" s="104" t="s">
        <v>111</v>
      </c>
      <c r="D83" s="104" t="s">
        <v>143</v>
      </c>
      <c r="E83" s="105" t="n">
        <v>1977</v>
      </c>
      <c r="F83" s="105" t="n">
        <v>2013</v>
      </c>
      <c r="G83" s="105" t="s">
        <v>68</v>
      </c>
      <c r="H83" s="105" t="n">
        <v>5</v>
      </c>
      <c r="I83" s="105" t="n">
        <v>4</v>
      </c>
      <c r="J83" s="106" t="n">
        <v>3776.9</v>
      </c>
      <c r="K83" s="106" t="n">
        <v>3428.1</v>
      </c>
      <c r="L83" s="106" t="n">
        <v>0</v>
      </c>
      <c r="M83" s="107" t="n">
        <v>165</v>
      </c>
      <c r="N83" s="108" t="n">
        <f aca="false" ca="false" dt2D="false" dtr="false" t="normal">SUM(P83:T83)</f>
        <v>6007940.01</v>
      </c>
      <c r="O83" s="106" t="n"/>
      <c r="P83" s="114" t="n">
        <v>1902810.53</v>
      </c>
      <c r="Q83" s="114" t="n"/>
      <c r="R83" s="114" t="n">
        <v>1319637.71</v>
      </c>
      <c r="S83" s="114" t="n">
        <v>2785491.77</v>
      </c>
      <c r="T83" s="106" t="n"/>
      <c r="U83" s="114" t="n">
        <v>1785.85611406476</v>
      </c>
      <c r="V83" s="114" t="n">
        <v>1785.85611406476</v>
      </c>
      <c r="W83" s="110" t="n">
        <v>2022</v>
      </c>
      <c r="X83" s="9" t="e">
        <f aca="false" ca="false" dt2D="false" dtr="false" t="normal">+#REF!-'[9]Приложение №1'!$P1029</f>
        <v>#REF!</v>
      </c>
      <c r="Z83" s="113" t="n">
        <f aca="false" ca="false" dt2D="false" dtr="false" t="normal">SUM(AA83:AO83)</f>
        <v>48865245.616670564</v>
      </c>
      <c r="AA83" s="106" t="n">
        <v>5729314.59346428</v>
      </c>
      <c r="AB83" s="106" t="n">
        <v>3313419.25852434</v>
      </c>
      <c r="AC83" s="106" t="n"/>
      <c r="AD83" s="106" t="n">
        <v>2670708.50959416</v>
      </c>
      <c r="AE83" s="106" t="n">
        <v>1066893.38019936</v>
      </c>
      <c r="AF83" s="106" t="n"/>
      <c r="AG83" s="106" t="n">
        <v>284688.1331196</v>
      </c>
      <c r="AH83" s="106" t="n">
        <v>0</v>
      </c>
      <c r="AI83" s="106" t="n"/>
      <c r="AJ83" s="106" t="n">
        <v>0</v>
      </c>
      <c r="AK83" s="106" t="n">
        <v>19801517.8546706</v>
      </c>
      <c r="AL83" s="106" t="n">
        <v>7787683.0063746</v>
      </c>
      <c r="AM83" s="106" t="n">
        <v>6396701.2079</v>
      </c>
      <c r="AN83" s="114" t="n">
        <v>625668.2738</v>
      </c>
      <c r="AO83" s="115" t="n">
        <v>1188651.39902362</v>
      </c>
      <c r="AP83" s="112" t="n">
        <f aca="false" ca="false" dt2D="false" dtr="false" t="normal">+N83-'Приложение №2'!E83</f>
        <v>0</v>
      </c>
      <c r="AQ83" s="1" t="n">
        <v>1720229.27</v>
      </c>
      <c r="AR83" s="3" t="n">
        <f aca="false" ca="false" dt2D="false" dtr="false" t="normal">+(K83*10+L83*20)*12*0.85</f>
        <v>349666.2</v>
      </c>
      <c r="AS83" s="3" t="n">
        <f aca="false" ca="false" dt2D="false" dtr="false" t="normal">+(K83*10+L83*20)*12*30</f>
        <v>12341160</v>
      </c>
      <c r="AT83" s="9" t="n">
        <f aca="false" ca="false" dt2D="false" dtr="false" t="normal">+S83-AS83</f>
        <v>-9555668.23</v>
      </c>
      <c r="AW83" s="113" t="n">
        <f aca="false" ca="true" dt2D="false" dtr="false" t="normal">SUBTOTAL(9, AX83:BL83)</f>
        <v>6122093.3446254</v>
      </c>
      <c r="AX83" s="106" t="n"/>
      <c r="AY83" s="106" t="n"/>
      <c r="AZ83" s="106" t="n"/>
      <c r="BA83" s="106" t="n"/>
      <c r="BB83" s="106" t="n"/>
      <c r="BC83" s="106" t="n"/>
      <c r="BD83" s="106" t="n"/>
      <c r="BE83" s="106" t="n"/>
      <c r="BF83" s="106" t="n"/>
      <c r="BG83" s="106" t="n"/>
      <c r="BH83" s="106" t="n"/>
      <c r="BI83" s="106" t="n">
        <v>5951792.49</v>
      </c>
      <c r="BJ83" s="106" t="n"/>
      <c r="BK83" s="114" t="n"/>
      <c r="BL83" s="115" t="n">
        <v>170300.8546254</v>
      </c>
      <c r="BM83" s="14" t="n">
        <f aca="false" ca="true" dt2D="false" dtr="false" t="normal">SUBTOTAL(9, BN83:CB83)</f>
        <v>6122093.3446254</v>
      </c>
      <c r="BN83" s="106" t="n"/>
      <c r="BO83" s="106" t="n"/>
      <c r="BP83" s="106" t="n"/>
      <c r="BQ83" s="106" t="n"/>
      <c r="BR83" s="106" t="n"/>
      <c r="BS83" s="106" t="n"/>
      <c r="BT83" s="106" t="n"/>
      <c r="BU83" s="106" t="n"/>
      <c r="BV83" s="106" t="n"/>
      <c r="BW83" s="106" t="n"/>
      <c r="BX83" s="106" t="n"/>
      <c r="BY83" s="106" t="n">
        <v>5951792.49</v>
      </c>
      <c r="BZ83" s="106" t="n"/>
      <c r="CA83" s="114" t="n"/>
      <c r="CB83" s="115" t="n">
        <v>170300.8546254</v>
      </c>
      <c r="CD83" s="116" t="n">
        <f aca="false" ca="false" dt2D="false" dtr="false" t="normal">+CD82+1</f>
        <v>66</v>
      </c>
      <c r="CE83" s="117" t="n">
        <f aca="false" ca="false" dt2D="false" dtr="false" t="normal">+CE82+1</f>
        <v>66</v>
      </c>
      <c r="CF83" s="104" t="s">
        <v>111</v>
      </c>
      <c r="CG83" s="104" t="s">
        <v>143</v>
      </c>
      <c r="CH83" s="118" t="n">
        <f aca="false" ca="true" dt2D="false" dtr="false" t="normal">SUBTOTAL(9, CI83:CW83)</f>
        <v>6122093.3446254</v>
      </c>
      <c r="CI83" s="106" t="n"/>
      <c r="CJ83" s="106" t="n"/>
      <c r="CK83" s="106" t="n"/>
      <c r="CL83" s="106" t="n"/>
      <c r="CM83" s="106" t="n"/>
      <c r="CN83" s="106" t="n"/>
      <c r="CO83" s="106" t="n"/>
      <c r="CP83" s="106" t="n"/>
      <c r="CQ83" s="106" t="n"/>
      <c r="CR83" s="106" t="n"/>
      <c r="CS83" s="106" t="n"/>
      <c r="CT83" s="106" t="n">
        <v>5951792.49</v>
      </c>
      <c r="CU83" s="106" t="n"/>
      <c r="CV83" s="114" t="n"/>
      <c r="CW83" s="115" t="n">
        <v>170300.8546254</v>
      </c>
      <c r="CZ83" s="104" t="s">
        <v>143</v>
      </c>
      <c r="DA83" s="119" t="n">
        <f aca="false" ca="true" dt2D="false" dtr="false" t="normal">SUBTOTAL(9, DB83:DP83)</f>
        <v>6007940.01</v>
      </c>
      <c r="DB83" s="106" t="n"/>
      <c r="DC83" s="106" t="n"/>
      <c r="DD83" s="106" t="n"/>
      <c r="DE83" s="106" t="n"/>
      <c r="DF83" s="106" t="n"/>
      <c r="DG83" s="106" t="n"/>
      <c r="DH83" s="106" t="n"/>
      <c r="DI83" s="106" t="n"/>
      <c r="DJ83" s="106" t="n"/>
      <c r="DK83" s="106" t="n"/>
      <c r="DL83" s="106" t="n"/>
      <c r="DM83" s="106" t="n">
        <v>5951792.49</v>
      </c>
      <c r="DN83" s="106" t="n"/>
      <c r="DO83" s="114" t="n"/>
      <c r="DP83" s="120" t="n">
        <v>56147.52</v>
      </c>
      <c r="DQ83" s="3" t="n">
        <f aca="false" ca="false" dt2D="false" dtr="false" t="normal">N83-DA83</f>
        <v>0</v>
      </c>
      <c r="DS83" s="9" t="n"/>
    </row>
    <row hidden="false" ht="15" outlineLevel="0" r="84">
      <c r="A84" s="103" t="n">
        <f aca="false" ca="false" dt2D="false" dtr="false" t="normal">+A83+1</f>
        <v>67</v>
      </c>
      <c r="B84" s="104" t="n">
        <f aca="false" ca="false" dt2D="false" dtr="false" t="normal">+B83+1</f>
        <v>67</v>
      </c>
      <c r="C84" s="104" t="s">
        <v>111</v>
      </c>
      <c r="D84" s="104" t="s">
        <v>144</v>
      </c>
      <c r="E84" s="105" t="n">
        <v>1978</v>
      </c>
      <c r="F84" s="105" t="n">
        <v>2008</v>
      </c>
      <c r="G84" s="105" t="s">
        <v>68</v>
      </c>
      <c r="H84" s="105" t="n">
        <v>5</v>
      </c>
      <c r="I84" s="105" t="n">
        <v>4</v>
      </c>
      <c r="J84" s="106" t="n">
        <v>3883.8</v>
      </c>
      <c r="K84" s="106" t="n">
        <v>3458.3</v>
      </c>
      <c r="L84" s="106" t="n">
        <v>0</v>
      </c>
      <c r="M84" s="107" t="n">
        <v>222</v>
      </c>
      <c r="N84" s="108" t="n">
        <f aca="false" ca="false" dt2D="false" dtr="false" t="normal">SUM(P84:T84)</f>
        <v>13112357.78</v>
      </c>
      <c r="O84" s="106" t="n"/>
      <c r="P84" s="114" t="n">
        <v>3368341.02</v>
      </c>
      <c r="Q84" s="114" t="n"/>
      <c r="R84" s="114" t="n">
        <v>1029202.73</v>
      </c>
      <c r="S84" s="114" t="n">
        <v>8714814.03</v>
      </c>
      <c r="T84" s="106" t="n"/>
      <c r="U84" s="114" t="n">
        <v>3811.25895218628</v>
      </c>
      <c r="V84" s="114" t="n">
        <v>3811.25895218628</v>
      </c>
      <c r="W84" s="110" t="n">
        <v>2022</v>
      </c>
      <c r="X84" s="9" t="e">
        <f aca="false" ca="false" dt2D="false" dtr="false" t="normal">+#REF!-'[9]Приложение №1'!$P1032</f>
        <v>#REF!</v>
      </c>
      <c r="Z84" s="113" t="n">
        <f aca="false" ca="false" dt2D="false" dtr="false" t="normal">SUM(AA84:AO84)</f>
        <v>63420061.129999995</v>
      </c>
      <c r="AA84" s="106" t="n">
        <v>5807446.16552646</v>
      </c>
      <c r="AB84" s="106" t="n">
        <v>3358604.88332628</v>
      </c>
      <c r="AC84" s="106" t="n">
        <v>3550294.03755936</v>
      </c>
      <c r="AD84" s="106" t="n">
        <v>2707129.38442632</v>
      </c>
      <c r="AE84" s="106" t="n">
        <v>1081442.77549182</v>
      </c>
      <c r="AF84" s="106" t="n"/>
      <c r="AG84" s="106" t="n">
        <v>288570.4702692</v>
      </c>
      <c r="AH84" s="106" t="n">
        <v>0</v>
      </c>
      <c r="AI84" s="106" t="n">
        <v>10338138.3710934</v>
      </c>
      <c r="AJ84" s="106" t="n">
        <v>0</v>
      </c>
      <c r="AK84" s="106" t="n">
        <v>20071554.294351</v>
      </c>
      <c r="AL84" s="106" t="n">
        <v>7893884.8726542</v>
      </c>
      <c r="AM84" s="106" t="n">
        <v>6483934.0373</v>
      </c>
      <c r="AN84" s="114" t="n">
        <v>634200.6113</v>
      </c>
      <c r="AO84" s="115" t="n">
        <v>1204861.22670196</v>
      </c>
      <c r="AP84" s="112" t="n">
        <f aca="false" ca="false" dt2D="false" dtr="false" t="normal">+N84-'Приложение №2'!E84</f>
        <v>0</v>
      </c>
      <c r="AQ84" s="1" t="n">
        <v>1653003.71</v>
      </c>
      <c r="AR84" s="3" t="n">
        <f aca="false" ca="false" dt2D="false" dtr="false" t="normal">+(K84*10+L84*20)*12*0.85</f>
        <v>352746.6</v>
      </c>
      <c r="AS84" s="3" t="n">
        <f aca="false" ca="false" dt2D="false" dtr="false" t="normal">+(K84*10+L84*20)*12*30</f>
        <v>12449880</v>
      </c>
      <c r="AT84" s="9" t="n">
        <f aca="false" ca="false" dt2D="false" dtr="false" t="normal">+S84-AS84</f>
        <v>-3735065.9700000007</v>
      </c>
      <c r="AW84" s="113" t="n">
        <f aca="false" ca="true" dt2D="false" dtr="false" t="normal">SUBTOTAL(9, AX84:BL84)</f>
        <v>13180476.8343458</v>
      </c>
      <c r="AX84" s="106" t="n"/>
      <c r="AY84" s="106" t="n"/>
      <c r="AZ84" s="106" t="n"/>
      <c r="BA84" s="106" t="n"/>
      <c r="BB84" s="106" t="n"/>
      <c r="BC84" s="106" t="n"/>
      <c r="BD84" s="106" t="n"/>
      <c r="BE84" s="106" t="n"/>
      <c r="BF84" s="106" t="n">
        <v>8640336.74</v>
      </c>
      <c r="BG84" s="106" t="n"/>
      <c r="BH84" s="106" t="n"/>
      <c r="BI84" s="106" t="n">
        <v>4367516.82</v>
      </c>
      <c r="BJ84" s="106" t="n"/>
      <c r="BK84" s="114" t="n"/>
      <c r="BL84" s="115" t="n">
        <v>172623.2743458</v>
      </c>
      <c r="BM84" s="14" t="n">
        <f aca="false" ca="true" dt2D="false" dtr="false" t="normal">SUBTOTAL(9, BN84:CB84)</f>
        <v>13180476.8343458</v>
      </c>
      <c r="BN84" s="106" t="n"/>
      <c r="BO84" s="106" t="n"/>
      <c r="BP84" s="106" t="n"/>
      <c r="BQ84" s="106" t="n"/>
      <c r="BR84" s="106" t="n"/>
      <c r="BS84" s="106" t="n"/>
      <c r="BT84" s="106" t="n"/>
      <c r="BU84" s="106" t="n"/>
      <c r="BV84" s="106" t="n">
        <v>8640336.74</v>
      </c>
      <c r="BW84" s="106" t="n"/>
      <c r="BX84" s="106" t="n"/>
      <c r="BY84" s="106" t="n">
        <v>4367516.82</v>
      </c>
      <c r="BZ84" s="106" t="n"/>
      <c r="CA84" s="114" t="n"/>
      <c r="CB84" s="115" t="n">
        <v>172623.2743458</v>
      </c>
      <c r="CD84" s="116" t="n">
        <f aca="false" ca="false" dt2D="false" dtr="false" t="normal">+CD83+1</f>
        <v>67</v>
      </c>
      <c r="CE84" s="117" t="n">
        <f aca="false" ca="false" dt2D="false" dtr="false" t="normal">+CE83+1</f>
        <v>67</v>
      </c>
      <c r="CF84" s="104" t="s">
        <v>111</v>
      </c>
      <c r="CG84" s="104" t="s">
        <v>144</v>
      </c>
      <c r="CH84" s="118" t="n">
        <f aca="false" ca="true" dt2D="false" dtr="false" t="normal">SUBTOTAL(9, CI84:CW84)</f>
        <v>13180476.8343458</v>
      </c>
      <c r="CI84" s="106" t="n"/>
      <c r="CJ84" s="106" t="n"/>
      <c r="CK84" s="106" t="n"/>
      <c r="CL84" s="106" t="n"/>
      <c r="CM84" s="106" t="n"/>
      <c r="CN84" s="106" t="n"/>
      <c r="CO84" s="106" t="n"/>
      <c r="CP84" s="106" t="n"/>
      <c r="CQ84" s="106" t="n">
        <v>8640336.74</v>
      </c>
      <c r="CR84" s="106" t="n"/>
      <c r="CS84" s="106" t="n"/>
      <c r="CT84" s="106" t="n">
        <v>4367516.82</v>
      </c>
      <c r="CU84" s="106" t="n"/>
      <c r="CV84" s="114" t="n"/>
      <c r="CW84" s="115" t="n">
        <v>172623.2743458</v>
      </c>
      <c r="CZ84" s="104" t="s">
        <v>144</v>
      </c>
      <c r="DA84" s="119" t="n">
        <f aca="false" ca="true" dt2D="false" dtr="false" t="normal">SUBTOTAL(9, DB84:DP84)</f>
        <v>13112357.780000001</v>
      </c>
      <c r="DB84" s="106" t="n"/>
      <c r="DC84" s="106" t="n"/>
      <c r="DD84" s="106" t="n"/>
      <c r="DE84" s="106" t="n"/>
      <c r="DF84" s="106" t="n"/>
      <c r="DG84" s="106" t="n"/>
      <c r="DH84" s="106" t="n"/>
      <c r="DI84" s="106" t="n"/>
      <c r="DJ84" s="106" t="n">
        <v>8640336.74</v>
      </c>
      <c r="DK84" s="106" t="n"/>
      <c r="DL84" s="106" t="n"/>
      <c r="DM84" s="106" t="n">
        <v>4367516.82</v>
      </c>
      <c r="DN84" s="106" t="n"/>
      <c r="DO84" s="114" t="n"/>
      <c r="DP84" s="120" t="n">
        <f aca="false" ca="false" dt2D="false" dtr="false" t="normal">62868.6+41635.62</f>
        <v>104504.22</v>
      </c>
      <c r="DQ84" s="3" t="n">
        <f aca="false" ca="false" dt2D="false" dtr="false" t="normal">N84-DA84</f>
        <v>0</v>
      </c>
      <c r="DS84" s="9" t="n"/>
    </row>
    <row hidden="false" ht="15" outlineLevel="0" r="85">
      <c r="A85" s="103" t="n">
        <f aca="false" ca="false" dt2D="false" dtr="false" t="normal">+A84+1</f>
        <v>68</v>
      </c>
      <c r="B85" s="104" t="n">
        <f aca="false" ca="false" dt2D="false" dtr="false" t="normal">+B84+1</f>
        <v>68</v>
      </c>
      <c r="C85" s="104" t="s">
        <v>111</v>
      </c>
      <c r="D85" s="104" t="s">
        <v>145</v>
      </c>
      <c r="E85" s="105" t="n">
        <v>1978</v>
      </c>
      <c r="F85" s="105" t="n">
        <v>2013</v>
      </c>
      <c r="G85" s="105" t="s">
        <v>68</v>
      </c>
      <c r="H85" s="105" t="n">
        <v>5</v>
      </c>
      <c r="I85" s="105" t="n">
        <v>4</v>
      </c>
      <c r="J85" s="106" t="n">
        <v>4866.6</v>
      </c>
      <c r="K85" s="106" t="n">
        <v>4226.8</v>
      </c>
      <c r="L85" s="106" t="n">
        <v>67</v>
      </c>
      <c r="M85" s="107" t="n">
        <v>317</v>
      </c>
      <c r="N85" s="108" t="n">
        <f aca="false" ca="false" dt2D="false" dtr="false" t="normal">SUM(P85:T85)</f>
        <v>6811683.42</v>
      </c>
      <c r="O85" s="106" t="n"/>
      <c r="P85" s="114" t="n">
        <v>2801964.87060001</v>
      </c>
      <c r="Q85" s="114" t="n"/>
      <c r="R85" s="114" t="n">
        <v>360566.9564999</v>
      </c>
      <c r="S85" s="114" t="n">
        <v>3649151.59290009</v>
      </c>
      <c r="T85" s="106" t="n"/>
      <c r="U85" s="114" t="n">
        <v>1621.32380793234</v>
      </c>
      <c r="V85" s="114" t="n">
        <v>1621.32380793234</v>
      </c>
      <c r="W85" s="110" t="n">
        <v>2022</v>
      </c>
      <c r="X85" s="9" t="e">
        <f aca="false" ca="false" dt2D="false" dtr="false" t="normal">+#REF!-'[9]Приложение №1'!$P1034</f>
        <v>#REF!</v>
      </c>
      <c r="Z85" s="113" t="n">
        <f aca="false" ca="false" dt2D="false" dtr="false" t="normal">SUM(AA85:AO85)</f>
        <v>73977525.39514697</v>
      </c>
      <c r="AA85" s="106" t="n">
        <v>7175917.27381074</v>
      </c>
      <c r="AB85" s="106" t="n">
        <v>4150029.1384713</v>
      </c>
      <c r="AC85" s="106" t="n"/>
      <c r="AD85" s="106" t="n">
        <v>3345039.45066396</v>
      </c>
      <c r="AE85" s="106" t="n">
        <v>1336274.7838902</v>
      </c>
      <c r="AF85" s="106" t="n"/>
      <c r="AG85" s="106" t="n">
        <v>356569.4395326</v>
      </c>
      <c r="AH85" s="106" t="n">
        <v>0</v>
      </c>
      <c r="AI85" s="106" t="n">
        <v>12774225.3135714</v>
      </c>
      <c r="AJ85" s="106" t="n">
        <v>0</v>
      </c>
      <c r="AK85" s="106" t="n">
        <v>24801230.9029355</v>
      </c>
      <c r="AL85" s="106" t="n">
        <v>9754006.0220001</v>
      </c>
      <c r="AM85" s="106" t="n">
        <v>8011813.2759</v>
      </c>
      <c r="AN85" s="114" t="n">
        <v>783644.1347</v>
      </c>
      <c r="AO85" s="115" t="n">
        <v>1488775.65967116</v>
      </c>
      <c r="AP85" s="112" t="n">
        <f aca="false" ca="false" dt2D="false" dtr="false" t="normal">+N85-'Приложение №2'!E85</f>
        <v>0</v>
      </c>
      <c r="AQ85" s="1" t="n">
        <f aca="false" ca="false" dt2D="false" dtr="false" t="normal">2064874.72-682951.44</f>
        <v>1381923.28</v>
      </c>
      <c r="AR85" s="3" t="n">
        <f aca="false" ca="false" dt2D="false" dtr="false" t="normal">+(K85*10+L85*20)*12*0.85</f>
        <v>444801.6</v>
      </c>
      <c r="AS85" s="3" t="n">
        <f aca="false" ca="false" dt2D="false" dtr="false" t="normal">+(K85*10+L85*20)*12*30-4953727.17</f>
        <v>10745152.83</v>
      </c>
      <c r="AT85" s="9" t="n">
        <f aca="false" ca="false" dt2D="false" dtr="false" t="normal">+S85-AS85</f>
        <v>-7096001.23709991</v>
      </c>
      <c r="AW85" s="113" t="n">
        <f aca="false" ca="true" dt2D="false" dtr="false" t="normal">SUBTOTAL(9, AX85:BL85)</f>
        <v>6961640.1664999</v>
      </c>
      <c r="AX85" s="106" t="n"/>
      <c r="AY85" s="106" t="n"/>
      <c r="AZ85" s="106" t="n"/>
      <c r="BA85" s="106" t="n"/>
      <c r="BB85" s="106" t="n"/>
      <c r="BC85" s="106" t="n"/>
      <c r="BD85" s="106" t="n"/>
      <c r="BE85" s="106" t="n">
        <v>0</v>
      </c>
      <c r="BF85" s="106" t="n"/>
      <c r="BG85" s="106" t="n">
        <v>0</v>
      </c>
      <c r="BH85" s="106" t="n"/>
      <c r="BI85" s="106" t="n">
        <v>6748339.81</v>
      </c>
      <c r="BJ85" s="106" t="n"/>
      <c r="BK85" s="114" t="n"/>
      <c r="BL85" s="115" t="n">
        <v>213300.3564999</v>
      </c>
      <c r="BM85" s="14" t="n">
        <f aca="false" ca="true" dt2D="false" dtr="false" t="normal">SUBTOTAL(9, BN85:CB85)</f>
        <v>6961640.1664999</v>
      </c>
      <c r="BN85" s="106" t="n"/>
      <c r="BO85" s="106" t="n"/>
      <c r="BP85" s="106" t="n"/>
      <c r="BQ85" s="106" t="n"/>
      <c r="BR85" s="106" t="n"/>
      <c r="BS85" s="106" t="n"/>
      <c r="BT85" s="106" t="n"/>
      <c r="BU85" s="106" t="n">
        <v>0</v>
      </c>
      <c r="BV85" s="106" t="n"/>
      <c r="BW85" s="106" t="n">
        <v>0</v>
      </c>
      <c r="BX85" s="106" t="n"/>
      <c r="BY85" s="106" t="n">
        <v>6748339.81</v>
      </c>
      <c r="BZ85" s="106" t="n"/>
      <c r="CA85" s="114" t="n"/>
      <c r="CB85" s="115" t="n">
        <v>213300.3564999</v>
      </c>
      <c r="CD85" s="116" t="n">
        <f aca="false" ca="false" dt2D="false" dtr="false" t="normal">+CD84+1</f>
        <v>68</v>
      </c>
      <c r="CE85" s="117" t="n">
        <f aca="false" ca="false" dt2D="false" dtr="false" t="normal">+CE84+1</f>
        <v>68</v>
      </c>
      <c r="CF85" s="104" t="s">
        <v>111</v>
      </c>
      <c r="CG85" s="104" t="s">
        <v>145</v>
      </c>
      <c r="CH85" s="118" t="n">
        <f aca="false" ca="true" dt2D="false" dtr="false" t="normal">SUBTOTAL(9, CI85:CW85)</f>
        <v>6961640.1664999</v>
      </c>
      <c r="CI85" s="106" t="n"/>
      <c r="CJ85" s="106" t="n"/>
      <c r="CK85" s="106" t="n"/>
      <c r="CL85" s="106" t="n"/>
      <c r="CM85" s="106" t="n"/>
      <c r="CN85" s="106" t="n"/>
      <c r="CO85" s="106" t="n"/>
      <c r="CP85" s="106" t="n">
        <v>0</v>
      </c>
      <c r="CQ85" s="106" t="n"/>
      <c r="CR85" s="106" t="n">
        <v>0</v>
      </c>
      <c r="CS85" s="106" t="n"/>
      <c r="CT85" s="106" t="n">
        <v>6748339.81</v>
      </c>
      <c r="CU85" s="106" t="n"/>
      <c r="CV85" s="114" t="n"/>
      <c r="CW85" s="115" t="n">
        <v>213300.3564999</v>
      </c>
      <c r="CZ85" s="104" t="s">
        <v>145</v>
      </c>
      <c r="DA85" s="119" t="n">
        <f aca="false" ca="true" dt2D="false" dtr="false" t="normal">SUBTOTAL(9, DB85:DP85)</f>
        <v>6811683.42</v>
      </c>
      <c r="DB85" s="106" t="n"/>
      <c r="DC85" s="106" t="n"/>
      <c r="DD85" s="106" t="n"/>
      <c r="DE85" s="106" t="n"/>
      <c r="DF85" s="106" t="n"/>
      <c r="DG85" s="106" t="n"/>
      <c r="DH85" s="106" t="n"/>
      <c r="DI85" s="106" t="n">
        <v>0</v>
      </c>
      <c r="DJ85" s="106" t="n"/>
      <c r="DK85" s="106" t="n">
        <v>0</v>
      </c>
      <c r="DL85" s="106" t="n"/>
      <c r="DM85" s="106" t="n">
        <v>6748339.81</v>
      </c>
      <c r="DN85" s="106" t="n"/>
      <c r="DO85" s="114" t="n"/>
      <c r="DP85" s="120" t="n">
        <v>63343.61</v>
      </c>
      <c r="DQ85" s="3" t="n">
        <f aca="false" ca="false" dt2D="false" dtr="false" t="normal">N85-DA85</f>
        <v>0</v>
      </c>
      <c r="DS85" s="9" t="n"/>
    </row>
    <row hidden="false" ht="15" outlineLevel="0" r="86">
      <c r="A86" s="103" t="n">
        <f aca="false" ca="false" dt2D="false" dtr="false" t="normal">+A85+1</f>
        <v>69</v>
      </c>
      <c r="B86" s="104" t="n">
        <f aca="false" ca="false" dt2D="false" dtr="false" t="normal">+B85+1</f>
        <v>69</v>
      </c>
      <c r="C86" s="104" t="s">
        <v>111</v>
      </c>
      <c r="D86" s="104" t="s">
        <v>146</v>
      </c>
      <c r="E86" s="105" t="n">
        <v>1981</v>
      </c>
      <c r="F86" s="105" t="n">
        <v>2009</v>
      </c>
      <c r="G86" s="105" t="s">
        <v>68</v>
      </c>
      <c r="H86" s="105" t="n">
        <v>5</v>
      </c>
      <c r="I86" s="105" t="n">
        <v>4</v>
      </c>
      <c r="J86" s="106" t="n">
        <v>6938.7</v>
      </c>
      <c r="K86" s="106" t="n">
        <v>6182.6</v>
      </c>
      <c r="L86" s="106" t="n">
        <v>0</v>
      </c>
      <c r="M86" s="107" t="n">
        <v>194</v>
      </c>
      <c r="N86" s="108" t="n">
        <f aca="false" ca="false" dt2D="false" dtr="false" t="normal">SUM(P86:T86)</f>
        <v>31028207.49</v>
      </c>
      <c r="O86" s="106" t="n"/>
      <c r="P86" s="106" t="n">
        <v>2786108.66</v>
      </c>
      <c r="Q86" s="114" t="n"/>
      <c r="R86" s="114" t="n">
        <v>2179383.78</v>
      </c>
      <c r="S86" s="114" t="n">
        <v>16449520.2167738</v>
      </c>
      <c r="T86" s="106" t="n">
        <v>9613194.8332262</v>
      </c>
      <c r="U86" s="114" t="n">
        <v>5081.87407834468</v>
      </c>
      <c r="V86" s="114" t="n">
        <v>5081.87407834468</v>
      </c>
      <c r="W86" s="110" t="n">
        <v>2022</v>
      </c>
      <c r="X86" s="9" t="e">
        <f aca="false" ca="false" dt2D="false" dtr="false" t="normal">+#REF!-'[9]Приложение №1'!$P1035</f>
        <v>#REF!</v>
      </c>
      <c r="Z86" s="113" t="n">
        <f aca="false" ca="false" dt2D="false" dtr="false" t="normal">SUM(AA86:AO86)</f>
        <v>112490116.45000003</v>
      </c>
      <c r="AA86" s="106" t="n">
        <v>10300846.1912374</v>
      </c>
      <c r="AB86" s="106" t="n">
        <v>5957260.96166124</v>
      </c>
      <c r="AC86" s="106" t="n">
        <v>6297265.91769912</v>
      </c>
      <c r="AD86" s="106" t="n">
        <v>4801718.79918612</v>
      </c>
      <c r="AE86" s="106" t="n">
        <v>1918188.36602316</v>
      </c>
      <c r="AF86" s="106" t="n"/>
      <c r="AG86" s="106" t="n">
        <v>511846.3343322</v>
      </c>
      <c r="AH86" s="106" t="n">
        <v>0</v>
      </c>
      <c r="AI86" s="106" t="n">
        <v>18337074.5641356</v>
      </c>
      <c r="AJ86" s="106" t="n">
        <v>0</v>
      </c>
      <c r="AK86" s="106" t="n">
        <v>35601534.2757829</v>
      </c>
      <c r="AL86" s="106" t="n">
        <v>14001626.8190547</v>
      </c>
      <c r="AM86" s="106" t="n">
        <v>11500753.5758</v>
      </c>
      <c r="AN86" s="114" t="n">
        <v>1124901.1645</v>
      </c>
      <c r="AO86" s="115" t="n">
        <v>2137099.48058758</v>
      </c>
      <c r="AP86" s="112" t="n">
        <f aca="false" ca="false" dt2D="false" dtr="false" t="normal">+N86-'Приложение №2'!E86</f>
        <v>0</v>
      </c>
      <c r="AQ86" s="1" t="n">
        <f aca="false" ca="false" dt2D="false" dtr="false" t="normal">2933225.6-137130.98</f>
        <v>2796094.62</v>
      </c>
      <c r="AR86" s="3" t="n">
        <f aca="false" ca="false" dt2D="false" dtr="false" t="normal">+(K86*10+L86*20)*12*0.85</f>
        <v>630625.2</v>
      </c>
      <c r="AS86" s="3" t="n">
        <f aca="false" ca="false" dt2D="false" dtr="false" t="normal">+(K86*10+L86*20)*12*30</f>
        <v>22257360</v>
      </c>
      <c r="AT86" s="9" t="n">
        <f aca="false" ca="false" dt2D="false" dtr="false" t="normal">+S86-AS86</f>
        <v>-5807839.783226199</v>
      </c>
      <c r="AW86" s="113" t="n">
        <f aca="false" ca="true" dt2D="false" dtr="false" t="normal">SUBTOTAL(9, AX86:BL86)</f>
        <v>31419194.6767738</v>
      </c>
      <c r="AX86" s="106" t="n">
        <v>9954639.86</v>
      </c>
      <c r="AY86" s="106" t="n">
        <v>6212728.62</v>
      </c>
      <c r="AZ86" s="106" t="n"/>
      <c r="BA86" s="106" t="n">
        <v>4876418.04</v>
      </c>
      <c r="BB86" s="106" t="n"/>
      <c r="BC86" s="106" t="n"/>
      <c r="BD86" s="106" t="n"/>
      <c r="BE86" s="106" t="n">
        <v>0</v>
      </c>
      <c r="BF86" s="106" t="n">
        <v>9984420.97</v>
      </c>
      <c r="BG86" s="106" t="n">
        <v>0</v>
      </c>
      <c r="BH86" s="106" t="n"/>
      <c r="BI86" s="106" t="n"/>
      <c r="BJ86" s="106" t="n"/>
      <c r="BK86" s="114" t="n"/>
      <c r="BL86" s="115" t="n">
        <v>390987.1867738</v>
      </c>
      <c r="BM86" s="14" t="n">
        <f aca="false" ca="true" dt2D="false" dtr="false" t="normal">SUBTOTAL(9, BN86:CB86)</f>
        <v>31419194.6767738</v>
      </c>
      <c r="BN86" s="106" t="n">
        <v>9954639.86</v>
      </c>
      <c r="BO86" s="106" t="n">
        <v>6212728.62</v>
      </c>
      <c r="BP86" s="106" t="n"/>
      <c r="BQ86" s="106" t="n">
        <v>4876418.04</v>
      </c>
      <c r="BR86" s="106" t="n"/>
      <c r="BS86" s="106" t="n"/>
      <c r="BT86" s="106" t="n"/>
      <c r="BU86" s="106" t="n">
        <v>0</v>
      </c>
      <c r="BV86" s="106" t="n">
        <v>9984420.97</v>
      </c>
      <c r="BW86" s="106" t="n">
        <v>0</v>
      </c>
      <c r="BX86" s="106" t="n"/>
      <c r="BY86" s="106" t="n"/>
      <c r="BZ86" s="106" t="n"/>
      <c r="CA86" s="114" t="n"/>
      <c r="CB86" s="115" t="n">
        <v>390987.1867738</v>
      </c>
      <c r="CD86" s="116" t="n">
        <f aca="false" ca="false" dt2D="false" dtr="false" t="normal">+CD85+1</f>
        <v>69</v>
      </c>
      <c r="CE86" s="117" t="n">
        <f aca="false" ca="false" dt2D="false" dtr="false" t="normal">+CE85+1</f>
        <v>69</v>
      </c>
      <c r="CF86" s="104" t="s">
        <v>111</v>
      </c>
      <c r="CG86" s="104" t="s">
        <v>146</v>
      </c>
      <c r="CH86" s="118" t="n">
        <f aca="false" ca="true" dt2D="false" dtr="false" t="normal">SUBTOTAL(9, CI86:CW86)</f>
        <v>31419194.6767738</v>
      </c>
      <c r="CI86" s="106" t="n">
        <v>9954639.86</v>
      </c>
      <c r="CJ86" s="106" t="n">
        <v>6212728.62</v>
      </c>
      <c r="CK86" s="106" t="n"/>
      <c r="CL86" s="106" t="n">
        <v>4876418.04</v>
      </c>
      <c r="CM86" s="106" t="n"/>
      <c r="CN86" s="106" t="n"/>
      <c r="CO86" s="106" t="n"/>
      <c r="CP86" s="106" t="n">
        <v>0</v>
      </c>
      <c r="CQ86" s="106" t="n">
        <v>9984420.97</v>
      </c>
      <c r="CR86" s="106" t="n">
        <v>0</v>
      </c>
      <c r="CS86" s="106" t="n"/>
      <c r="CT86" s="106" t="n"/>
      <c r="CU86" s="106" t="n"/>
      <c r="CV86" s="114" t="n"/>
      <c r="CW86" s="115" t="n">
        <v>390987.1867738</v>
      </c>
      <c r="CZ86" s="104" t="s">
        <v>146</v>
      </c>
      <c r="DA86" s="119" t="n">
        <f aca="false" ca="true" dt2D="false" dtr="false" t="normal">SUBTOTAL(9, DB86:DP86)</f>
        <v>31028207.490000002</v>
      </c>
      <c r="DB86" s="106" t="n">
        <v>9954639.86</v>
      </c>
      <c r="DC86" s="106" t="n">
        <v>6212728.62</v>
      </c>
      <c r="DD86" s="106" t="n"/>
      <c r="DE86" s="106" t="n">
        <v>4876418.04</v>
      </c>
      <c r="DF86" s="106" t="n"/>
      <c r="DG86" s="106" t="n"/>
      <c r="DH86" s="106" t="n"/>
      <c r="DI86" s="106" t="n">
        <v>0</v>
      </c>
      <c r="DJ86" s="106" t="n">
        <v>9984420.97</v>
      </c>
      <c r="DK86" s="106" t="n">
        <v>0</v>
      </c>
      <c r="DL86" s="106" t="n"/>
      <c r="DM86" s="106" t="n"/>
      <c r="DN86" s="106" t="n"/>
      <c r="DO86" s="114" t="n"/>
      <c r="DP86" s="122" t="n"/>
      <c r="DQ86" s="3" t="n">
        <f aca="false" ca="false" dt2D="false" dtr="false" t="normal">N86-DA86</f>
        <v>0</v>
      </c>
      <c r="DS86" s="9" t="n"/>
    </row>
    <row customFormat="true" hidden="false" ht="15" outlineLevel="0" r="87" s="129">
      <c r="A87" s="103" t="n">
        <f aca="false" ca="false" dt2D="false" dtr="false" t="normal">+A86+1</f>
        <v>70</v>
      </c>
      <c r="B87" s="104" t="n">
        <f aca="false" ca="false" dt2D="false" dtr="false" t="normal">+B86+1</f>
        <v>70</v>
      </c>
      <c r="C87" s="104" t="s">
        <v>111</v>
      </c>
      <c r="D87" s="104" t="s">
        <v>147</v>
      </c>
      <c r="E87" s="105" t="s">
        <v>125</v>
      </c>
      <c r="F87" s="105" t="n"/>
      <c r="G87" s="105" t="s">
        <v>68</v>
      </c>
      <c r="H87" s="105" t="s">
        <v>126</v>
      </c>
      <c r="I87" s="105" t="s">
        <v>148</v>
      </c>
      <c r="J87" s="106" t="n">
        <v>8385.68</v>
      </c>
      <c r="K87" s="106" t="n">
        <v>7039.3</v>
      </c>
      <c r="L87" s="106" t="n">
        <v>0</v>
      </c>
      <c r="M87" s="107" t="n">
        <v>255</v>
      </c>
      <c r="N87" s="108" t="n">
        <f aca="false" ca="false" dt2D="false" dtr="false" t="normal">SUM(P87:T87)</f>
        <v>8794774.9253161</v>
      </c>
      <c r="O87" s="106" t="n">
        <v>0</v>
      </c>
      <c r="P87" s="114" t="n"/>
      <c r="Q87" s="114" t="n">
        <v>0</v>
      </c>
      <c r="R87" s="114" t="n">
        <v>5101944.1894</v>
      </c>
      <c r="S87" s="114" t="n">
        <v>3692830.7359161</v>
      </c>
      <c r="T87" s="106" t="n"/>
      <c r="U87" s="114" t="n">
        <v>1281.56972116579</v>
      </c>
      <c r="V87" s="114" t="n">
        <v>1172.283020064</v>
      </c>
      <c r="W87" s="110" t="n">
        <v>2022</v>
      </c>
      <c r="X87" s="129" t="n">
        <v>3214815.68</v>
      </c>
      <c r="Y87" s="129" t="n">
        <f aca="false" ca="false" dt2D="false" dtr="false" t="normal">+(K87*12.08+L87*20.47)*12</f>
        <v>1020416.9280000001</v>
      </c>
      <c r="AA87" s="130" t="e">
        <f aca="false" ca="false" dt2D="false" dtr="false" t="normal">+N87-'[8]Приложение № 2'!E82</f>
        <v>#REF!</v>
      </c>
      <c r="AD87" s="130" t="e">
        <f aca="false" ca="false" dt2D="false" dtr="false" t="normal">+N87-'[8]Приложение № 2'!E82</f>
        <v>#REF!</v>
      </c>
      <c r="AP87" s="112" t="n">
        <f aca="false" ca="false" dt2D="false" dtr="false" t="normal">+N87-'Приложение №2'!E87</f>
        <v>0</v>
      </c>
      <c r="AQ87" s="129" t="n">
        <v>4147710.76</v>
      </c>
      <c r="AR87" s="3" t="n">
        <f aca="false" ca="false" dt2D="false" dtr="false" t="normal">+(K87*13.29+L87*22.52)*12*0.85</f>
        <v>954233.4293999998</v>
      </c>
      <c r="AS87" s="3" t="n">
        <f aca="false" ca="false" dt2D="false" dtr="false" t="normal">+(K87*13.29+L87*22.52)*12*30</f>
        <v>33678826.919999994</v>
      </c>
      <c r="AT87" s="9" t="n">
        <f aca="false" ca="false" dt2D="false" dtr="false" t="normal">+S87-AS87</f>
        <v>-29985996.184083894</v>
      </c>
      <c r="AW87" s="113" t="n">
        <f aca="false" ca="true" dt2D="false" dtr="false" t="normal">SUBTOTAL(9, AX87:BL87)</f>
        <v>9021353.738202332</v>
      </c>
      <c r="AX87" s="113" t="n"/>
      <c r="AY87" s="113" t="n"/>
      <c r="AZ87" s="113" t="n"/>
      <c r="BA87" s="113" t="n"/>
      <c r="BB87" s="113" t="n"/>
      <c r="BC87" s="113" t="n"/>
      <c r="BD87" s="113" t="n"/>
      <c r="BE87" s="113" t="n">
        <v>8608489.92</v>
      </c>
      <c r="BF87" s="113" t="n"/>
      <c r="BG87" s="113" t="n"/>
      <c r="BH87" s="113" t="n"/>
      <c r="BI87" s="113" t="n"/>
      <c r="BJ87" s="113" t="n">
        <v>162285.005316096</v>
      </c>
      <c r="BK87" s="113" t="n">
        <v>24000</v>
      </c>
      <c r="BL87" s="113" t="n">
        <v>226578.812886236</v>
      </c>
      <c r="BM87" s="14" t="n">
        <f aca="false" ca="true" dt2D="false" dtr="false" t="normal">SUBTOTAL(9, BN87:CB87)</f>
        <v>9021353.738202332</v>
      </c>
      <c r="BN87" s="113" t="n"/>
      <c r="BO87" s="113" t="n"/>
      <c r="BP87" s="113" t="n"/>
      <c r="BQ87" s="113" t="n"/>
      <c r="BR87" s="113" t="n"/>
      <c r="BS87" s="113" t="n"/>
      <c r="BT87" s="113" t="n"/>
      <c r="BU87" s="113" t="n">
        <v>8608489.92</v>
      </c>
      <c r="BV87" s="113" t="n"/>
      <c r="BW87" s="113" t="n"/>
      <c r="BX87" s="113" t="n"/>
      <c r="BY87" s="113" t="n"/>
      <c r="BZ87" s="113" t="n">
        <v>162285.005316096</v>
      </c>
      <c r="CA87" s="113" t="n">
        <v>24000</v>
      </c>
      <c r="CB87" s="113" t="n">
        <v>226578.812886236</v>
      </c>
      <c r="CD87" s="116" t="n">
        <f aca="false" ca="false" dt2D="false" dtr="false" t="normal">+CD86+1</f>
        <v>70</v>
      </c>
      <c r="CE87" s="117" t="n">
        <f aca="false" ca="false" dt2D="false" dtr="false" t="normal">+CE86+1</f>
        <v>70</v>
      </c>
      <c r="CF87" s="104" t="s">
        <v>111</v>
      </c>
      <c r="CG87" s="104" t="s">
        <v>147</v>
      </c>
      <c r="CH87" s="118" t="n">
        <f aca="false" ca="true" dt2D="false" dtr="false" t="normal">SUBTOTAL(9, CI87:CW87)</f>
        <v>9021353.738202332</v>
      </c>
      <c r="CI87" s="113" t="n"/>
      <c r="CJ87" s="113" t="n"/>
      <c r="CK87" s="113" t="n"/>
      <c r="CL87" s="113" t="n"/>
      <c r="CM87" s="113" t="n"/>
      <c r="CN87" s="113" t="n"/>
      <c r="CO87" s="113" t="n"/>
      <c r="CP87" s="113" t="n">
        <v>8608489.92</v>
      </c>
      <c r="CQ87" s="113" t="n"/>
      <c r="CR87" s="113" t="n"/>
      <c r="CS87" s="113" t="n"/>
      <c r="CT87" s="113" t="n"/>
      <c r="CU87" s="113" t="n">
        <v>162285.005316096</v>
      </c>
      <c r="CV87" s="113" t="n">
        <v>24000</v>
      </c>
      <c r="CW87" s="113" t="n">
        <v>226578.812886236</v>
      </c>
      <c r="CZ87" s="104" t="s">
        <v>147</v>
      </c>
      <c r="DA87" s="119" t="n">
        <f aca="false" ca="true" dt2D="false" dtr="false" t="normal">SUBTOTAL(9, DB87:DP87)</f>
        <v>8794774.925316095</v>
      </c>
      <c r="DB87" s="113" t="n"/>
      <c r="DC87" s="113" t="n"/>
      <c r="DD87" s="113" t="n"/>
      <c r="DE87" s="113" t="n"/>
      <c r="DF87" s="113" t="n"/>
      <c r="DG87" s="113" t="n"/>
      <c r="DH87" s="113" t="n"/>
      <c r="DI87" s="113" t="n">
        <v>8608489.92</v>
      </c>
      <c r="DJ87" s="113" t="n"/>
      <c r="DK87" s="113" t="n"/>
      <c r="DL87" s="113" t="n"/>
      <c r="DM87" s="113" t="n"/>
      <c r="DN87" s="113" t="n">
        <v>162285.005316096</v>
      </c>
      <c r="DO87" s="113" t="n">
        <v>24000</v>
      </c>
      <c r="DP87" s="131" t="n"/>
      <c r="DQ87" s="3" t="n">
        <f aca="false" ca="false" dt2D="false" dtr="false" t="normal">N87-DA87</f>
        <v>0</v>
      </c>
      <c r="DS87" s="9" t="n"/>
    </row>
    <row hidden="false" ht="15" outlineLevel="0" r="88">
      <c r="A88" s="103" t="n">
        <f aca="false" ca="false" dt2D="false" dtr="false" t="normal">+A87+1</f>
        <v>71</v>
      </c>
      <c r="B88" s="104" t="n">
        <f aca="false" ca="false" dt2D="false" dtr="false" t="normal">+B87+1</f>
        <v>71</v>
      </c>
      <c r="C88" s="104" t="s">
        <v>111</v>
      </c>
      <c r="D88" s="104" t="s">
        <v>149</v>
      </c>
      <c r="E88" s="105" t="n">
        <v>1990</v>
      </c>
      <c r="F88" s="105" t="n">
        <v>2005</v>
      </c>
      <c r="G88" s="105" t="s">
        <v>68</v>
      </c>
      <c r="H88" s="105" t="n">
        <v>5</v>
      </c>
      <c r="I88" s="105" t="n">
        <v>4</v>
      </c>
      <c r="J88" s="106" t="n">
        <v>4982</v>
      </c>
      <c r="K88" s="106" t="n">
        <v>4404.6</v>
      </c>
      <c r="L88" s="106" t="n">
        <v>0</v>
      </c>
      <c r="M88" s="107" t="n">
        <v>212</v>
      </c>
      <c r="N88" s="108" t="n">
        <f aca="false" ca="false" dt2D="false" dtr="false" t="normal">SUM(P88:T88)</f>
        <v>28792487.709999997</v>
      </c>
      <c r="O88" s="106" t="n"/>
      <c r="P88" s="114" t="n">
        <v>8060872.43</v>
      </c>
      <c r="Q88" s="114" t="n"/>
      <c r="R88" s="114" t="n">
        <v>2550477</v>
      </c>
      <c r="S88" s="114" t="n">
        <v>16238030.8016122</v>
      </c>
      <c r="T88" s="106" t="n">
        <v>1943107.4783878</v>
      </c>
      <c r="U88" s="114" t="n">
        <v>6693.40369423152</v>
      </c>
      <c r="V88" s="114" t="n">
        <v>6693.40369423152</v>
      </c>
      <c r="W88" s="110" t="n">
        <v>2022</v>
      </c>
      <c r="X88" s="9" t="e">
        <f aca="false" ca="false" dt2D="false" dtr="false" t="normal">+#REF!-'[9]Приложение №1'!$P1043</f>
        <v>#REF!</v>
      </c>
      <c r="Z88" s="113" t="n">
        <f aca="false" ca="false" dt2D="false" dtr="false" t="normal">SUM(AA88:AO88)</f>
        <v>49032236.019999966</v>
      </c>
      <c r="AA88" s="106" t="n">
        <v>0</v>
      </c>
      <c r="AB88" s="106" t="n">
        <v>0</v>
      </c>
      <c r="AC88" s="106" t="n">
        <v>4479661.52881296</v>
      </c>
      <c r="AD88" s="106" t="n">
        <v>0</v>
      </c>
      <c r="AE88" s="106" t="n">
        <v>0</v>
      </c>
      <c r="AF88" s="106" t="n"/>
      <c r="AG88" s="106" t="n">
        <v>0</v>
      </c>
      <c r="AH88" s="106" t="n">
        <v>0</v>
      </c>
      <c r="AI88" s="106" t="n">
        <v>13044373.2933948</v>
      </c>
      <c r="AJ88" s="106" t="n">
        <v>0</v>
      </c>
      <c r="AK88" s="106" t="n">
        <v>25325724.749393</v>
      </c>
      <c r="AL88" s="106" t="n">
        <v>0</v>
      </c>
      <c r="AM88" s="106" t="n">
        <v>4755116.6318</v>
      </c>
      <c r="AN88" s="114" t="n">
        <v>490322.3602</v>
      </c>
      <c r="AO88" s="115" t="n">
        <v>937037.4563992</v>
      </c>
      <c r="AP88" s="112" t="n">
        <f aca="false" ca="false" dt2D="false" dtr="false" t="normal">+N88-'Приложение №2'!E88</f>
        <v>0</v>
      </c>
      <c r="AQ88" s="1" t="n">
        <f aca="false" ca="false" dt2D="false" dtr="false" t="normal">2210839.58-109631.78</f>
        <v>2101207.8000000003</v>
      </c>
      <c r="AR88" s="3" t="n">
        <f aca="false" ca="false" dt2D="false" dtr="false" t="normal">+(K88*10+L88*20)*12*0.85</f>
        <v>449269.2</v>
      </c>
      <c r="AS88" s="3" t="n">
        <f aca="false" ca="false" dt2D="false" dtr="false" t="normal">+(K88*10+L88*20)*12*30-126359.21</f>
        <v>15730200.79</v>
      </c>
      <c r="AT88" s="9" t="n">
        <f aca="false" ca="false" dt2D="false" dtr="false" t="normal">+S88-AS88</f>
        <v>507830.0116122011</v>
      </c>
      <c r="AW88" s="113" t="n">
        <f aca="false" ca="true" dt2D="false" dtr="false" t="normal">SUBTOTAL(9, AX88:BL88)</f>
        <v>29481765.911612157</v>
      </c>
      <c r="AX88" s="106" t="n">
        <v>0</v>
      </c>
      <c r="AY88" s="106" t="n">
        <v>0</v>
      </c>
      <c r="AZ88" s="106" t="n"/>
      <c r="BA88" s="106" t="n">
        <v>0</v>
      </c>
      <c r="BB88" s="106" t="n">
        <v>0</v>
      </c>
      <c r="BC88" s="106" t="n"/>
      <c r="BD88" s="106" t="n"/>
      <c r="BE88" s="106" t="n">
        <v>0</v>
      </c>
      <c r="BF88" s="106" t="n">
        <v>12527051.33</v>
      </c>
      <c r="BG88" s="106" t="n">
        <v>0</v>
      </c>
      <c r="BH88" s="106" t="n">
        <v>16115638.25</v>
      </c>
      <c r="BI88" s="106" t="n">
        <v>0</v>
      </c>
      <c r="BJ88" s="106" t="n"/>
      <c r="BK88" s="114" t="n"/>
      <c r="BL88" s="115" t="n">
        <v>839076.33161216</v>
      </c>
      <c r="BM88" s="14" t="n">
        <f aca="false" ca="true" dt2D="false" dtr="false" t="normal">SUBTOTAL(9, BN88:CB88)</f>
        <v>29481765.911612157</v>
      </c>
      <c r="BN88" s="106" t="n">
        <v>0</v>
      </c>
      <c r="BO88" s="106" t="n">
        <v>0</v>
      </c>
      <c r="BP88" s="106" t="n"/>
      <c r="BQ88" s="106" t="n">
        <v>0</v>
      </c>
      <c r="BR88" s="106" t="n">
        <v>0</v>
      </c>
      <c r="BS88" s="106" t="n"/>
      <c r="BT88" s="106" t="n"/>
      <c r="BU88" s="106" t="n">
        <v>0</v>
      </c>
      <c r="BV88" s="106" t="n">
        <v>12527051.33</v>
      </c>
      <c r="BW88" s="106" t="n">
        <v>0</v>
      </c>
      <c r="BX88" s="106" t="n">
        <v>16115638.25</v>
      </c>
      <c r="BY88" s="106" t="n">
        <v>0</v>
      </c>
      <c r="BZ88" s="106" t="n"/>
      <c r="CA88" s="114" t="n"/>
      <c r="CB88" s="115" t="n">
        <v>839076.33161216</v>
      </c>
      <c r="CD88" s="116" t="n">
        <f aca="false" ca="false" dt2D="false" dtr="false" t="normal">+CD87+1</f>
        <v>71</v>
      </c>
      <c r="CE88" s="117" t="n">
        <f aca="false" ca="false" dt2D="false" dtr="false" t="normal">+CE87+1</f>
        <v>71</v>
      </c>
      <c r="CF88" s="104" t="s">
        <v>111</v>
      </c>
      <c r="CG88" s="104" t="s">
        <v>149</v>
      </c>
      <c r="CH88" s="118" t="n">
        <f aca="false" ca="true" dt2D="false" dtr="false" t="normal">SUBTOTAL(9, CI88:CW88)</f>
        <v>29481765.911612157</v>
      </c>
      <c r="CI88" s="106" t="n">
        <v>0</v>
      </c>
      <c r="CJ88" s="106" t="n">
        <v>0</v>
      </c>
      <c r="CK88" s="106" t="n"/>
      <c r="CL88" s="106" t="n">
        <v>0</v>
      </c>
      <c r="CM88" s="106" t="n">
        <v>0</v>
      </c>
      <c r="CN88" s="106" t="n"/>
      <c r="CO88" s="106" t="n"/>
      <c r="CP88" s="106" t="n">
        <v>0</v>
      </c>
      <c r="CQ88" s="106" t="n">
        <v>12527051.33</v>
      </c>
      <c r="CR88" s="106" t="n">
        <v>0</v>
      </c>
      <c r="CS88" s="106" t="n">
        <v>16115638.25</v>
      </c>
      <c r="CT88" s="106" t="n">
        <v>0</v>
      </c>
      <c r="CU88" s="106" t="n"/>
      <c r="CV88" s="114" t="n"/>
      <c r="CW88" s="115" t="n">
        <v>839076.33161216</v>
      </c>
      <c r="CZ88" s="104" t="s">
        <v>149</v>
      </c>
      <c r="DA88" s="119" t="n">
        <f aca="false" ca="true" dt2D="false" dtr="false" t="normal">SUBTOTAL(9, DB88:DP88)</f>
        <v>28792487.709999997</v>
      </c>
      <c r="DB88" s="106" t="n">
        <v>0</v>
      </c>
      <c r="DC88" s="106" t="n">
        <v>0</v>
      </c>
      <c r="DD88" s="106" t="n"/>
      <c r="DE88" s="106" t="n">
        <v>0</v>
      </c>
      <c r="DF88" s="106" t="n">
        <v>0</v>
      </c>
      <c r="DG88" s="106" t="n"/>
      <c r="DH88" s="106" t="n"/>
      <c r="DI88" s="106" t="n">
        <v>0</v>
      </c>
      <c r="DJ88" s="106" t="n">
        <v>12527051.33</v>
      </c>
      <c r="DK88" s="106" t="n">
        <v>0</v>
      </c>
      <c r="DL88" s="106" t="n">
        <v>16115638.25</v>
      </c>
      <c r="DM88" s="106" t="n">
        <v>0</v>
      </c>
      <c r="DN88" s="106" t="n"/>
      <c r="DO88" s="114" t="n"/>
      <c r="DP88" s="120" t="n">
        <f aca="false" ca="false" dt2D="false" dtr="false" t="normal">149798.13</f>
        <v>149798.13</v>
      </c>
      <c r="DQ88" s="3" t="n">
        <f aca="false" ca="false" dt2D="false" dtr="false" t="normal">N88-DA88</f>
        <v>0</v>
      </c>
      <c r="DS88" s="9" t="n"/>
    </row>
    <row hidden="false" ht="15" outlineLevel="0" r="89">
      <c r="A89" s="103" t="n">
        <f aca="false" ca="false" dt2D="false" dtr="false" t="normal">+A88+1</f>
        <v>72</v>
      </c>
      <c r="B89" s="104" t="n">
        <f aca="false" ca="false" dt2D="false" dtr="false" t="normal">+B88+1</f>
        <v>72</v>
      </c>
      <c r="C89" s="104" t="s">
        <v>111</v>
      </c>
      <c r="D89" s="104" t="s">
        <v>150</v>
      </c>
      <c r="E89" s="105" t="n">
        <v>1970</v>
      </c>
      <c r="F89" s="105" t="n">
        <v>2013</v>
      </c>
      <c r="G89" s="105" t="s">
        <v>68</v>
      </c>
      <c r="H89" s="105" t="n">
        <v>5</v>
      </c>
      <c r="I89" s="105" t="n">
        <v>4</v>
      </c>
      <c r="J89" s="106" t="n">
        <v>3068</v>
      </c>
      <c r="K89" s="106" t="n">
        <v>2483.8</v>
      </c>
      <c r="L89" s="106" t="n">
        <v>584.2</v>
      </c>
      <c r="M89" s="107" t="n">
        <v>142</v>
      </c>
      <c r="N89" s="108" t="n">
        <f aca="false" ca="false" dt2D="false" dtr="false" t="normal">SUM(P89:T89)</f>
        <v>1066659.0699999998</v>
      </c>
      <c r="O89" s="106" t="n"/>
      <c r="P89" s="114" t="n"/>
      <c r="Q89" s="114" t="n"/>
      <c r="R89" s="114" t="n">
        <v>138246.74536532</v>
      </c>
      <c r="S89" s="106" t="n">
        <v>928412.32463468</v>
      </c>
      <c r="T89" s="106" t="n"/>
      <c r="U89" s="114" t="n">
        <v>389.5879743694</v>
      </c>
      <c r="V89" s="114" t="n">
        <v>389.5879743694</v>
      </c>
      <c r="W89" s="110" t="n">
        <v>2022</v>
      </c>
      <c r="X89" s="9" t="e">
        <f aca="false" ca="false" dt2D="false" dtr="false" t="normal">+#REF!-'[9]Приложение №1'!$P1441</f>
        <v>#REF!</v>
      </c>
      <c r="Z89" s="113" t="n">
        <f aca="false" ca="false" dt2D="false" dtr="false" t="normal">SUM(AA89:AO89)</f>
        <v>25875618.41</v>
      </c>
      <c r="AA89" s="106" t="n">
        <v>5945419.54417866</v>
      </c>
      <c r="AB89" s="106" t="n">
        <v>2118597.40787478</v>
      </c>
      <c r="AC89" s="106" t="n">
        <v>2213462.88463314</v>
      </c>
      <c r="AD89" s="106" t="n">
        <v>1385767.7235402</v>
      </c>
      <c r="AE89" s="106" t="n">
        <v>0</v>
      </c>
      <c r="AF89" s="106" t="n"/>
      <c r="AG89" s="106" t="n">
        <v>228142.02967668</v>
      </c>
      <c r="AH89" s="106" t="n">
        <v>0</v>
      </c>
      <c r="AI89" s="106" t="n">
        <v>10869131.5409124</v>
      </c>
      <c r="AJ89" s="106" t="n">
        <v>0</v>
      </c>
      <c r="AK89" s="106" t="n">
        <v>0</v>
      </c>
      <c r="AL89" s="106" t="n">
        <v>0</v>
      </c>
      <c r="AM89" s="106" t="n">
        <v>2358614.5958</v>
      </c>
      <c r="AN89" s="114" t="n">
        <v>258756.1841</v>
      </c>
      <c r="AO89" s="115" t="n">
        <v>497726.49928414</v>
      </c>
      <c r="AP89" s="112" t="n">
        <f aca="false" ca="false" dt2D="false" dtr="false" t="normal">+N89-'Приложение №2'!E89</f>
        <v>0</v>
      </c>
      <c r="AQ89" s="1" t="n">
        <v>504168.77</v>
      </c>
      <c r="AR89" s="3" t="n">
        <f aca="false" ca="false" dt2D="false" dtr="false" t="normal">+(K89*10+L89*20)*12*0.85</f>
        <v>372524.39999999997</v>
      </c>
      <c r="AS89" s="3" t="n">
        <f aca="false" ca="false" dt2D="false" dtr="false" t="normal">+(K89*10+L89*20)*12*30</f>
        <v>13147920</v>
      </c>
      <c r="AT89" s="9" t="n">
        <f aca="false" ca="false" dt2D="false" dtr="false" t="normal">+S89-AS89</f>
        <v>-12219507.67536532</v>
      </c>
      <c r="AW89" s="113" t="n">
        <f aca="false" ca="true" dt2D="false" dtr="false" t="normal">SUBTOTAL(9, AX89:BL89)</f>
        <v>1195255.90536532</v>
      </c>
      <c r="AX89" s="106" t="n"/>
      <c r="AZ89" s="106" t="n">
        <v>1057009.16</v>
      </c>
      <c r="BA89" s="106" t="n"/>
      <c r="BB89" s="106" t="n">
        <v>0</v>
      </c>
      <c r="BC89" s="106" t="n"/>
      <c r="BD89" s="106" t="n"/>
      <c r="BE89" s="106" t="n">
        <v>0</v>
      </c>
      <c r="BG89" s="106" t="n">
        <v>0</v>
      </c>
      <c r="BH89" s="106" t="n">
        <v>0</v>
      </c>
      <c r="BI89" s="106" t="n">
        <v>0</v>
      </c>
      <c r="BJ89" s="106" t="n"/>
      <c r="BK89" s="114" t="n"/>
      <c r="BL89" s="115" t="n">
        <v>138246.74536532</v>
      </c>
      <c r="BM89" s="14" t="n">
        <f aca="false" ca="true" dt2D="false" dtr="false" t="normal">SUBTOTAL(9, BN89:CB89)</f>
        <v>1195255.90536532</v>
      </c>
      <c r="BN89" s="106" t="n"/>
      <c r="BP89" s="106" t="n">
        <v>1057009.16</v>
      </c>
      <c r="BQ89" s="106" t="n"/>
      <c r="BR89" s="106" t="n">
        <v>0</v>
      </c>
      <c r="BS89" s="106" t="n"/>
      <c r="BT89" s="106" t="n"/>
      <c r="BU89" s="106" t="n">
        <v>0</v>
      </c>
      <c r="BW89" s="106" t="n">
        <v>0</v>
      </c>
      <c r="BX89" s="106" t="n">
        <v>0</v>
      </c>
      <c r="BY89" s="106" t="n">
        <v>0</v>
      </c>
      <c r="BZ89" s="106" t="n"/>
      <c r="CA89" s="114" t="n"/>
      <c r="CB89" s="115" t="n">
        <v>138246.74536532</v>
      </c>
      <c r="CD89" s="116" t="n">
        <f aca="false" ca="false" dt2D="false" dtr="false" t="normal">+CD88+1</f>
        <v>72</v>
      </c>
      <c r="CE89" s="117" t="n">
        <f aca="false" ca="false" dt2D="false" dtr="false" t="normal">+CE88+1</f>
        <v>72</v>
      </c>
      <c r="CF89" s="104" t="s">
        <v>111</v>
      </c>
      <c r="CG89" s="104" t="s">
        <v>150</v>
      </c>
      <c r="CH89" s="118" t="n">
        <f aca="false" ca="true" dt2D="false" dtr="false" t="normal">SUBTOTAL(9, CI89:CW89)</f>
        <v>1195255.90536532</v>
      </c>
      <c r="CI89" s="106" t="n"/>
      <c r="CK89" s="106" t="n">
        <v>1057009.16</v>
      </c>
      <c r="CL89" s="106" t="n"/>
      <c r="CM89" s="106" t="n">
        <v>0</v>
      </c>
      <c r="CN89" s="106" t="n"/>
      <c r="CO89" s="106" t="n"/>
      <c r="CP89" s="106" t="n">
        <v>0</v>
      </c>
      <c r="CR89" s="106" t="n">
        <v>0</v>
      </c>
      <c r="CS89" s="106" t="n">
        <v>0</v>
      </c>
      <c r="CT89" s="106" t="n">
        <v>0</v>
      </c>
      <c r="CU89" s="106" t="n"/>
      <c r="CV89" s="114" t="n"/>
      <c r="CW89" s="115" t="n">
        <v>138246.74536532</v>
      </c>
      <c r="CZ89" s="104" t="s">
        <v>150</v>
      </c>
      <c r="DA89" s="119" t="n">
        <f aca="false" ca="true" dt2D="false" dtr="false" t="normal">SUBTOTAL(9, DB89:DP89)</f>
        <v>1066659.0699999998</v>
      </c>
      <c r="DB89" s="106" t="n"/>
      <c r="DD89" s="106" t="n">
        <v>1057009.16</v>
      </c>
      <c r="DE89" s="106" t="n"/>
      <c r="DF89" s="106" t="n">
        <v>0</v>
      </c>
      <c r="DG89" s="106" t="n"/>
      <c r="DH89" s="106" t="n"/>
      <c r="DI89" s="106" t="n">
        <v>0</v>
      </c>
      <c r="DK89" s="106" t="n">
        <v>0</v>
      </c>
      <c r="DL89" s="106" t="n">
        <v>0</v>
      </c>
      <c r="DM89" s="106" t="n">
        <v>0</v>
      </c>
      <c r="DN89" s="106" t="n"/>
      <c r="DO89" s="114" t="n"/>
      <c r="DP89" s="120" t="n">
        <f aca="false" ca="false" dt2D="false" dtr="false" t="normal">9649.91</f>
        <v>9649.91</v>
      </c>
      <c r="DQ89" s="3" t="n">
        <f aca="false" ca="false" dt2D="false" dtr="false" t="normal">N89-DA89</f>
        <v>0</v>
      </c>
      <c r="DS89" s="9" t="n"/>
    </row>
    <row hidden="false" ht="15" outlineLevel="0" r="90">
      <c r="A90" s="103" t="n">
        <f aca="false" ca="false" dt2D="false" dtr="false" t="normal">+A89+1</f>
        <v>73</v>
      </c>
      <c r="B90" s="104" t="n">
        <f aca="false" ca="false" dt2D="false" dtr="false" t="normal">+B89+1</f>
        <v>73</v>
      </c>
      <c r="C90" s="104" t="s">
        <v>111</v>
      </c>
      <c r="D90" s="104" t="s">
        <v>151</v>
      </c>
      <c r="E90" s="105" t="n">
        <v>1996</v>
      </c>
      <c r="F90" s="105" t="n"/>
      <c r="G90" s="105" t="s">
        <v>68</v>
      </c>
      <c r="H90" s="105" t="n">
        <v>5</v>
      </c>
      <c r="I90" s="105" t="n">
        <v>2</v>
      </c>
      <c r="J90" s="106" t="n">
        <v>3019</v>
      </c>
      <c r="K90" s="106" t="n">
        <v>2443.9</v>
      </c>
      <c r="L90" s="106" t="n">
        <v>0</v>
      </c>
      <c r="M90" s="107" t="n">
        <v>97</v>
      </c>
      <c r="N90" s="108" t="n">
        <f aca="false" ca="false" dt2D="false" dtr="false" t="normal">SUM(P90:T90)</f>
        <v>5016954.08</v>
      </c>
      <c r="O90" s="106" t="n"/>
      <c r="P90" s="114" t="n">
        <v>421112.51</v>
      </c>
      <c r="Q90" s="114" t="n"/>
      <c r="R90" s="114" t="n">
        <v>1310388.09</v>
      </c>
      <c r="S90" s="114" t="n">
        <v>3285453.48</v>
      </c>
      <c r="T90" s="106" t="n"/>
      <c r="U90" s="114" t="n">
        <v>2280.82285808939</v>
      </c>
      <c r="V90" s="114" t="n">
        <v>2280.82285808939</v>
      </c>
      <c r="W90" s="110" t="n">
        <v>2022</v>
      </c>
      <c r="X90" s="9" t="e">
        <f aca="false" ca="false" dt2D="false" dtr="false" t="normal">+#REF!-'[9]Приложение №1'!$P1442</f>
        <v>#REF!</v>
      </c>
      <c r="Z90" s="113" t="n">
        <f aca="false" ca="false" dt2D="false" dtr="false" t="normal">SUM(AA90:AO90)</f>
        <v>42710518.47000002</v>
      </c>
      <c r="AA90" s="106" t="n">
        <v>4563184.20778584</v>
      </c>
      <c r="AB90" s="106" t="n">
        <v>2639014.1793057</v>
      </c>
      <c r="AC90" s="106" t="n">
        <v>2789633.38444476</v>
      </c>
      <c r="AD90" s="106" t="n">
        <v>2127119.17048596</v>
      </c>
      <c r="AE90" s="106" t="n">
        <v>849740.5633941</v>
      </c>
      <c r="AF90" s="106" t="n"/>
      <c r="AG90" s="106" t="n">
        <v>226743.4216026</v>
      </c>
      <c r="AH90" s="106" t="n">
        <v>0</v>
      </c>
      <c r="AI90" s="106" t="n">
        <v>8123162.6588364</v>
      </c>
      <c r="AJ90" s="106" t="n">
        <v>0</v>
      </c>
      <c r="AK90" s="106" t="n">
        <v>15771166.3746962</v>
      </c>
      <c r="AL90" s="106" t="n">
        <v>0</v>
      </c>
      <c r="AM90" s="106" t="n">
        <v>4382571.3064</v>
      </c>
      <c r="AN90" s="114" t="n">
        <v>427105.1847</v>
      </c>
      <c r="AO90" s="115" t="n">
        <v>811078.01834846</v>
      </c>
      <c r="AP90" s="112" t="n">
        <f aca="false" ca="false" dt2D="false" dtr="false" t="normal">+N90-'Приложение №2'!E90</f>
        <v>0</v>
      </c>
      <c r="AQ90" s="1" t="n">
        <v>1738823.16</v>
      </c>
      <c r="AR90" s="3" t="n">
        <f aca="false" ca="false" dt2D="false" dtr="false" t="normal">+(K90*10+L90*20)*12*0.85</f>
        <v>249277.8</v>
      </c>
      <c r="AS90" s="3" t="n">
        <f aca="false" ca="false" dt2D="false" dtr="false" t="normal">+(K90*10+L90*20)*12*30</f>
        <v>8798040</v>
      </c>
      <c r="AT90" s="9" t="n">
        <f aca="false" ca="false" dt2D="false" dtr="false" t="normal">+S90-AS90</f>
        <v>-5512586.52</v>
      </c>
      <c r="AW90" s="113" t="n">
        <f aca="false" ca="true" dt2D="false" dtr="false" t="normal">SUBTOTAL(9, AX90:BL90)</f>
        <v>5574102.98288466</v>
      </c>
      <c r="AX90" s="106" t="n">
        <v>1651323.46</v>
      </c>
      <c r="AY90" s="106" t="n"/>
      <c r="AZ90" s="106" t="n">
        <v>819773.26</v>
      </c>
      <c r="BA90" s="106" t="n">
        <v>732192.34</v>
      </c>
      <c r="BB90" s="106" t="n"/>
      <c r="BC90" s="106" t="n"/>
      <c r="BD90" s="106" t="n"/>
      <c r="BE90" s="106" t="n">
        <v>0</v>
      </c>
      <c r="BF90" s="106" t="n"/>
      <c r="BG90" s="106" t="n">
        <v>0</v>
      </c>
      <c r="BH90" s="106" t="n">
        <v>1813665.02</v>
      </c>
      <c r="BI90" s="106" t="n">
        <v>0</v>
      </c>
      <c r="BJ90" s="106" t="n"/>
      <c r="BK90" s="114" t="n"/>
      <c r="BL90" s="115" t="n">
        <v>557148.90288466</v>
      </c>
      <c r="BM90" s="14" t="n">
        <f aca="false" ca="true" dt2D="false" dtr="false" t="normal">SUBTOTAL(9, BN90:CB90)</f>
        <v>5574102.98288466</v>
      </c>
      <c r="BN90" s="106" t="n">
        <v>1651323.46</v>
      </c>
      <c r="BO90" s="106" t="n"/>
      <c r="BP90" s="106" t="n">
        <v>819773.26</v>
      </c>
      <c r="BQ90" s="106" t="n">
        <v>732192.34</v>
      </c>
      <c r="BR90" s="106" t="n"/>
      <c r="BS90" s="106" t="n"/>
      <c r="BT90" s="106" t="n"/>
      <c r="BU90" s="106" t="n">
        <v>0</v>
      </c>
      <c r="BV90" s="106" t="n"/>
      <c r="BW90" s="106" t="n">
        <v>0</v>
      </c>
      <c r="BX90" s="106" t="n">
        <v>1813665.02</v>
      </c>
      <c r="BY90" s="106" t="n">
        <v>0</v>
      </c>
      <c r="BZ90" s="106" t="n"/>
      <c r="CA90" s="114" t="n"/>
      <c r="CB90" s="115" t="n">
        <v>557148.90288466</v>
      </c>
      <c r="CD90" s="116" t="n">
        <f aca="false" ca="false" dt2D="false" dtr="false" t="normal">+CD89+1</f>
        <v>73</v>
      </c>
      <c r="CE90" s="117" t="n">
        <f aca="false" ca="false" dt2D="false" dtr="false" t="normal">+CE89+1</f>
        <v>73</v>
      </c>
      <c r="CF90" s="104" t="s">
        <v>111</v>
      </c>
      <c r="CG90" s="104" t="s">
        <v>151</v>
      </c>
      <c r="CH90" s="118" t="n">
        <f aca="false" ca="true" dt2D="false" dtr="false" t="normal">SUBTOTAL(9, CI90:CW90)</f>
        <v>5574102.98288466</v>
      </c>
      <c r="CI90" s="106" t="n">
        <v>1651323.46</v>
      </c>
      <c r="CJ90" s="106" t="n"/>
      <c r="CK90" s="106" t="n">
        <v>819773.26</v>
      </c>
      <c r="CL90" s="106" t="n">
        <v>732192.34</v>
      </c>
      <c r="CM90" s="106" t="n"/>
      <c r="CN90" s="106" t="n"/>
      <c r="CO90" s="106" t="n"/>
      <c r="CP90" s="106" t="n">
        <v>0</v>
      </c>
      <c r="CQ90" s="106" t="n"/>
      <c r="CR90" s="106" t="n">
        <v>0</v>
      </c>
      <c r="CS90" s="106" t="n">
        <v>1813665.02</v>
      </c>
      <c r="CT90" s="106" t="n">
        <v>0</v>
      </c>
      <c r="CU90" s="106" t="n"/>
      <c r="CV90" s="114" t="n"/>
      <c r="CW90" s="115" t="n">
        <v>557148.90288466</v>
      </c>
      <c r="CZ90" s="104" t="s">
        <v>151</v>
      </c>
      <c r="DA90" s="119" t="n">
        <f aca="false" ca="true" dt2D="false" dtr="false" t="normal">SUBTOTAL(9, DB90:DP90)</f>
        <v>5016954.08</v>
      </c>
      <c r="DB90" s="106" t="n">
        <v>1651323.46</v>
      </c>
      <c r="DC90" s="106" t="n"/>
      <c r="DD90" s="106" t="n">
        <v>819773.26</v>
      </c>
      <c r="DE90" s="106" t="n">
        <v>732192.34</v>
      </c>
      <c r="DF90" s="106" t="n"/>
      <c r="DG90" s="106" t="n"/>
      <c r="DH90" s="106" t="n"/>
      <c r="DI90" s="106" t="n">
        <v>0</v>
      </c>
      <c r="DJ90" s="106" t="n"/>
      <c r="DK90" s="106" t="n">
        <v>0</v>
      </c>
      <c r="DL90" s="106" t="n">
        <v>1813665.02</v>
      </c>
      <c r="DM90" s="106" t="n">
        <v>0</v>
      </c>
      <c r="DN90" s="106" t="n"/>
      <c r="DO90" s="114" t="n"/>
      <c r="DP90" s="120" t="n">
        <v>0</v>
      </c>
      <c r="DQ90" s="3" t="n">
        <f aca="false" ca="false" dt2D="false" dtr="false" t="normal">N90-DA90</f>
        <v>0</v>
      </c>
      <c r="DS90" s="9" t="n"/>
    </row>
    <row hidden="false" ht="15" outlineLevel="0" r="91">
      <c r="A91" s="103" t="n">
        <f aca="false" ca="false" dt2D="false" dtr="false" t="normal">+A90+1</f>
        <v>74</v>
      </c>
      <c r="B91" s="104" t="n">
        <f aca="false" ca="false" dt2D="false" dtr="false" t="normal">+B90+1</f>
        <v>74</v>
      </c>
      <c r="C91" s="104" t="s">
        <v>111</v>
      </c>
      <c r="D91" s="104" t="s">
        <v>152</v>
      </c>
      <c r="E91" s="105" t="n">
        <v>1982</v>
      </c>
      <c r="F91" s="105" t="n">
        <v>2013</v>
      </c>
      <c r="G91" s="105" t="s">
        <v>68</v>
      </c>
      <c r="H91" s="105" t="n">
        <v>5</v>
      </c>
      <c r="I91" s="105" t="n">
        <v>4</v>
      </c>
      <c r="J91" s="106" t="n">
        <v>4923.9</v>
      </c>
      <c r="K91" s="106" t="n">
        <v>4353.2</v>
      </c>
      <c r="L91" s="106" t="n">
        <v>0</v>
      </c>
      <c r="M91" s="107" t="n">
        <v>184</v>
      </c>
      <c r="N91" s="108" t="n">
        <f aca="false" ca="false" dt2D="false" dtr="false" t="normal">SUM(P91:T91)</f>
        <v>1966660.12</v>
      </c>
      <c r="O91" s="106" t="n"/>
      <c r="P91" s="114" t="n"/>
      <c r="Q91" s="114" t="n"/>
      <c r="R91" s="113" t="n">
        <v>1966660.12</v>
      </c>
      <c r="S91" s="114" t="n"/>
      <c r="T91" s="106" t="n"/>
      <c r="U91" s="114" t="n">
        <v>461.010927276946</v>
      </c>
      <c r="V91" s="114" t="n">
        <v>461.010927276946</v>
      </c>
      <c r="W91" s="110" t="n">
        <v>2022</v>
      </c>
      <c r="X91" s="9" t="e">
        <f aca="false" ca="false" dt2D="false" dtr="false" t="normal">+#REF!-'[9]Приложение №1'!$P1051</f>
        <v>#REF!</v>
      </c>
      <c r="Z91" s="113" t="n">
        <f aca="false" ca="false" dt2D="false" dtr="false" t="normal">SUM(AA91:AO91)</f>
        <v>2003612.24</v>
      </c>
      <c r="AA91" s="106" t="n">
        <v>0</v>
      </c>
      <c r="AB91" s="106" t="n">
        <v>0</v>
      </c>
      <c r="AC91" s="106" t="n">
        <v>0</v>
      </c>
      <c r="AD91" s="106" t="n">
        <v>0</v>
      </c>
      <c r="AE91" s="106" t="n">
        <v>1857825.939438</v>
      </c>
      <c r="AF91" s="106" t="n"/>
      <c r="AG91" s="106" t="n">
        <v>0</v>
      </c>
      <c r="AH91" s="106" t="n">
        <v>0</v>
      </c>
      <c r="AI91" s="106" t="n">
        <v>0</v>
      </c>
      <c r="AJ91" s="106" t="n">
        <v>0</v>
      </c>
      <c r="AK91" s="106" t="n">
        <v>0</v>
      </c>
      <c r="AL91" s="106" t="n">
        <v>0</v>
      </c>
      <c r="AM91" s="106" t="n">
        <v>99984.47</v>
      </c>
      <c r="AN91" s="106" t="n">
        <v>5174.94</v>
      </c>
      <c r="AO91" s="115" t="n">
        <v>40626.890562</v>
      </c>
      <c r="AP91" s="112" t="n">
        <f aca="false" ca="false" dt2D="false" dtr="false" t="normal">+N91-'Приложение №2'!E91</f>
        <v>0</v>
      </c>
      <c r="AQ91" s="1" t="n">
        <v>2027227.26</v>
      </c>
      <c r="AR91" s="3" t="n">
        <f aca="false" ca="false" dt2D="false" dtr="false" t="normal">+(K91*10+L91*20)*12*0.85</f>
        <v>444026.39999999997</v>
      </c>
      <c r="AS91" s="3" t="n">
        <f aca="false" ca="false" dt2D="false" dtr="false" t="normal">+(K91*10+L91*20)*12*30</f>
        <v>15671520</v>
      </c>
      <c r="AT91" s="9" t="n">
        <f aca="false" ca="false" dt2D="false" dtr="false" t="normal">+S91-AS91</f>
        <v>-15671520</v>
      </c>
      <c r="AW91" s="113" t="n">
        <f aca="false" ca="true" dt2D="false" dtr="false" t="normal">SUBTOTAL(9, AX91:BL91)</f>
        <v>2006872.7686219998</v>
      </c>
      <c r="AX91" s="106" t="n">
        <v>0</v>
      </c>
      <c r="AY91" s="106" t="n">
        <v>0</v>
      </c>
      <c r="AZ91" s="106" t="n">
        <v>0</v>
      </c>
      <c r="BA91" s="106" t="n">
        <v>0</v>
      </c>
      <c r="BB91" s="106" t="n">
        <v>1842675.65</v>
      </c>
      <c r="BC91" s="106" t="n"/>
      <c r="BD91" s="106" t="n"/>
      <c r="BE91" s="106" t="n">
        <v>0</v>
      </c>
      <c r="BF91" s="106" t="n">
        <v>0</v>
      </c>
      <c r="BG91" s="106" t="n">
        <v>0</v>
      </c>
      <c r="BH91" s="106" t="n">
        <v>0</v>
      </c>
      <c r="BI91" s="106" t="n">
        <v>0</v>
      </c>
      <c r="BJ91" s="106" t="n">
        <v>123984.47</v>
      </c>
      <c r="BK91" s="106" t="n"/>
      <c r="BL91" s="115" t="n">
        <v>40212.648622</v>
      </c>
      <c r="BM91" s="14" t="n">
        <f aca="false" ca="true" dt2D="false" dtr="false" t="normal">SUBTOTAL(9, BN91:CB91)</f>
        <v>2006872.7686219998</v>
      </c>
      <c r="BN91" s="106" t="n">
        <v>0</v>
      </c>
      <c r="BO91" s="106" t="n">
        <v>0</v>
      </c>
      <c r="BP91" s="106" t="n">
        <v>0</v>
      </c>
      <c r="BQ91" s="106" t="n">
        <v>0</v>
      </c>
      <c r="BR91" s="106" t="n">
        <v>1842675.65</v>
      </c>
      <c r="BS91" s="106" t="n"/>
      <c r="BT91" s="106" t="n"/>
      <c r="BU91" s="106" t="n">
        <v>0</v>
      </c>
      <c r="BV91" s="106" t="n">
        <v>0</v>
      </c>
      <c r="BW91" s="106" t="n">
        <v>0</v>
      </c>
      <c r="BX91" s="106" t="n">
        <v>0</v>
      </c>
      <c r="BY91" s="106" t="n">
        <v>0</v>
      </c>
      <c r="BZ91" s="106" t="n">
        <v>123984.47</v>
      </c>
      <c r="CA91" s="106" t="n"/>
      <c r="CB91" s="115" t="n">
        <v>40212.648622</v>
      </c>
      <c r="CD91" s="116" t="n">
        <f aca="false" ca="false" dt2D="false" dtr="false" t="normal">+CD90+1</f>
        <v>74</v>
      </c>
      <c r="CE91" s="117" t="n">
        <f aca="false" ca="false" dt2D="false" dtr="false" t="normal">+CE90+1</f>
        <v>74</v>
      </c>
      <c r="CF91" s="104" t="s">
        <v>111</v>
      </c>
      <c r="CG91" s="104" t="s">
        <v>152</v>
      </c>
      <c r="CH91" s="118" t="n">
        <f aca="false" ca="true" dt2D="false" dtr="false" t="normal">SUBTOTAL(9, CI91:CW91)</f>
        <v>2006872.7686219998</v>
      </c>
      <c r="CI91" s="106" t="n">
        <v>0</v>
      </c>
      <c r="CJ91" s="106" t="n">
        <v>0</v>
      </c>
      <c r="CK91" s="106" t="n">
        <v>0</v>
      </c>
      <c r="CL91" s="106" t="n">
        <v>0</v>
      </c>
      <c r="CM91" s="106" t="n">
        <v>1842675.65</v>
      </c>
      <c r="CN91" s="106" t="n"/>
      <c r="CO91" s="106" t="n"/>
      <c r="CP91" s="106" t="n">
        <v>0</v>
      </c>
      <c r="CQ91" s="106" t="n">
        <v>0</v>
      </c>
      <c r="CR91" s="106" t="n">
        <v>0</v>
      </c>
      <c r="CS91" s="106" t="n">
        <v>0</v>
      </c>
      <c r="CT91" s="106" t="n">
        <v>0</v>
      </c>
      <c r="CU91" s="106" t="n">
        <v>123984.47</v>
      </c>
      <c r="CV91" s="106" t="n"/>
      <c r="CW91" s="115" t="n">
        <v>40212.648622</v>
      </c>
      <c r="CZ91" s="104" t="s">
        <v>152</v>
      </c>
      <c r="DA91" s="119" t="n">
        <f aca="false" ca="true" dt2D="false" dtr="false" t="normal">SUBTOTAL(9, DB91:DP91)</f>
        <v>1966660.1199999999</v>
      </c>
      <c r="DB91" s="106" t="n">
        <v>0</v>
      </c>
      <c r="DC91" s="106" t="n">
        <v>0</v>
      </c>
      <c r="DD91" s="106" t="n">
        <v>0</v>
      </c>
      <c r="DE91" s="106" t="n">
        <v>0</v>
      </c>
      <c r="DF91" s="106" t="n">
        <v>1842675.65</v>
      </c>
      <c r="DG91" s="106" t="n"/>
      <c r="DH91" s="106" t="n"/>
      <c r="DI91" s="106" t="n">
        <v>0</v>
      </c>
      <c r="DJ91" s="106" t="n">
        <v>0</v>
      </c>
      <c r="DK91" s="106" t="n">
        <v>0</v>
      </c>
      <c r="DL91" s="106" t="n">
        <v>0</v>
      </c>
      <c r="DM91" s="106" t="n">
        <v>0</v>
      </c>
      <c r="DN91" s="106" t="n">
        <v>123984.47</v>
      </c>
      <c r="DO91" s="106" t="n"/>
      <c r="DP91" s="122" t="n"/>
      <c r="DQ91" s="3" t="n">
        <f aca="false" ca="false" dt2D="false" dtr="false" t="normal">N91-DA91</f>
        <v>0</v>
      </c>
      <c r="DS91" s="9" t="n"/>
    </row>
    <row hidden="false" ht="15" outlineLevel="0" r="92">
      <c r="A92" s="103" t="n">
        <f aca="false" ca="false" dt2D="false" dtr="false" t="normal">+A91+1</f>
        <v>75</v>
      </c>
      <c r="B92" s="104" t="n">
        <f aca="false" ca="false" dt2D="false" dtr="false" t="normal">+B91+1</f>
        <v>75</v>
      </c>
      <c r="C92" s="104" t="s">
        <v>111</v>
      </c>
      <c r="D92" s="104" t="s">
        <v>153</v>
      </c>
      <c r="E92" s="105" t="n">
        <v>1981</v>
      </c>
      <c r="F92" s="105" t="n">
        <v>2013</v>
      </c>
      <c r="G92" s="105" t="s">
        <v>68</v>
      </c>
      <c r="H92" s="105" t="n">
        <v>5</v>
      </c>
      <c r="I92" s="105" t="n">
        <v>4</v>
      </c>
      <c r="J92" s="106" t="n">
        <v>4944.1</v>
      </c>
      <c r="K92" s="106" t="n">
        <v>4354.9</v>
      </c>
      <c r="L92" s="106" t="n">
        <v>0</v>
      </c>
      <c r="M92" s="107" t="n">
        <v>212</v>
      </c>
      <c r="N92" s="108" t="n">
        <f aca="false" ca="false" dt2D="false" dtr="false" t="normal">SUM(P92:T92)</f>
        <v>1967908.07</v>
      </c>
      <c r="O92" s="106" t="n"/>
      <c r="P92" s="114" t="n"/>
      <c r="Q92" s="114" t="n"/>
      <c r="R92" s="113" t="n">
        <v>1967908.07</v>
      </c>
      <c r="S92" s="114" t="n"/>
      <c r="T92" s="106" t="n"/>
      <c r="U92" s="114" t="n">
        <v>461.106314879791</v>
      </c>
      <c r="V92" s="114" t="n">
        <v>461.106314879791</v>
      </c>
      <c r="W92" s="110" t="n">
        <v>2022</v>
      </c>
      <c r="X92" s="9" t="e">
        <f aca="false" ca="false" dt2D="false" dtr="false" t="normal">+#REF!-'[9]Приложение №1'!$P1052</f>
        <v>#REF!</v>
      </c>
      <c r="Z92" s="113" t="n">
        <f aca="false" ca="false" dt2D="false" dtr="false" t="normal">SUM(AA92:AO92)</f>
        <v>2005269.7100000002</v>
      </c>
      <c r="AA92" s="106" t="n">
        <v>0</v>
      </c>
      <c r="AB92" s="106" t="n">
        <v>0</v>
      </c>
      <c r="AC92" s="106" t="n">
        <v>0</v>
      </c>
      <c r="AD92" s="106" t="n">
        <v>0</v>
      </c>
      <c r="AE92" s="106" t="n">
        <v>1855611.122988</v>
      </c>
      <c r="AF92" s="106" t="n"/>
      <c r="AG92" s="106" t="n">
        <v>0</v>
      </c>
      <c r="AH92" s="106" t="n">
        <v>0</v>
      </c>
      <c r="AI92" s="106" t="n">
        <v>0</v>
      </c>
      <c r="AJ92" s="106" t="n">
        <v>0</v>
      </c>
      <c r="AK92" s="106" t="n">
        <v>0</v>
      </c>
      <c r="AL92" s="106" t="n">
        <v>0</v>
      </c>
      <c r="AM92" s="106" t="n">
        <v>103902.76</v>
      </c>
      <c r="AN92" s="106" t="n">
        <v>5177.37</v>
      </c>
      <c r="AO92" s="115" t="n">
        <v>40578.457012</v>
      </c>
      <c r="AP92" s="112" t="n">
        <f aca="false" ca="false" dt2D="false" dtr="false" t="normal">+N92-'Приложение №2'!E92</f>
        <v>0</v>
      </c>
      <c r="AQ92" s="1" t="n">
        <v>2139968.22</v>
      </c>
      <c r="AR92" s="3" t="n">
        <f aca="false" ca="false" dt2D="false" dtr="false" t="normal">+(K92*10+L92*20)*12*0.85</f>
        <v>444199.8</v>
      </c>
      <c r="AS92" s="3" t="n">
        <f aca="false" ca="false" dt2D="false" dtr="false" t="normal">+(K92*10+L92*20)*12*30</f>
        <v>15677640</v>
      </c>
      <c r="AT92" s="9" t="n">
        <f aca="false" ca="false" dt2D="false" dtr="false" t="normal">+S92-AS92</f>
        <v>-15677640</v>
      </c>
      <c r="AW92" s="113" t="n">
        <f aca="false" ca="true" dt2D="false" dtr="false" t="normal">SUBTOTAL(9, AX92:BL92)</f>
        <v>2008071.89067</v>
      </c>
      <c r="AX92" s="106" t="n">
        <v>0</v>
      </c>
      <c r="AY92" s="106" t="n">
        <v>0</v>
      </c>
      <c r="AZ92" s="106" t="n">
        <v>0</v>
      </c>
      <c r="BA92" s="106" t="n">
        <v>0</v>
      </c>
      <c r="BB92" s="106" t="n">
        <v>1840005.31</v>
      </c>
      <c r="BC92" s="106" t="n"/>
      <c r="BD92" s="106" t="n"/>
      <c r="BE92" s="106" t="n">
        <v>0</v>
      </c>
      <c r="BF92" s="106" t="n">
        <v>0</v>
      </c>
      <c r="BG92" s="106" t="n">
        <v>0</v>
      </c>
      <c r="BH92" s="106" t="n">
        <v>0</v>
      </c>
      <c r="BI92" s="106" t="n">
        <v>0</v>
      </c>
      <c r="BJ92" s="106" t="n">
        <v>127902.76</v>
      </c>
      <c r="BK92" s="106" t="n"/>
      <c r="BL92" s="115" t="n">
        <v>40163.82067</v>
      </c>
      <c r="BM92" s="14" t="n">
        <f aca="false" ca="true" dt2D="false" dtr="false" t="normal">SUBTOTAL(9, BN92:CB92)</f>
        <v>2008071.89067</v>
      </c>
      <c r="BN92" s="106" t="n">
        <v>0</v>
      </c>
      <c r="BO92" s="106" t="n">
        <v>0</v>
      </c>
      <c r="BP92" s="106" t="n">
        <v>0</v>
      </c>
      <c r="BQ92" s="106" t="n">
        <v>0</v>
      </c>
      <c r="BR92" s="106" t="n">
        <v>1840005.31</v>
      </c>
      <c r="BS92" s="106" t="n"/>
      <c r="BT92" s="106" t="n"/>
      <c r="BU92" s="106" t="n">
        <v>0</v>
      </c>
      <c r="BV92" s="106" t="n">
        <v>0</v>
      </c>
      <c r="BW92" s="106" t="n">
        <v>0</v>
      </c>
      <c r="BX92" s="106" t="n">
        <v>0</v>
      </c>
      <c r="BY92" s="106" t="n">
        <v>0</v>
      </c>
      <c r="BZ92" s="106" t="n">
        <v>127902.76</v>
      </c>
      <c r="CA92" s="106" t="n"/>
      <c r="CB92" s="115" t="n">
        <v>40163.82067</v>
      </c>
      <c r="CD92" s="116" t="n">
        <f aca="false" ca="false" dt2D="false" dtr="false" t="normal">+CD91+1</f>
        <v>75</v>
      </c>
      <c r="CE92" s="117" t="n">
        <f aca="false" ca="false" dt2D="false" dtr="false" t="normal">+CE91+1</f>
        <v>75</v>
      </c>
      <c r="CF92" s="104" t="s">
        <v>111</v>
      </c>
      <c r="CG92" s="104" t="s">
        <v>153</v>
      </c>
      <c r="CH92" s="118" t="n">
        <f aca="false" ca="true" dt2D="false" dtr="false" t="normal">SUBTOTAL(9, CI92:CW92)</f>
        <v>2008071.89067</v>
      </c>
      <c r="CI92" s="106" t="n">
        <v>0</v>
      </c>
      <c r="CJ92" s="106" t="n">
        <v>0</v>
      </c>
      <c r="CK92" s="106" t="n">
        <v>0</v>
      </c>
      <c r="CL92" s="106" t="n">
        <v>0</v>
      </c>
      <c r="CM92" s="106" t="n">
        <v>1840005.31</v>
      </c>
      <c r="CN92" s="106" t="n"/>
      <c r="CO92" s="106" t="n"/>
      <c r="CP92" s="106" t="n">
        <v>0</v>
      </c>
      <c r="CQ92" s="106" t="n">
        <v>0</v>
      </c>
      <c r="CR92" s="106" t="n">
        <v>0</v>
      </c>
      <c r="CS92" s="106" t="n">
        <v>0</v>
      </c>
      <c r="CT92" s="106" t="n">
        <v>0</v>
      </c>
      <c r="CU92" s="106" t="n">
        <v>127902.76</v>
      </c>
      <c r="CV92" s="106" t="n"/>
      <c r="CW92" s="115" t="n">
        <v>40163.82067</v>
      </c>
      <c r="CZ92" s="104" t="s">
        <v>153</v>
      </c>
      <c r="DA92" s="119" t="n">
        <f aca="false" ca="true" dt2D="false" dtr="false" t="normal">SUBTOTAL(9, DB92:DP92)</f>
        <v>1967908.07</v>
      </c>
      <c r="DB92" s="106" t="n">
        <v>0</v>
      </c>
      <c r="DC92" s="106" t="n">
        <v>0</v>
      </c>
      <c r="DD92" s="106" t="n">
        <v>0</v>
      </c>
      <c r="DE92" s="106" t="n">
        <v>0</v>
      </c>
      <c r="DF92" s="106" t="n">
        <v>1840005.31</v>
      </c>
      <c r="DG92" s="106" t="n"/>
      <c r="DH92" s="106" t="n"/>
      <c r="DI92" s="106" t="n">
        <v>0</v>
      </c>
      <c r="DJ92" s="106" t="n">
        <v>0</v>
      </c>
      <c r="DK92" s="106" t="n">
        <v>0</v>
      </c>
      <c r="DL92" s="106" t="n">
        <v>0</v>
      </c>
      <c r="DM92" s="106" t="n">
        <v>0</v>
      </c>
      <c r="DN92" s="106" t="n">
        <v>127902.76</v>
      </c>
      <c r="DO92" s="106" t="n"/>
      <c r="DP92" s="122" t="n"/>
      <c r="DQ92" s="3" t="n">
        <f aca="false" ca="false" dt2D="false" dtr="false" t="normal">N92-DA92</f>
        <v>0</v>
      </c>
      <c r="DS92" s="9" t="n"/>
    </row>
    <row hidden="false" ht="15" outlineLevel="0" r="93">
      <c r="A93" s="103" t="n">
        <f aca="false" ca="false" dt2D="false" dtr="false" t="normal">+A92+1</f>
        <v>76</v>
      </c>
      <c r="B93" s="104" t="n">
        <f aca="false" ca="false" dt2D="false" dtr="false" t="normal">+B92+1</f>
        <v>76</v>
      </c>
      <c r="C93" s="104" t="s">
        <v>111</v>
      </c>
      <c r="D93" s="104" t="s">
        <v>154</v>
      </c>
      <c r="E93" s="105" t="n">
        <v>1985</v>
      </c>
      <c r="F93" s="105" t="n">
        <v>2013</v>
      </c>
      <c r="G93" s="105" t="s">
        <v>68</v>
      </c>
      <c r="H93" s="105" t="n">
        <v>5</v>
      </c>
      <c r="I93" s="105" t="n">
        <v>4</v>
      </c>
      <c r="J93" s="106" t="n">
        <v>4831.5</v>
      </c>
      <c r="K93" s="106" t="n">
        <v>4248.9</v>
      </c>
      <c r="L93" s="106" t="n">
        <v>0</v>
      </c>
      <c r="M93" s="107" t="n">
        <v>185</v>
      </c>
      <c r="N93" s="108" t="n">
        <f aca="false" ca="false" dt2D="false" dtr="false" t="normal">SUM(P93:T93)</f>
        <v>2104373.4299999997</v>
      </c>
      <c r="O93" s="106" t="n"/>
      <c r="P93" s="114" t="n"/>
      <c r="Q93" s="114" t="n"/>
      <c r="R93" s="114" t="n">
        <v>1146251.65</v>
      </c>
      <c r="S93" s="114" t="n">
        <v>958121.78</v>
      </c>
      <c r="T93" s="106" t="n"/>
      <c r="U93" s="114" t="n">
        <v>512.853072559957</v>
      </c>
      <c r="V93" s="114" t="n">
        <v>512.853072559957</v>
      </c>
      <c r="W93" s="110" t="n">
        <v>2022</v>
      </c>
      <c r="X93" s="9" t="e">
        <f aca="false" ca="false" dt2D="false" dtr="false" t="normal">+#REF!-'[9]Приложение №1'!$P1053</f>
        <v>#REF!</v>
      </c>
      <c r="Z93" s="113" t="n">
        <f aca="false" ca="false" dt2D="false" dtr="false" t="normal">SUM(AA93:AO93)</f>
        <v>14731405.994299399</v>
      </c>
      <c r="AA93" s="106" t="n">
        <v>0</v>
      </c>
      <c r="AB93" s="106" t="n">
        <v>0</v>
      </c>
      <c r="AC93" s="106" t="n">
        <v>0</v>
      </c>
      <c r="AD93" s="106" t="n">
        <v>0</v>
      </c>
      <c r="AE93" s="106" t="n">
        <v>1320450.76288062</v>
      </c>
      <c r="AF93" s="106" t="n"/>
      <c r="AG93" s="106" t="n">
        <v>0</v>
      </c>
      <c r="AH93" s="106" t="n">
        <v>0</v>
      </c>
      <c r="AI93" s="106" t="n"/>
      <c r="AJ93" s="106" t="n">
        <v>0</v>
      </c>
      <c r="AK93" s="106" t="n">
        <v>0</v>
      </c>
      <c r="AL93" s="106" t="n">
        <v>9638500.1460678</v>
      </c>
      <c r="AM93" s="106" t="n">
        <v>2983222.9761</v>
      </c>
      <c r="AN93" s="114" t="n">
        <v>273543.6032</v>
      </c>
      <c r="AO93" s="115" t="n">
        <v>515688.50605098</v>
      </c>
      <c r="AP93" s="112" t="s">
        <v>155</v>
      </c>
      <c r="AQ93" s="1" t="n">
        <f aca="false" ca="false" dt2D="false" dtr="false" t="normal">2031310.17-1377300.63</f>
        <v>654009.54</v>
      </c>
      <c r="AR93" s="3" t="n">
        <f aca="false" ca="false" dt2D="false" dtr="false" t="normal">+(K93*10+L93*20)*12*0.85</f>
        <v>433387.8</v>
      </c>
      <c r="AS93" s="3" t="n">
        <f aca="false" ca="false" dt2D="false" dtr="false" t="normal">+(K93*10+L93*20)*12*30-4430181.56</f>
        <v>10865858.440000001</v>
      </c>
      <c r="AT93" s="9" t="n">
        <f aca="false" ca="false" dt2D="false" dtr="false" t="normal">+S93-AS93</f>
        <v>-9907736.660000002</v>
      </c>
      <c r="AW93" s="113" t="n">
        <f aca="false" ca="true" dt2D="false" dtr="false" t="normal">SUBTOTAL(9, AX93:BL93)</f>
        <v>2179061.4200000004</v>
      </c>
      <c r="AX93" s="106" t="n">
        <v>0</v>
      </c>
      <c r="AY93" s="106" t="n">
        <v>0</v>
      </c>
      <c r="AZ93" s="106" t="n">
        <v>0</v>
      </c>
      <c r="BA93" s="106" t="n">
        <v>0</v>
      </c>
      <c r="BB93" s="106" t="n">
        <v>1980515.44</v>
      </c>
      <c r="BC93" s="106" t="n"/>
      <c r="BD93" s="106" t="n"/>
      <c r="BE93" s="106" t="n">
        <v>0</v>
      </c>
      <c r="BF93" s="106" t="n"/>
      <c r="BG93" s="106" t="n">
        <v>0</v>
      </c>
      <c r="BH93" s="106" t="n">
        <v>0</v>
      </c>
      <c r="BI93" s="106" t="n"/>
      <c r="BJ93" s="106" t="n">
        <v>123857.99</v>
      </c>
      <c r="BK93" s="114" t="n"/>
      <c r="BL93" s="115" t="n">
        <v>74687.99</v>
      </c>
      <c r="BM93" s="14" t="n">
        <f aca="false" ca="true" dt2D="false" dtr="false" t="normal">SUBTOTAL(9, BN93:CB93)</f>
        <v>2179061.4200000004</v>
      </c>
      <c r="BN93" s="106" t="n">
        <v>0</v>
      </c>
      <c r="BO93" s="106" t="n">
        <v>0</v>
      </c>
      <c r="BP93" s="106" t="n">
        <v>0</v>
      </c>
      <c r="BQ93" s="106" t="n">
        <v>0</v>
      </c>
      <c r="BR93" s="106" t="n">
        <v>1980515.44</v>
      </c>
      <c r="BS93" s="106" t="n"/>
      <c r="BT93" s="106" t="n"/>
      <c r="BU93" s="106" t="n">
        <v>0</v>
      </c>
      <c r="BV93" s="106" t="n"/>
      <c r="BW93" s="106" t="n">
        <v>0</v>
      </c>
      <c r="BX93" s="106" t="n">
        <v>0</v>
      </c>
      <c r="BY93" s="106" t="n"/>
      <c r="BZ93" s="106" t="n">
        <v>123857.99</v>
      </c>
      <c r="CA93" s="114" t="n"/>
      <c r="CB93" s="115" t="n">
        <v>74687.99</v>
      </c>
      <c r="CD93" s="116" t="n">
        <f aca="false" ca="false" dt2D="false" dtr="false" t="normal">+CD92+1</f>
        <v>76</v>
      </c>
      <c r="CE93" s="117" t="n">
        <f aca="false" ca="false" dt2D="false" dtr="false" t="normal">+CE92+1</f>
        <v>76</v>
      </c>
      <c r="CF93" s="104" t="s">
        <v>111</v>
      </c>
      <c r="CG93" s="104" t="s">
        <v>154</v>
      </c>
      <c r="CH93" s="118" t="n">
        <f aca="false" ca="true" dt2D="false" dtr="false" t="normal">SUBTOTAL(9, CI93:CW93)</f>
        <v>2179061.4200000004</v>
      </c>
      <c r="CI93" s="106" t="n">
        <v>0</v>
      </c>
      <c r="CJ93" s="106" t="n">
        <v>0</v>
      </c>
      <c r="CK93" s="106" t="n">
        <v>0</v>
      </c>
      <c r="CL93" s="106" t="n">
        <v>0</v>
      </c>
      <c r="CM93" s="106" t="n">
        <v>1980515.44</v>
      </c>
      <c r="CN93" s="106" t="n"/>
      <c r="CO93" s="106" t="n"/>
      <c r="CP93" s="106" t="n">
        <v>0</v>
      </c>
      <c r="CQ93" s="106" t="n"/>
      <c r="CR93" s="106" t="n">
        <v>0</v>
      </c>
      <c r="CS93" s="106" t="n">
        <v>0</v>
      </c>
      <c r="CT93" s="106" t="n"/>
      <c r="CU93" s="106" t="n">
        <v>123857.99</v>
      </c>
      <c r="CV93" s="114" t="n"/>
      <c r="CW93" s="115" t="n">
        <v>74687.99</v>
      </c>
      <c r="CZ93" s="104" t="s">
        <v>154</v>
      </c>
      <c r="DA93" s="119" t="n">
        <f aca="false" ca="true" dt2D="false" dtr="false" t="normal">SUBTOTAL(9, DB93:DP93)</f>
        <v>2104373.43</v>
      </c>
      <c r="DB93" s="106" t="n">
        <v>0</v>
      </c>
      <c r="DC93" s="106" t="n">
        <v>0</v>
      </c>
      <c r="DD93" s="106" t="n">
        <v>0</v>
      </c>
      <c r="DE93" s="106" t="n">
        <v>0</v>
      </c>
      <c r="DF93" s="106" t="n">
        <v>1980515.44</v>
      </c>
      <c r="DG93" s="106" t="n"/>
      <c r="DH93" s="106" t="n"/>
      <c r="DI93" s="106" t="n">
        <v>0</v>
      </c>
      <c r="DJ93" s="106" t="n"/>
      <c r="DK93" s="106" t="n">
        <v>0</v>
      </c>
      <c r="DL93" s="106" t="n">
        <v>0</v>
      </c>
      <c r="DM93" s="106" t="n"/>
      <c r="DN93" s="106" t="n">
        <v>123857.99</v>
      </c>
      <c r="DO93" s="114" t="n"/>
      <c r="DP93" s="122" t="n"/>
      <c r="DQ93" s="3" t="n">
        <f aca="false" ca="false" dt2D="false" dtr="false" t="normal">N93-DA93</f>
        <v>0</v>
      </c>
      <c r="DS93" s="9" t="n"/>
    </row>
    <row hidden="false" ht="15" outlineLevel="0" r="94">
      <c r="A94" s="103" t="n">
        <f aca="false" ca="false" dt2D="false" dtr="false" t="normal">+A93+1</f>
        <v>77</v>
      </c>
      <c r="B94" s="104" t="n">
        <f aca="false" ca="false" dt2D="false" dtr="false" t="normal">+B93+1</f>
        <v>77</v>
      </c>
      <c r="C94" s="104" t="s">
        <v>111</v>
      </c>
      <c r="D94" s="104" t="s">
        <v>156</v>
      </c>
      <c r="E94" s="105" t="n">
        <v>1973</v>
      </c>
      <c r="F94" s="105" t="n">
        <v>2013</v>
      </c>
      <c r="G94" s="105" t="s">
        <v>68</v>
      </c>
      <c r="H94" s="105" t="n">
        <v>4</v>
      </c>
      <c r="I94" s="105" t="n">
        <v>4</v>
      </c>
      <c r="J94" s="106" t="n">
        <v>2799.6</v>
      </c>
      <c r="K94" s="106" t="n">
        <v>1950.2</v>
      </c>
      <c r="L94" s="106" t="n">
        <v>849.4</v>
      </c>
      <c r="M94" s="107" t="n">
        <v>97</v>
      </c>
      <c r="N94" s="108" t="n">
        <f aca="false" ca="false" dt2D="false" dtr="false" t="normal">SUM(P94:T94)</f>
        <v>856186.02</v>
      </c>
      <c r="O94" s="106" t="n"/>
      <c r="P94" s="114" t="n"/>
      <c r="Q94" s="114" t="n"/>
      <c r="S94" s="114" t="n">
        <v>856186.02</v>
      </c>
      <c r="T94" s="106" t="n"/>
      <c r="U94" s="114" t="n">
        <v>305.82441063009</v>
      </c>
      <c r="V94" s="114" t="n">
        <v>305.82441063009</v>
      </c>
      <c r="W94" s="110" t="n">
        <v>2022</v>
      </c>
      <c r="X94" s="9" t="e">
        <f aca="false" ca="false" dt2D="false" dtr="false" t="normal">+#REF!-'[9]Приложение №1'!$P670</f>
        <v>#REF!</v>
      </c>
      <c r="Z94" s="113" t="n">
        <f aca="false" ca="false" dt2D="false" dtr="false" t="normal">SUM(AA94:AO94)</f>
        <v>12055712.754182</v>
      </c>
      <c r="AA94" s="106" t="n">
        <v>0</v>
      </c>
      <c r="AB94" s="106" t="n">
        <v>0</v>
      </c>
      <c r="AC94" s="106" t="n">
        <v>0</v>
      </c>
      <c r="AD94" s="106" t="n">
        <v>0</v>
      </c>
      <c r="AE94" s="106" t="n">
        <v>855198.98</v>
      </c>
      <c r="AF94" s="106" t="n"/>
      <c r="AG94" s="106" t="n">
        <v>0</v>
      </c>
      <c r="AH94" s="106" t="n">
        <v>0</v>
      </c>
      <c r="AI94" s="106" t="n">
        <v>0</v>
      </c>
      <c r="AJ94" s="106" t="n">
        <v>0</v>
      </c>
      <c r="AK94" s="106" t="n">
        <v>4622378.11541394</v>
      </c>
      <c r="AL94" s="106" t="n">
        <v>4985775.85945656</v>
      </c>
      <c r="AM94" s="106" t="n">
        <v>1265941.365</v>
      </c>
      <c r="AN94" s="114" t="n">
        <v>113650.9125</v>
      </c>
      <c r="AO94" s="115" t="n">
        <v>212767.5218115</v>
      </c>
      <c r="AP94" s="112" t="n">
        <f aca="false" ca="false" dt2D="false" dtr="false" t="normal">+N94-'Приложение №2'!E94</f>
        <v>0</v>
      </c>
      <c r="AQ94" s="1" t="n">
        <v>1792695.27</v>
      </c>
      <c r="AR94" s="3" t="n">
        <f aca="false" ca="false" dt2D="false" dtr="false" t="normal">+(K94*10+L94*20)*12*0.85</f>
        <v>372198</v>
      </c>
      <c r="AS94" s="3" t="n">
        <f aca="false" ca="false" dt2D="false" dtr="false" t="normal">+(K94*10+L94*20)*12*30</f>
        <v>13136400</v>
      </c>
      <c r="AT94" s="9" t="n">
        <f aca="false" ca="false" dt2D="false" dtr="false" t="normal">+S94-AS94</f>
        <v>-12280213.98</v>
      </c>
      <c r="AW94" s="113" t="n">
        <f aca="false" ca="true" dt2D="false" dtr="false" t="normal">SUBTOTAL(9, AX94:BL94)</f>
        <v>856186.02</v>
      </c>
      <c r="AX94" s="106" t="n">
        <v>0</v>
      </c>
      <c r="AY94" s="106" t="n">
        <v>0</v>
      </c>
      <c r="AZ94" s="106" t="n">
        <v>0</v>
      </c>
      <c r="BA94" s="106" t="n">
        <v>0</v>
      </c>
      <c r="BB94" s="106" t="n">
        <v>856186.02</v>
      </c>
      <c r="BC94" s="106" t="n"/>
      <c r="BD94" s="106" t="n"/>
      <c r="BE94" s="106" t="n">
        <v>0</v>
      </c>
      <c r="BF94" s="106" t="n">
        <v>0</v>
      </c>
      <c r="BG94" s="106" t="n">
        <v>0</v>
      </c>
      <c r="BH94" s="106" t="n"/>
      <c r="BI94" s="106" t="n"/>
      <c r="BJ94" s="106" t="n"/>
      <c r="BK94" s="114" t="n"/>
      <c r="BL94" s="115" t="n"/>
      <c r="BM94" s="14" t="n">
        <f aca="false" ca="true" dt2D="false" dtr="false" t="normal">SUBTOTAL(9, BN94:CB94)</f>
        <v>856186.02</v>
      </c>
      <c r="BN94" s="106" t="n">
        <v>0</v>
      </c>
      <c r="BO94" s="106" t="n">
        <v>0</v>
      </c>
      <c r="BP94" s="106" t="n">
        <v>0</v>
      </c>
      <c r="BQ94" s="106" t="n">
        <v>0</v>
      </c>
      <c r="BR94" s="106" t="n">
        <v>856186.02</v>
      </c>
      <c r="BS94" s="106" t="n"/>
      <c r="BT94" s="106" t="n"/>
      <c r="BU94" s="106" t="n">
        <v>0</v>
      </c>
      <c r="BV94" s="106" t="n">
        <v>0</v>
      </c>
      <c r="BW94" s="106" t="n">
        <v>0</v>
      </c>
      <c r="BX94" s="106" t="n"/>
      <c r="BY94" s="106" t="n"/>
      <c r="BZ94" s="106" t="n"/>
      <c r="CA94" s="114" t="n"/>
      <c r="CB94" s="115" t="n"/>
      <c r="CD94" s="116" t="n">
        <f aca="false" ca="false" dt2D="false" dtr="false" t="normal">+CD93+1</f>
        <v>77</v>
      </c>
      <c r="CE94" s="117" t="n">
        <f aca="false" ca="false" dt2D="false" dtr="false" t="normal">+CE93+1</f>
        <v>77</v>
      </c>
      <c r="CF94" s="104" t="s">
        <v>111</v>
      </c>
      <c r="CG94" s="104" t="s">
        <v>156</v>
      </c>
      <c r="CH94" s="118" t="n">
        <f aca="false" ca="true" dt2D="false" dtr="false" t="normal">SUBTOTAL(9, CI94:CW94)</f>
        <v>856186.02</v>
      </c>
      <c r="CI94" s="106" t="n">
        <v>0</v>
      </c>
      <c r="CJ94" s="106" t="n">
        <v>0</v>
      </c>
      <c r="CK94" s="106" t="n">
        <v>0</v>
      </c>
      <c r="CL94" s="106" t="n">
        <v>0</v>
      </c>
      <c r="CM94" s="106" t="n">
        <v>856186.02</v>
      </c>
      <c r="CN94" s="106" t="n"/>
      <c r="CO94" s="106" t="n"/>
      <c r="CP94" s="106" t="n">
        <v>0</v>
      </c>
      <c r="CQ94" s="106" t="n">
        <v>0</v>
      </c>
      <c r="CR94" s="106" t="n">
        <v>0</v>
      </c>
      <c r="CS94" s="106" t="n"/>
      <c r="CT94" s="106" t="n"/>
      <c r="CU94" s="106" t="n"/>
      <c r="CV94" s="114" t="n"/>
      <c r="CW94" s="115" t="n"/>
      <c r="CZ94" s="104" t="s">
        <v>156</v>
      </c>
      <c r="DA94" s="119" t="n">
        <f aca="false" ca="true" dt2D="false" dtr="false" t="normal">SUBTOTAL(9, DB94:DP94)</f>
        <v>856186.02</v>
      </c>
      <c r="DB94" s="106" t="n">
        <v>0</v>
      </c>
      <c r="DC94" s="106" t="n">
        <v>0</v>
      </c>
      <c r="DD94" s="106" t="n">
        <v>0</v>
      </c>
      <c r="DE94" s="106" t="n">
        <v>0</v>
      </c>
      <c r="DF94" s="106" t="n">
        <v>856186.02</v>
      </c>
      <c r="DG94" s="106" t="n"/>
      <c r="DH94" s="106" t="n"/>
      <c r="DI94" s="106" t="n">
        <v>0</v>
      </c>
      <c r="DJ94" s="106" t="n">
        <v>0</v>
      </c>
      <c r="DK94" s="106" t="n">
        <v>0</v>
      </c>
      <c r="DL94" s="106" t="n"/>
      <c r="DM94" s="106" t="n"/>
      <c r="DN94" s="106" t="n"/>
      <c r="DO94" s="114" t="n"/>
      <c r="DP94" s="115" t="n"/>
      <c r="DQ94" s="3" t="n">
        <f aca="false" ca="false" dt2D="false" dtr="false" t="normal">N94-DA94</f>
        <v>0</v>
      </c>
      <c r="DS94" s="9" t="n"/>
    </row>
    <row hidden="false" ht="15" outlineLevel="0" r="95">
      <c r="A95" s="103" t="n">
        <f aca="false" ca="false" dt2D="false" dtr="false" t="normal">+A94+1</f>
        <v>78</v>
      </c>
      <c r="B95" s="104" t="n">
        <f aca="false" ca="false" dt2D="false" dtr="false" t="normal">+B94+1</f>
        <v>78</v>
      </c>
      <c r="C95" s="104" t="s">
        <v>111</v>
      </c>
      <c r="D95" s="104" t="s">
        <v>157</v>
      </c>
      <c r="E95" s="105" t="n">
        <v>1976</v>
      </c>
      <c r="F95" s="105" t="n">
        <v>2013</v>
      </c>
      <c r="G95" s="105" t="s">
        <v>68</v>
      </c>
      <c r="H95" s="105" t="n">
        <v>4</v>
      </c>
      <c r="I95" s="105" t="n">
        <v>6</v>
      </c>
      <c r="J95" s="106" t="n">
        <v>5727.3</v>
      </c>
      <c r="K95" s="106" t="n">
        <v>4928.1</v>
      </c>
      <c r="L95" s="106" t="n">
        <v>70.7</v>
      </c>
      <c r="M95" s="107" t="n">
        <v>234</v>
      </c>
      <c r="N95" s="108" t="n">
        <f aca="false" ca="false" dt2D="false" dtr="false" t="normal">SUM(P95:T95)</f>
        <v>2284407.2</v>
      </c>
      <c r="O95" s="106" t="n"/>
      <c r="P95" s="114" t="n">
        <v>1556194.47</v>
      </c>
      <c r="Q95" s="114" t="n"/>
      <c r="R95" s="114" t="n">
        <v>274059.371186</v>
      </c>
      <c r="S95" s="114" t="n">
        <v>454153.358814</v>
      </c>
      <c r="T95" s="106" t="n"/>
      <c r="U95" s="114" t="n">
        <v>459.361733053133</v>
      </c>
      <c r="V95" s="114" t="n">
        <v>459.361733053133</v>
      </c>
      <c r="W95" s="110" t="n">
        <v>2022</v>
      </c>
      <c r="X95" s="9" t="e">
        <f aca="false" ca="false" dt2D="false" dtr="false" t="normal">+S95-'[9]Приложение №1'!$P671</f>
        <v>#REF!</v>
      </c>
      <c r="Z95" s="113" t="n">
        <f aca="false" ca="false" dt2D="false" dtr="false" t="normal">SUM(AA95:AO95)</f>
        <v>8101376.731186</v>
      </c>
      <c r="AA95" s="106" t="n">
        <v>0</v>
      </c>
      <c r="AB95" s="106" t="n">
        <v>0</v>
      </c>
      <c r="AC95" s="106" t="n">
        <v>5108867.60537622</v>
      </c>
      <c r="AD95" s="106" t="n">
        <v>0</v>
      </c>
      <c r="AE95" s="106" t="n">
        <v>2022198.06</v>
      </c>
      <c r="AF95" s="106" t="n"/>
      <c r="AG95" s="106" t="n">
        <v>0</v>
      </c>
      <c r="AH95" s="106" t="n">
        <v>0</v>
      </c>
      <c r="AI95" s="106" t="n">
        <v>0</v>
      </c>
      <c r="AJ95" s="106" t="n">
        <v>0</v>
      </c>
      <c r="AK95" s="106" t="n">
        <v>0</v>
      </c>
      <c r="AL95" s="106" t="n">
        <v>0</v>
      </c>
      <c r="AM95" s="106" t="n">
        <v>786081.953</v>
      </c>
      <c r="AN95" s="114" t="n">
        <v>60658.2943</v>
      </c>
      <c r="AO95" s="115" t="n">
        <v>123570.81850978</v>
      </c>
      <c r="AP95" s="112" t="n">
        <f aca="false" ca="false" dt2D="false" dtr="false" t="normal">+N95-'Приложение №2'!E95</f>
        <v>0</v>
      </c>
      <c r="AQ95" s="1" t="n">
        <f aca="false" ca="false" dt2D="false" dtr="false" t="normal">2269068.63-1153662.35-337091.58</f>
        <v>778314.6999999997</v>
      </c>
      <c r="AR95" s="3" t="n">
        <f aca="false" ca="false" dt2D="false" dtr="false" t="normal">+(K95*10+L95*20)*12*0.85</f>
        <v>517089</v>
      </c>
      <c r="AS95" s="3" t="n">
        <f aca="false" ca="false" dt2D="false" dtr="false" t="normal">+(K95*10+L95*20)*12*30-1213002.672-2895880.10928442</f>
        <v>14141317.218715582</v>
      </c>
      <c r="AT95" s="9" t="n">
        <f aca="false" ca="false" dt2D="false" dtr="false" t="normal">+S95-AS95</f>
        <v>-13687163.859901583</v>
      </c>
      <c r="AW95" s="113" t="n">
        <f aca="false" ca="true" dt2D="false" dtr="false" t="normal">SUBTOTAL(9, AX95:BL95)</f>
        <v>2296257.4311860004</v>
      </c>
      <c r="AX95" s="106" t="n">
        <v>0</v>
      </c>
      <c r="AY95" s="106" t="n">
        <v>0</v>
      </c>
      <c r="AZ95" s="106" t="n"/>
      <c r="BA95" s="106" t="n">
        <v>0</v>
      </c>
      <c r="BB95" s="106" t="n">
        <v>2082908.19</v>
      </c>
      <c r="BC95" s="106" t="n"/>
      <c r="BD95" s="106" t="n"/>
      <c r="BE95" s="106" t="n">
        <v>0</v>
      </c>
      <c r="BF95" s="106" t="n">
        <v>0</v>
      </c>
      <c r="BG95" s="106" t="n">
        <v>0</v>
      </c>
      <c r="BH95" s="106" t="n">
        <v>0</v>
      </c>
      <c r="BI95" s="106" t="n">
        <v>0</v>
      </c>
      <c r="BJ95" s="106" t="n">
        <v>199499.01</v>
      </c>
      <c r="BK95" s="114" t="n">
        <v>2000</v>
      </c>
      <c r="BL95" s="115" t="n">
        <v>11850.231186</v>
      </c>
      <c r="BM95" s="14" t="n">
        <f aca="false" ca="true" dt2D="false" dtr="false" t="normal">SUBTOTAL(9, BN95:CB95)</f>
        <v>2296257.4311860004</v>
      </c>
      <c r="BN95" s="106" t="n">
        <v>0</v>
      </c>
      <c r="BO95" s="106" t="n">
        <v>0</v>
      </c>
      <c r="BP95" s="106" t="n"/>
      <c r="BQ95" s="106" t="n">
        <v>0</v>
      </c>
      <c r="BR95" s="106" t="n">
        <v>2082908.19</v>
      </c>
      <c r="BS95" s="106" t="n"/>
      <c r="BT95" s="106" t="n"/>
      <c r="BU95" s="106" t="n">
        <v>0</v>
      </c>
      <c r="BV95" s="106" t="n">
        <v>0</v>
      </c>
      <c r="BW95" s="106" t="n">
        <v>0</v>
      </c>
      <c r="BX95" s="106" t="n">
        <v>0</v>
      </c>
      <c r="BY95" s="106" t="n">
        <v>0</v>
      </c>
      <c r="BZ95" s="106" t="n">
        <v>199499.01</v>
      </c>
      <c r="CA95" s="114" t="n">
        <v>2000</v>
      </c>
      <c r="CB95" s="115" t="n">
        <v>11850.231186</v>
      </c>
      <c r="CD95" s="116" t="n">
        <f aca="false" ca="false" dt2D="false" dtr="false" t="normal">+CD94+1</f>
        <v>78</v>
      </c>
      <c r="CE95" s="117" t="n">
        <f aca="false" ca="false" dt2D="false" dtr="false" t="normal">+CE94+1</f>
        <v>78</v>
      </c>
      <c r="CF95" s="104" t="s">
        <v>111</v>
      </c>
      <c r="CG95" s="104" t="s">
        <v>157</v>
      </c>
      <c r="CH95" s="118" t="n">
        <f aca="false" ca="true" dt2D="false" dtr="false" t="normal">SUBTOTAL(9, CI95:CW95)</f>
        <v>2296257.4311860004</v>
      </c>
      <c r="CI95" s="106" t="n">
        <v>0</v>
      </c>
      <c r="CJ95" s="106" t="n">
        <v>0</v>
      </c>
      <c r="CK95" s="106" t="n"/>
      <c r="CL95" s="106" t="n">
        <v>0</v>
      </c>
      <c r="CM95" s="106" t="n">
        <v>2082908.19</v>
      </c>
      <c r="CN95" s="106" t="n"/>
      <c r="CO95" s="106" t="n"/>
      <c r="CP95" s="106" t="n">
        <v>0</v>
      </c>
      <c r="CQ95" s="106" t="n">
        <v>0</v>
      </c>
      <c r="CR95" s="106" t="n">
        <v>0</v>
      </c>
      <c r="CS95" s="106" t="n">
        <v>0</v>
      </c>
      <c r="CT95" s="106" t="n">
        <v>0</v>
      </c>
      <c r="CU95" s="106" t="n">
        <v>199499.01</v>
      </c>
      <c r="CV95" s="114" t="n">
        <v>2000</v>
      </c>
      <c r="CW95" s="115" t="n">
        <v>11850.231186</v>
      </c>
      <c r="CZ95" s="104" t="s">
        <v>157</v>
      </c>
      <c r="DA95" s="119" t="n">
        <f aca="false" ca="true" dt2D="false" dtr="false" t="normal">SUBTOTAL(9, DB95:DP95)</f>
        <v>2284407.2</v>
      </c>
      <c r="DB95" s="106" t="n">
        <v>0</v>
      </c>
      <c r="DC95" s="106" t="n">
        <v>0</v>
      </c>
      <c r="DD95" s="106" t="n"/>
      <c r="DE95" s="106" t="n">
        <v>0</v>
      </c>
      <c r="DF95" s="106" t="n">
        <v>2082908.19</v>
      </c>
      <c r="DG95" s="106" t="n"/>
      <c r="DH95" s="106" t="n"/>
      <c r="DI95" s="106" t="n">
        <v>0</v>
      </c>
      <c r="DJ95" s="106" t="n">
        <v>0</v>
      </c>
      <c r="DK95" s="106" t="n">
        <v>0</v>
      </c>
      <c r="DL95" s="106" t="n">
        <v>0</v>
      </c>
      <c r="DM95" s="106" t="n">
        <v>0</v>
      </c>
      <c r="DN95" s="106" t="n">
        <v>199499.01</v>
      </c>
      <c r="DO95" s="114" t="n">
        <v>2000</v>
      </c>
      <c r="DP95" s="122" t="n"/>
      <c r="DQ95" s="3" t="n">
        <f aca="false" ca="false" dt2D="false" dtr="false" t="normal">N95-DA95</f>
        <v>0</v>
      </c>
      <c r="DS95" s="9" t="n"/>
    </row>
    <row hidden="false" ht="15" outlineLevel="0" r="96">
      <c r="A96" s="103" t="n">
        <f aca="false" ca="false" dt2D="false" dtr="false" t="normal">+A95+1</f>
        <v>79</v>
      </c>
      <c r="B96" s="104" t="n">
        <f aca="false" ca="false" dt2D="false" dtr="false" t="normal">+B95+1</f>
        <v>79</v>
      </c>
      <c r="C96" s="104" t="s">
        <v>111</v>
      </c>
      <c r="D96" s="104" t="s">
        <v>158</v>
      </c>
      <c r="E96" s="105" t="n">
        <v>1979</v>
      </c>
      <c r="F96" s="105" t="n">
        <v>2013</v>
      </c>
      <c r="G96" s="105" t="s">
        <v>68</v>
      </c>
      <c r="H96" s="105" t="n">
        <v>4</v>
      </c>
      <c r="I96" s="105" t="n">
        <v>6</v>
      </c>
      <c r="J96" s="106" t="n">
        <v>5599.1</v>
      </c>
      <c r="K96" s="106" t="n">
        <v>5005.9</v>
      </c>
      <c r="L96" s="106" t="n">
        <v>0</v>
      </c>
      <c r="M96" s="107" t="n">
        <v>207</v>
      </c>
      <c r="N96" s="108" t="n">
        <f aca="false" ca="false" dt2D="false" dtr="false" t="normal">SUM(P96:T96)</f>
        <v>16584444.2196</v>
      </c>
      <c r="O96" s="106" t="n"/>
      <c r="P96" s="114" t="n"/>
      <c r="Q96" s="114" t="n"/>
      <c r="R96" s="114" t="n">
        <v>2768356.94</v>
      </c>
      <c r="S96" s="114" t="n">
        <v>13816087.2796</v>
      </c>
      <c r="T96" s="106" t="n"/>
      <c r="U96" s="114" t="n">
        <v>3356.42391522894</v>
      </c>
      <c r="V96" s="114" t="n">
        <v>3356.42391522894</v>
      </c>
      <c r="W96" s="110" t="n">
        <v>2022</v>
      </c>
      <c r="X96" s="9" t="e">
        <f aca="false" ca="false" dt2D="false" dtr="false" t="normal">+#REF!-'[9]Приложение №1'!$P1069</f>
        <v>#REF!</v>
      </c>
      <c r="Z96" s="113" t="n">
        <f aca="false" ca="false" dt2D="false" dtr="false" t="normal">SUM(AA96:AO96)</f>
        <v>28192630.469999995</v>
      </c>
      <c r="AA96" s="106" t="n">
        <v>8364919.51072596</v>
      </c>
      <c r="AB96" s="106" t="n">
        <v>4837661.63124552</v>
      </c>
      <c r="AC96" s="106" t="n">
        <v>5113766.53872588</v>
      </c>
      <c r="AD96" s="106" t="n">
        <v>3899290.4561226</v>
      </c>
      <c r="AE96" s="106" t="n">
        <v>1557686.72017854</v>
      </c>
      <c r="AF96" s="106" t="n"/>
      <c r="AG96" s="106" t="n">
        <v>415650.647181</v>
      </c>
      <c r="AH96" s="106" t="n">
        <v>0</v>
      </c>
      <c r="AI96" s="106" t="n">
        <v>0</v>
      </c>
      <c r="AJ96" s="106" t="n">
        <v>0</v>
      </c>
      <c r="AK96" s="106" t="n">
        <v>0</v>
      </c>
      <c r="AL96" s="106" t="n">
        <v>0</v>
      </c>
      <c r="AM96" s="106" t="n">
        <v>3192764.7578</v>
      </c>
      <c r="AN96" s="114" t="n">
        <v>281926.3047</v>
      </c>
      <c r="AO96" s="115" t="n">
        <v>528963.9033205</v>
      </c>
      <c r="AP96" s="112" t="n">
        <f aca="false" ca="false" dt2D="false" dtr="false" t="normal">+N96-'Приложение №2'!E96</f>
        <v>0</v>
      </c>
      <c r="AQ96" s="1" t="n">
        <v>2371814.14</v>
      </c>
      <c r="AR96" s="3" t="n">
        <f aca="false" ca="false" dt2D="false" dtr="false" t="normal">+(K96*10+L96*20)*12*0.85</f>
        <v>510601.8</v>
      </c>
      <c r="AS96" s="3" t="n">
        <f aca="false" ca="false" dt2D="false" dtr="false" t="normal">+(K96*10+L96*20)*12*30-3198417.38</f>
        <v>14822822.620000001</v>
      </c>
      <c r="AT96" s="9" t="n">
        <f aca="false" ca="false" dt2D="false" dtr="false" t="normal">+S96-AS96</f>
        <v>-1006735.340400001</v>
      </c>
      <c r="AW96" s="113" t="n">
        <f aca="false" ca="true" dt2D="false" dtr="false" t="normal">SUBTOTAL(9, AX96:BL96)</f>
        <v>16801922.47724456</v>
      </c>
      <c r="AX96" s="106" t="n">
        <v>8268601.63</v>
      </c>
      <c r="AY96" s="106" t="n"/>
      <c r="AZ96" s="106" t="n">
        <v>3198417.38</v>
      </c>
      <c r="BA96" s="106" t="n">
        <v>2797224.34</v>
      </c>
      <c r="BB96" s="106" t="n"/>
      <c r="BC96" s="106" t="n"/>
      <c r="BD96" s="106" t="n"/>
      <c r="BE96" s="106" t="n">
        <v>0</v>
      </c>
      <c r="BF96" s="106" t="n">
        <v>0</v>
      </c>
      <c r="BG96" s="106" t="n">
        <v>0</v>
      </c>
      <c r="BH96" s="106" t="n">
        <v>0</v>
      </c>
      <c r="BI96" s="106" t="n">
        <v>0</v>
      </c>
      <c r="BJ96" s="106" t="n">
        <v>1945255.4768</v>
      </c>
      <c r="BK96" s="114" t="n">
        <v>203313.0628</v>
      </c>
      <c r="BL96" s="115" t="n">
        <v>389110.58764456</v>
      </c>
      <c r="BM96" s="14" t="n">
        <f aca="false" ca="true" dt2D="false" dtr="false" t="normal">SUBTOTAL(9, BN96:CB96)</f>
        <v>16801922.47724456</v>
      </c>
      <c r="BN96" s="106" t="n">
        <v>8268601.63</v>
      </c>
      <c r="BO96" s="106" t="n"/>
      <c r="BP96" s="106" t="n">
        <v>3198417.38</v>
      </c>
      <c r="BQ96" s="106" t="n">
        <v>2797224.34</v>
      </c>
      <c r="BR96" s="106" t="n"/>
      <c r="BS96" s="106" t="n"/>
      <c r="BT96" s="106" t="n"/>
      <c r="BU96" s="106" t="n">
        <v>0</v>
      </c>
      <c r="BV96" s="106" t="n">
        <v>0</v>
      </c>
      <c r="BW96" s="106" t="n">
        <v>0</v>
      </c>
      <c r="BX96" s="106" t="n">
        <v>0</v>
      </c>
      <c r="BY96" s="106" t="n">
        <v>0</v>
      </c>
      <c r="BZ96" s="106" t="n">
        <v>1945255.4768</v>
      </c>
      <c r="CA96" s="114" t="n">
        <v>203313.0628</v>
      </c>
      <c r="CB96" s="115" t="n">
        <v>389110.58764456</v>
      </c>
      <c r="CD96" s="116" t="n">
        <f aca="false" ca="false" dt2D="false" dtr="false" t="normal">+CD95+1</f>
        <v>79</v>
      </c>
      <c r="CE96" s="117" t="n">
        <f aca="false" ca="false" dt2D="false" dtr="false" t="normal">+CE95+1</f>
        <v>79</v>
      </c>
      <c r="CF96" s="104" t="s">
        <v>111</v>
      </c>
      <c r="CG96" s="104" t="s">
        <v>158</v>
      </c>
      <c r="CH96" s="118" t="n">
        <f aca="false" ca="true" dt2D="false" dtr="false" t="normal">SUBTOTAL(9, CI96:CW96)</f>
        <v>16801922.47724456</v>
      </c>
      <c r="CI96" s="106" t="n">
        <v>8268601.63</v>
      </c>
      <c r="CJ96" s="106" t="n"/>
      <c r="CK96" s="106" t="n">
        <v>3198417.38</v>
      </c>
      <c r="CL96" s="106" t="n">
        <v>2797224.34</v>
      </c>
      <c r="CM96" s="106" t="n"/>
      <c r="CN96" s="106" t="n"/>
      <c r="CO96" s="106" t="n"/>
      <c r="CP96" s="106" t="n">
        <v>0</v>
      </c>
      <c r="CQ96" s="106" t="n">
        <v>0</v>
      </c>
      <c r="CR96" s="106" t="n">
        <v>0</v>
      </c>
      <c r="CS96" s="106" t="n">
        <v>0</v>
      </c>
      <c r="CT96" s="106" t="n">
        <v>0</v>
      </c>
      <c r="CU96" s="106" t="n">
        <v>1945255.4768</v>
      </c>
      <c r="CV96" s="114" t="n">
        <v>203313.0628</v>
      </c>
      <c r="CW96" s="115" t="n">
        <v>389110.58764456</v>
      </c>
      <c r="CZ96" s="104" t="s">
        <v>158</v>
      </c>
      <c r="DA96" s="119" t="n">
        <f aca="false" ca="true" dt2D="false" dtr="false" t="normal">SUBTOTAL(9, DB96:DP96)</f>
        <v>16584444.2196</v>
      </c>
      <c r="DB96" s="106" t="n">
        <v>8268601.63</v>
      </c>
      <c r="DC96" s="106" t="n"/>
      <c r="DD96" s="106" t="n">
        <v>3198417.38</v>
      </c>
      <c r="DE96" s="106" t="n">
        <v>2797224.34</v>
      </c>
      <c r="DF96" s="106" t="n"/>
      <c r="DG96" s="106" t="n"/>
      <c r="DH96" s="106" t="n"/>
      <c r="DI96" s="106" t="n">
        <v>0</v>
      </c>
      <c r="DJ96" s="106" t="n">
        <v>0</v>
      </c>
      <c r="DK96" s="106" t="n">
        <v>0</v>
      </c>
      <c r="DL96" s="106" t="n">
        <v>0</v>
      </c>
      <c r="DM96" s="106" t="n">
        <v>0</v>
      </c>
      <c r="DN96" s="106" t="n">
        <v>1945255.4768</v>
      </c>
      <c r="DO96" s="114" t="n">
        <v>203313.0628</v>
      </c>
      <c r="DP96" s="120" t="n">
        <f aca="false" ca="false" dt2D="false" dtr="false" t="normal">100443.46+35541.21+35647.66</f>
        <v>171632.33000000002</v>
      </c>
      <c r="DQ96" s="3" t="n">
        <f aca="false" ca="false" dt2D="false" dtr="false" t="normal">N96-DA96</f>
        <v>0</v>
      </c>
      <c r="DS96" s="9" t="n"/>
    </row>
    <row hidden="false" ht="15" outlineLevel="0" r="97">
      <c r="A97" s="103" t="n">
        <f aca="false" ca="false" dt2D="false" dtr="false" t="normal">+A96+1</f>
        <v>80</v>
      </c>
      <c r="B97" s="104" t="n">
        <f aca="false" ca="false" dt2D="false" dtr="false" t="normal">+B96+1</f>
        <v>80</v>
      </c>
      <c r="C97" s="104" t="s">
        <v>111</v>
      </c>
      <c r="D97" s="104" t="s">
        <v>159</v>
      </c>
      <c r="E97" s="105" t="n">
        <v>1976</v>
      </c>
      <c r="F97" s="105" t="n">
        <v>2013</v>
      </c>
      <c r="G97" s="105" t="s">
        <v>68</v>
      </c>
      <c r="H97" s="105" t="n">
        <v>4</v>
      </c>
      <c r="I97" s="105" t="n">
        <v>6</v>
      </c>
      <c r="J97" s="106" t="n">
        <v>5761.37</v>
      </c>
      <c r="K97" s="106" t="n">
        <v>4953.17</v>
      </c>
      <c r="L97" s="106" t="n">
        <v>0</v>
      </c>
      <c r="M97" s="107" t="n">
        <v>208</v>
      </c>
      <c r="N97" s="108" t="n">
        <f aca="false" ca="false" dt2D="false" dtr="false" t="normal">SUM(P97:T97)</f>
        <v>6345618.89105144</v>
      </c>
      <c r="O97" s="106" t="n"/>
      <c r="P97" s="114" t="n"/>
      <c r="Q97" s="114" t="n"/>
      <c r="R97" s="114" t="n">
        <v>3001913.74</v>
      </c>
      <c r="S97" s="114" t="n">
        <v>3343705.15105144</v>
      </c>
      <c r="T97" s="114" t="n"/>
      <c r="U97" s="106" t="n">
        <v>1397.2343773615</v>
      </c>
      <c r="V97" s="106" t="n">
        <v>1397.2343773615</v>
      </c>
      <c r="W97" s="110" t="n">
        <v>2022</v>
      </c>
      <c r="X97" s="9" t="e">
        <f aca="false" ca="false" dt2D="false" dtr="false" t="normal">+#REF!-'[9]Приложение №1'!$P874</f>
        <v>#REF!</v>
      </c>
      <c r="Z97" s="113" t="n">
        <f aca="false" ca="false" dt2D="false" dtr="false" t="normal">SUM(AA97:AO97)</f>
        <v>18855188.25</v>
      </c>
      <c r="AA97" s="106" t="n">
        <v>0</v>
      </c>
      <c r="AB97" s="106" t="n">
        <v>4852018.68955818</v>
      </c>
      <c r="AC97" s="106" t="n">
        <v>5128943.00798082</v>
      </c>
      <c r="AD97" s="106" t="n">
        <v>3910862.64518544</v>
      </c>
      <c r="AE97" s="106" t="n">
        <v>1562309.5679604</v>
      </c>
      <c r="AF97" s="106" t="n"/>
      <c r="AG97" s="106" t="n">
        <v>416884.20653628</v>
      </c>
      <c r="AH97" s="106" t="n">
        <v>0</v>
      </c>
      <c r="AI97" s="106" t="n">
        <v>0</v>
      </c>
      <c r="AJ97" s="106" t="n">
        <v>0</v>
      </c>
      <c r="AK97" s="106" t="n">
        <v>0</v>
      </c>
      <c r="AL97" s="106" t="n">
        <v>0</v>
      </c>
      <c r="AM97" s="106" t="n">
        <v>2448551.2283</v>
      </c>
      <c r="AN97" s="114" t="n">
        <v>188551.8825</v>
      </c>
      <c r="AO97" s="115" t="n">
        <v>347067.02197888</v>
      </c>
      <c r="AP97" s="112" t="n">
        <f aca="false" ca="false" dt2D="false" dtr="false" t="normal">+N97-'Приложение №2'!E97</f>
        <v>0</v>
      </c>
      <c r="AQ97" s="1" t="n">
        <f aca="false" ca="false" dt2D="false" dtr="false" t="normal">2496690.4</f>
        <v>2496690.4</v>
      </c>
      <c r="AR97" s="3" t="n">
        <f aca="false" ca="false" dt2D="false" dtr="false" t="normal">+(K97*10+L97*20)*12*0.85</f>
        <v>505223.3399999999</v>
      </c>
      <c r="AS97" s="3" t="n">
        <f aca="false" ca="false" dt2D="false" dtr="false" t="normal">+(K97*10+L97*20)*12*30</f>
        <v>17831411.999999996</v>
      </c>
      <c r="AT97" s="9" t="n">
        <f aca="false" ca="false" dt2D="false" dtr="false" t="normal">+S97-AS97</f>
        <v>-14487706.848948557</v>
      </c>
      <c r="AW97" s="113" t="n">
        <f aca="false" ca="true" dt2D="false" dtr="false" t="normal">SUBTOTAL(9, AX97:BL97)</f>
        <v>6920739.400915678</v>
      </c>
      <c r="AX97" s="106" t="n">
        <v>0</v>
      </c>
      <c r="AY97" s="106" t="n"/>
      <c r="AZ97" s="106" t="n">
        <v>3491728.21</v>
      </c>
      <c r="BA97" s="106" t="n"/>
      <c r="BB97" s="106" t="n"/>
      <c r="BC97" s="106" t="n"/>
      <c r="BD97" s="106" t="n"/>
      <c r="BE97" s="106" t="n">
        <v>0</v>
      </c>
      <c r="BF97" s="106" t="n">
        <v>0</v>
      </c>
      <c r="BG97" s="106" t="n">
        <v>0</v>
      </c>
      <c r="BH97" s="106" t="n">
        <v>0</v>
      </c>
      <c r="BI97" s="106" t="n"/>
      <c r="BJ97" s="106" t="n">
        <v>2595059.90459222</v>
      </c>
      <c r="BK97" s="114" t="n">
        <v>223901.306459222</v>
      </c>
      <c r="BL97" s="115" t="n">
        <v>610049.979864235</v>
      </c>
      <c r="BM97" s="14" t="n">
        <f aca="false" ca="true" dt2D="false" dtr="false" t="normal">SUBTOTAL(9, BN97:CB97)</f>
        <v>6920739.400915678</v>
      </c>
      <c r="BN97" s="106" t="n">
        <v>0</v>
      </c>
      <c r="BO97" s="106" t="n"/>
      <c r="BP97" s="106" t="n">
        <v>3491728.21</v>
      </c>
      <c r="BQ97" s="106" t="n"/>
      <c r="BR97" s="106" t="n"/>
      <c r="BS97" s="106" t="n"/>
      <c r="BT97" s="106" t="n"/>
      <c r="BU97" s="106" t="n">
        <v>0</v>
      </c>
      <c r="BV97" s="106" t="n">
        <v>0</v>
      </c>
      <c r="BW97" s="106" t="n">
        <v>0</v>
      </c>
      <c r="BX97" s="106" t="n">
        <v>0</v>
      </c>
      <c r="BY97" s="106" t="n"/>
      <c r="BZ97" s="106" t="n">
        <v>2595059.90459222</v>
      </c>
      <c r="CA97" s="114" t="n">
        <v>223901.306459222</v>
      </c>
      <c r="CB97" s="115" t="n">
        <v>610049.979864235</v>
      </c>
      <c r="CD97" s="116" t="n">
        <f aca="false" ca="false" dt2D="false" dtr="false" t="normal">+CD96+1</f>
        <v>80</v>
      </c>
      <c r="CE97" s="117" t="n">
        <f aca="false" ca="false" dt2D="false" dtr="false" t="normal">+CE96+1</f>
        <v>80</v>
      </c>
      <c r="CF97" s="104" t="s">
        <v>111</v>
      </c>
      <c r="CG97" s="104" t="s">
        <v>159</v>
      </c>
      <c r="CH97" s="118" t="n">
        <f aca="false" ca="true" dt2D="false" dtr="false" t="normal">SUBTOTAL(9, CI97:CW97)</f>
        <v>6920739.400915678</v>
      </c>
      <c r="CI97" s="106" t="n">
        <v>0</v>
      </c>
      <c r="CJ97" s="106" t="n"/>
      <c r="CK97" s="106" t="n">
        <v>3491728.21</v>
      </c>
      <c r="CL97" s="106" t="n"/>
      <c r="CM97" s="106" t="n"/>
      <c r="CN97" s="106" t="n"/>
      <c r="CO97" s="106" t="n"/>
      <c r="CP97" s="106" t="n">
        <v>0</v>
      </c>
      <c r="CQ97" s="106" t="n">
        <v>0</v>
      </c>
      <c r="CR97" s="106" t="n">
        <v>0</v>
      </c>
      <c r="CS97" s="106" t="n">
        <v>0</v>
      </c>
      <c r="CT97" s="106" t="n"/>
      <c r="CU97" s="106" t="n">
        <v>2595059.90459222</v>
      </c>
      <c r="CV97" s="114" t="n">
        <v>223901.306459222</v>
      </c>
      <c r="CW97" s="115" t="n">
        <v>610049.979864235</v>
      </c>
      <c r="CZ97" s="104" t="s">
        <v>159</v>
      </c>
      <c r="DA97" s="119" t="n">
        <f aca="false" ca="true" dt2D="false" dtr="false" t="normal">SUBTOTAL(9, DB97:DP97)</f>
        <v>6345618.891051442</v>
      </c>
      <c r="DB97" s="106" t="n">
        <v>0</v>
      </c>
      <c r="DC97" s="106" t="n"/>
      <c r="DD97" s="106" t="n">
        <v>3491728.21</v>
      </c>
      <c r="DE97" s="106" t="n"/>
      <c r="DF97" s="106" t="n"/>
      <c r="DG97" s="106" t="n"/>
      <c r="DH97" s="106" t="n"/>
      <c r="DI97" s="106" t="n">
        <v>0</v>
      </c>
      <c r="DJ97" s="106" t="n">
        <v>0</v>
      </c>
      <c r="DK97" s="106" t="n">
        <v>0</v>
      </c>
      <c r="DL97" s="106" t="n">
        <v>0</v>
      </c>
      <c r="DM97" s="106" t="n"/>
      <c r="DN97" s="106" t="n">
        <v>2595059.90459222</v>
      </c>
      <c r="DO97" s="114" t="n">
        <v>223901.306459222</v>
      </c>
      <c r="DP97" s="120" t="n">
        <f aca="false" ca="false" dt2D="false" dtr="false" t="normal">34929.47</f>
        <v>34929.47</v>
      </c>
      <c r="DQ97" s="3" t="n">
        <f aca="false" ca="false" dt2D="false" dtr="false" t="normal">N97-DA97</f>
        <v>0</v>
      </c>
      <c r="DS97" s="9" t="n"/>
    </row>
    <row hidden="false" ht="15" outlineLevel="0" r="98">
      <c r="A98" s="103" t="n">
        <f aca="false" ca="false" dt2D="false" dtr="false" t="normal">+A97+1</f>
        <v>81</v>
      </c>
      <c r="B98" s="104" t="n">
        <f aca="false" ca="false" dt2D="false" dtr="false" t="normal">+B97+1</f>
        <v>81</v>
      </c>
      <c r="C98" s="104" t="s">
        <v>111</v>
      </c>
      <c r="D98" s="104" t="s">
        <v>160</v>
      </c>
      <c r="E98" s="105" t="n">
        <v>1964</v>
      </c>
      <c r="F98" s="105" t="n">
        <v>1978</v>
      </c>
      <c r="G98" s="105" t="s">
        <v>68</v>
      </c>
      <c r="H98" s="105" t="n">
        <v>4</v>
      </c>
      <c r="I98" s="105" t="n">
        <v>4</v>
      </c>
      <c r="J98" s="106" t="n">
        <v>2691.4</v>
      </c>
      <c r="K98" s="106" t="n">
        <v>2511.6</v>
      </c>
      <c r="L98" s="106" t="n">
        <v>55</v>
      </c>
      <c r="M98" s="107" t="n">
        <v>136</v>
      </c>
      <c r="N98" s="108" t="n">
        <f aca="false" ca="false" dt2D="false" dtr="false" t="normal">SUM(P98:T98)</f>
        <v>9789695.05</v>
      </c>
      <c r="O98" s="106" t="n"/>
      <c r="P98" s="114" t="n">
        <v>1737458.06</v>
      </c>
      <c r="Q98" s="114" t="n"/>
      <c r="R98" s="114" t="n">
        <v>1030975.08</v>
      </c>
      <c r="S98" s="114" t="n">
        <v>7021261.91</v>
      </c>
      <c r="T98" s="106" t="n"/>
      <c r="U98" s="114" t="n">
        <v>3907.57326202332</v>
      </c>
      <c r="V98" s="114" t="n">
        <v>3907.57326202332</v>
      </c>
      <c r="W98" s="110" t="n">
        <v>2022</v>
      </c>
      <c r="X98" s="9" t="e">
        <f aca="false" ca="false" dt2D="false" dtr="false" t="normal">+#REF!-'[9]Приложение №1'!$P1460</f>
        <v>#REF!</v>
      </c>
      <c r="Z98" s="113" t="n">
        <f aca="false" ca="false" dt2D="false" dtr="false" t="normal">SUM(AA98:AO98)</f>
        <v>27187931.99</v>
      </c>
      <c r="AA98" s="106" t="n">
        <v>5957834.67882876</v>
      </c>
      <c r="AB98" s="106" t="n">
        <v>2123021.42742732</v>
      </c>
      <c r="AC98" s="106" t="n">
        <v>2218085.01138252</v>
      </c>
      <c r="AD98" s="106" t="n">
        <v>1388661.45881064</v>
      </c>
      <c r="AE98" s="106" t="n">
        <v>849633.775137</v>
      </c>
      <c r="AF98" s="106" t="n"/>
      <c r="AG98" s="106" t="n">
        <v>228618.42683568</v>
      </c>
      <c r="AH98" s="106" t="n">
        <v>0</v>
      </c>
      <c r="AI98" s="106" t="n">
        <v>10891828.3075938</v>
      </c>
      <c r="AJ98" s="106" t="n">
        <v>0</v>
      </c>
      <c r="AK98" s="106" t="n">
        <v>0</v>
      </c>
      <c r="AL98" s="106" t="n">
        <v>0</v>
      </c>
      <c r="AM98" s="106" t="n">
        <v>2741023.9699</v>
      </c>
      <c r="AN98" s="114" t="n">
        <v>271879.3199</v>
      </c>
      <c r="AO98" s="115" t="n">
        <v>517345.61418428</v>
      </c>
      <c r="AP98" s="112" t="n">
        <f aca="false" ca="false" dt2D="false" dtr="false" t="normal">+N98-'Приложение №2'!E98</f>
        <v>0</v>
      </c>
      <c r="AQ98" s="1" t="n">
        <v>1127947.91</v>
      </c>
      <c r="AR98" s="3" t="n">
        <f aca="false" ca="false" dt2D="false" dtr="false" t="normal">+(K98*10+L98*20)*12*0.85</f>
        <v>267403.2</v>
      </c>
      <c r="AS98" s="3" t="n">
        <f aca="false" ca="false" dt2D="false" dtr="false" t="normal">+(K98*10+L98*20)*12*30-1866218.37</f>
        <v>7571541.63</v>
      </c>
      <c r="AT98" s="9" t="n">
        <f aca="false" ca="false" dt2D="false" dtr="false" t="normal">+S98-AS98</f>
        <v>-550279.7199999997</v>
      </c>
      <c r="AW98" s="113" t="n">
        <f aca="false" ca="true" dt2D="false" dtr="false" t="normal">SUBTOTAL(9, AX98:BL98)</f>
        <v>10029177.53430904</v>
      </c>
      <c r="AX98" s="106" t="n">
        <v>2770302.43</v>
      </c>
      <c r="AY98" s="106" t="n"/>
      <c r="AZ98" s="106" t="n"/>
      <c r="BA98" s="106" t="n"/>
      <c r="BB98" s="106" t="n"/>
      <c r="BC98" s="106" t="n"/>
      <c r="BD98" s="106" t="n"/>
      <c r="BE98" s="106" t="n">
        <v>0</v>
      </c>
      <c r="BF98" s="106" t="n">
        <v>6779379.82</v>
      </c>
      <c r="BG98" s="106" t="n">
        <v>0</v>
      </c>
      <c r="BH98" s="106" t="n">
        <v>0</v>
      </c>
      <c r="BI98" s="106" t="n">
        <v>0</v>
      </c>
      <c r="BJ98" s="106" t="n">
        <v>216012.8</v>
      </c>
      <c r="BK98" s="114" t="n">
        <v>24000</v>
      </c>
      <c r="BL98" s="115" t="n">
        <v>239482.48430904</v>
      </c>
      <c r="BM98" s="14" t="n">
        <f aca="false" ca="true" dt2D="false" dtr="false" t="normal">SUBTOTAL(9, BN98:CB98)</f>
        <v>10029177.53430904</v>
      </c>
      <c r="BN98" s="106" t="n">
        <v>2770302.43</v>
      </c>
      <c r="BO98" s="106" t="n"/>
      <c r="BP98" s="133" t="n"/>
      <c r="BQ98" s="106" t="n"/>
      <c r="BR98" s="106" t="n"/>
      <c r="BS98" s="106" t="n"/>
      <c r="BT98" s="106" t="n"/>
      <c r="BU98" s="106" t="n">
        <v>0</v>
      </c>
      <c r="BV98" s="106" t="n">
        <v>6779379.82</v>
      </c>
      <c r="BW98" s="106" t="n">
        <v>0</v>
      </c>
      <c r="BX98" s="106" t="n">
        <v>0</v>
      </c>
      <c r="BY98" s="106" t="n">
        <v>0</v>
      </c>
      <c r="BZ98" s="106" t="n">
        <v>216012.8</v>
      </c>
      <c r="CA98" s="114" t="n">
        <v>24000</v>
      </c>
      <c r="CB98" s="115" t="n">
        <v>239482.48430904</v>
      </c>
      <c r="CD98" s="116" t="n">
        <f aca="false" ca="false" dt2D="false" dtr="false" t="normal">+CD97+1</f>
        <v>81</v>
      </c>
      <c r="CE98" s="117" t="n">
        <f aca="false" ca="false" dt2D="false" dtr="false" t="normal">+CE97+1</f>
        <v>81</v>
      </c>
      <c r="CF98" s="104" t="s">
        <v>111</v>
      </c>
      <c r="CG98" s="104" t="s">
        <v>160</v>
      </c>
      <c r="CH98" s="118" t="n">
        <f aca="false" ca="true" dt2D="false" dtr="false" t="normal">SUBTOTAL(9, CI98:CW98)</f>
        <v>10029177.53430904</v>
      </c>
      <c r="CI98" s="106" t="n">
        <v>2770302.43</v>
      </c>
      <c r="CJ98" s="106" t="n"/>
      <c r="CK98" s="133" t="n"/>
      <c r="CL98" s="106" t="n"/>
      <c r="CM98" s="106" t="n"/>
      <c r="CN98" s="106" t="n"/>
      <c r="CO98" s="106" t="n"/>
      <c r="CP98" s="106" t="n">
        <v>0</v>
      </c>
      <c r="CQ98" s="106" t="n">
        <v>6779379.82</v>
      </c>
      <c r="CR98" s="106" t="n">
        <v>0</v>
      </c>
      <c r="CS98" s="106" t="n">
        <v>0</v>
      </c>
      <c r="CT98" s="106" t="n">
        <v>0</v>
      </c>
      <c r="CU98" s="106" t="n">
        <v>216012.8</v>
      </c>
      <c r="CV98" s="114" t="n">
        <v>24000</v>
      </c>
      <c r="CW98" s="115" t="n">
        <v>239482.48430904</v>
      </c>
      <c r="CZ98" s="104" t="s">
        <v>160</v>
      </c>
      <c r="DA98" s="119" t="n">
        <f aca="false" ca="true" dt2D="false" dtr="false" t="normal">SUBTOTAL(9, DB98:DP98)</f>
        <v>9789695.05</v>
      </c>
      <c r="DB98" s="106" t="n">
        <v>2770302.43</v>
      </c>
      <c r="DC98" s="106" t="n"/>
      <c r="DD98" s="133" t="n"/>
      <c r="DE98" s="106" t="n"/>
      <c r="DF98" s="106" t="n"/>
      <c r="DG98" s="106" t="n"/>
      <c r="DH98" s="106" t="n"/>
      <c r="DI98" s="106" t="n">
        <v>0</v>
      </c>
      <c r="DJ98" s="106" t="n">
        <v>6779379.82</v>
      </c>
      <c r="DK98" s="106" t="n">
        <v>0</v>
      </c>
      <c r="DL98" s="106" t="n">
        <v>0</v>
      </c>
      <c r="DM98" s="106" t="n">
        <v>0</v>
      </c>
      <c r="DN98" s="106" t="n">
        <v>216012.8</v>
      </c>
      <c r="DO98" s="114" t="n">
        <v>24000</v>
      </c>
      <c r="DP98" s="122" t="n"/>
      <c r="DQ98" s="3" t="n">
        <f aca="false" ca="false" dt2D="false" dtr="false" t="normal">N98-DA98</f>
        <v>0</v>
      </c>
      <c r="DS98" s="9" t="n"/>
    </row>
    <row hidden="false" ht="15" outlineLevel="0" r="99">
      <c r="A99" s="103" t="n">
        <f aca="false" ca="false" dt2D="false" dtr="false" t="normal">+A98+1</f>
        <v>82</v>
      </c>
      <c r="B99" s="104" t="n">
        <f aca="false" ca="false" dt2D="false" dtr="false" t="normal">+B98+1</f>
        <v>82</v>
      </c>
      <c r="C99" s="104" t="s">
        <v>111</v>
      </c>
      <c r="D99" s="104" t="s">
        <v>161</v>
      </c>
      <c r="E99" s="105" t="n">
        <v>1964</v>
      </c>
      <c r="F99" s="105" t="n">
        <v>2013</v>
      </c>
      <c r="G99" s="105" t="s">
        <v>68</v>
      </c>
      <c r="H99" s="105" t="n">
        <v>4</v>
      </c>
      <c r="I99" s="105" t="n">
        <v>2</v>
      </c>
      <c r="J99" s="106" t="n">
        <v>1305.4</v>
      </c>
      <c r="K99" s="106" t="n">
        <v>1212.2</v>
      </c>
      <c r="L99" s="106" t="n">
        <v>0</v>
      </c>
      <c r="M99" s="107" t="n">
        <v>58</v>
      </c>
      <c r="N99" s="108" t="n">
        <f aca="false" ca="false" dt2D="false" dtr="false" t="normal">SUM(P99:T99)</f>
        <v>5315487.65</v>
      </c>
      <c r="O99" s="106" t="n"/>
      <c r="P99" s="114" t="n">
        <v>474969.94</v>
      </c>
      <c r="Q99" s="114" t="n"/>
      <c r="R99" s="114" t="n">
        <v>552763.5</v>
      </c>
      <c r="S99" s="114" t="n">
        <v>4287754.21</v>
      </c>
      <c r="T99" s="106" t="n"/>
      <c r="U99" s="114" t="n">
        <v>4437.72322024592</v>
      </c>
      <c r="V99" s="114" t="n">
        <v>4437.72322024592</v>
      </c>
      <c r="W99" s="110" t="n">
        <v>2022</v>
      </c>
      <c r="X99" s="9" t="e">
        <f aca="false" ca="false" dt2D="false" dtr="false" t="normal">+#REF!-'[9]Приложение №1'!$P1461</f>
        <v>#REF!</v>
      </c>
      <c r="Z99" s="113" t="n">
        <f aca="false" ca="false" dt2D="false" dtr="false" t="normal">SUM(AA99:AO99)</f>
        <v>12125695.48759958</v>
      </c>
      <c r="AA99" s="106" t="n">
        <v>2893205.1202509</v>
      </c>
      <c r="AB99" s="106" t="n">
        <v>1030967.92465086</v>
      </c>
      <c r="AC99" s="106" t="n"/>
      <c r="AD99" s="106" t="n">
        <v>674352.78890196</v>
      </c>
      <c r="AE99" s="106" t="n">
        <v>412593.65314902</v>
      </c>
      <c r="AF99" s="106" t="n"/>
      <c r="AG99" s="106" t="n">
        <v>111020.198121</v>
      </c>
      <c r="AH99" s="106" t="n">
        <v>0</v>
      </c>
      <c r="AI99" s="106" t="n">
        <v>5289219.1770768</v>
      </c>
      <c r="AJ99" s="106" t="n">
        <v>0</v>
      </c>
      <c r="AK99" s="106" t="n">
        <v>0</v>
      </c>
      <c r="AL99" s="106" t="n">
        <v>0</v>
      </c>
      <c r="AM99" s="106" t="n">
        <v>1331078.3206</v>
      </c>
      <c r="AN99" s="114" t="n">
        <v>132028.2758</v>
      </c>
      <c r="AO99" s="115" t="n">
        <v>251230.02904904</v>
      </c>
      <c r="AP99" s="112" t="n">
        <f aca="false" ca="false" dt2D="false" dtr="false" t="normal">+N99-'Приложение №2'!E99</f>
        <v>0</v>
      </c>
      <c r="AQ99" s="1" t="n">
        <f aca="false" ca="false" dt2D="false" dtr="false" t="normal">572097.59-28183.24</f>
        <v>543914.35</v>
      </c>
      <c r="AR99" s="3" t="n">
        <f aca="false" ca="false" dt2D="false" dtr="false" t="normal">+(K99*10+L99*20)*12*0.85</f>
        <v>123644.4</v>
      </c>
      <c r="AS99" s="3" t="n">
        <f aca="false" ca="false" dt2D="false" dtr="false" t="normal">+(K99*10+L99*20)*12*30-225791.95</f>
        <v>4138128.05</v>
      </c>
      <c r="AT99" s="9" t="n">
        <f aca="false" ca="false" dt2D="false" dtr="false" t="normal">+S99-AS99</f>
        <v>149626.16000000015</v>
      </c>
      <c r="AW99" s="113" t="n">
        <f aca="false" ca="true" dt2D="false" dtr="false" t="normal">SUBTOTAL(9, AX99:BL99)</f>
        <v>5379408.0875821</v>
      </c>
      <c r="AX99" s="106" t="n">
        <v>1643046.08</v>
      </c>
      <c r="AY99" s="106" t="n"/>
      <c r="AZ99" s="106" t="n"/>
      <c r="BA99" s="106" t="n"/>
      <c r="BB99" s="106" t="n"/>
      <c r="BC99" s="106" t="n"/>
      <c r="BD99" s="106" t="n"/>
      <c r="BE99" s="106" t="n">
        <v>0</v>
      </c>
      <c r="BF99" s="106" t="n">
        <v>3461614.25</v>
      </c>
      <c r="BG99" s="106" t="n">
        <v>0</v>
      </c>
      <c r="BH99" s="106" t="n">
        <v>0</v>
      </c>
      <c r="BI99" s="106" t="n">
        <v>0</v>
      </c>
      <c r="BJ99" s="106" t="n">
        <v>156962.18</v>
      </c>
      <c r="BK99" s="114" t="n">
        <v>24000</v>
      </c>
      <c r="BL99" s="115" t="n">
        <v>93785.5775821</v>
      </c>
      <c r="BM99" s="14" t="n">
        <f aca="false" ca="true" dt2D="false" dtr="false" t="normal">SUBTOTAL(9, BN99:CB99)</f>
        <v>5379408.0875821</v>
      </c>
      <c r="BN99" s="106" t="n">
        <v>1643046.08</v>
      </c>
      <c r="BO99" s="106" t="n"/>
      <c r="BP99" s="133" t="n"/>
      <c r="BQ99" s="106" t="n"/>
      <c r="BR99" s="106" t="n"/>
      <c r="BS99" s="106" t="n"/>
      <c r="BT99" s="106" t="n"/>
      <c r="BU99" s="106" t="n">
        <v>0</v>
      </c>
      <c r="BV99" s="106" t="n">
        <v>3461614.25</v>
      </c>
      <c r="BW99" s="106" t="n">
        <v>0</v>
      </c>
      <c r="BX99" s="106" t="n">
        <v>0</v>
      </c>
      <c r="BY99" s="106" t="n">
        <v>0</v>
      </c>
      <c r="BZ99" s="106" t="n">
        <v>156962.18</v>
      </c>
      <c r="CA99" s="114" t="n">
        <v>24000</v>
      </c>
      <c r="CB99" s="115" t="n">
        <v>93785.5775821</v>
      </c>
      <c r="CD99" s="116" t="n">
        <f aca="false" ca="false" dt2D="false" dtr="false" t="normal">+CD98+1</f>
        <v>82</v>
      </c>
      <c r="CE99" s="117" t="n">
        <f aca="false" ca="false" dt2D="false" dtr="false" t="normal">+CE98+1</f>
        <v>82</v>
      </c>
      <c r="CF99" s="104" t="s">
        <v>111</v>
      </c>
      <c r="CG99" s="104" t="s">
        <v>161</v>
      </c>
      <c r="CH99" s="118" t="n">
        <f aca="false" ca="true" dt2D="false" dtr="false" t="normal">SUBTOTAL(9, CI99:CW99)</f>
        <v>5379408.0875821</v>
      </c>
      <c r="CI99" s="106" t="n">
        <v>1643046.08</v>
      </c>
      <c r="CJ99" s="106" t="n"/>
      <c r="CK99" s="133" t="n"/>
      <c r="CL99" s="106" t="n"/>
      <c r="CM99" s="106" t="n"/>
      <c r="CN99" s="106" t="n"/>
      <c r="CO99" s="106" t="n"/>
      <c r="CP99" s="106" t="n">
        <v>0</v>
      </c>
      <c r="CQ99" s="106" t="n">
        <v>3461614.25</v>
      </c>
      <c r="CR99" s="106" t="n">
        <v>0</v>
      </c>
      <c r="CS99" s="106" t="n">
        <v>0</v>
      </c>
      <c r="CT99" s="106" t="n">
        <v>0</v>
      </c>
      <c r="CU99" s="106" t="n">
        <v>156962.18</v>
      </c>
      <c r="CV99" s="114" t="n">
        <v>24000</v>
      </c>
      <c r="CW99" s="115" t="n">
        <v>93785.5775821</v>
      </c>
      <c r="CZ99" s="104" t="s">
        <v>161</v>
      </c>
      <c r="DA99" s="119" t="n">
        <f aca="false" ca="true" dt2D="false" dtr="false" t="normal">SUBTOTAL(9, DB99:DP99)</f>
        <v>5315487.649999999</v>
      </c>
      <c r="DB99" s="106" t="n">
        <v>1643046.08</v>
      </c>
      <c r="DC99" s="106" t="n"/>
      <c r="DD99" s="133" t="n"/>
      <c r="DE99" s="106" t="n"/>
      <c r="DF99" s="106" t="n"/>
      <c r="DG99" s="106" t="n"/>
      <c r="DH99" s="106" t="n"/>
      <c r="DI99" s="106" t="n">
        <v>0</v>
      </c>
      <c r="DJ99" s="106" t="n">
        <v>3461614.25</v>
      </c>
      <c r="DK99" s="106" t="n">
        <v>0</v>
      </c>
      <c r="DL99" s="106" t="n">
        <v>0</v>
      </c>
      <c r="DM99" s="106" t="n">
        <v>0</v>
      </c>
      <c r="DN99" s="106" t="n">
        <v>156962.18</v>
      </c>
      <c r="DO99" s="114" t="n">
        <v>24000</v>
      </c>
      <c r="DP99" s="120" t="n">
        <f aca="false" ca="false" dt2D="false" dtr="false" t="normal">29865.14</f>
        <v>29865.14</v>
      </c>
      <c r="DQ99" s="3" t="n">
        <f aca="false" ca="false" dt2D="false" dtr="false" t="normal">N99-DA99</f>
        <v>0</v>
      </c>
      <c r="DS99" s="9" t="n"/>
    </row>
    <row hidden="false" ht="15" outlineLevel="0" r="100">
      <c r="A100" s="103" t="n">
        <f aca="false" ca="false" dt2D="false" dtr="false" t="normal">+A99+1</f>
        <v>83</v>
      </c>
      <c r="B100" s="104" t="n">
        <f aca="false" ca="false" dt2D="false" dtr="false" t="normal">+B99+1</f>
        <v>83</v>
      </c>
      <c r="C100" s="104" t="s">
        <v>111</v>
      </c>
      <c r="D100" s="104" t="s">
        <v>162</v>
      </c>
      <c r="E100" s="105" t="n">
        <v>1964</v>
      </c>
      <c r="F100" s="105" t="n">
        <v>2013</v>
      </c>
      <c r="G100" s="105" t="s">
        <v>68</v>
      </c>
      <c r="H100" s="105" t="n">
        <v>4</v>
      </c>
      <c r="I100" s="105" t="n">
        <v>2</v>
      </c>
      <c r="J100" s="106" t="n">
        <v>1348</v>
      </c>
      <c r="K100" s="106" t="n">
        <v>1248.9</v>
      </c>
      <c r="L100" s="106" t="n">
        <v>0</v>
      </c>
      <c r="M100" s="107" t="n">
        <v>74</v>
      </c>
      <c r="N100" s="108" t="n">
        <f aca="false" ca="false" dt2D="false" dtr="false" t="normal">SUM(P100:T100)</f>
        <v>3123256.04</v>
      </c>
      <c r="O100" s="106" t="n"/>
      <c r="P100" s="114" t="n"/>
      <c r="Q100" s="114" t="n"/>
      <c r="R100" s="114" t="n">
        <v>228782.46</v>
      </c>
      <c r="S100" s="114" t="n">
        <v>2894473.58</v>
      </c>
      <c r="T100" s="106" t="n"/>
      <c r="U100" s="114" t="n">
        <v>2646.4424873643</v>
      </c>
      <c r="V100" s="114" t="n">
        <v>2646.4424873643</v>
      </c>
      <c r="W100" s="110" t="n">
        <v>2022</v>
      </c>
      <c r="X100" s="9" t="e">
        <f aca="false" ca="false" dt2D="false" dtr="false" t="normal">+#REF!-'[9]Приложение №1'!$P1462</f>
        <v>#REF!</v>
      </c>
      <c r="Z100" s="113" t="n">
        <f aca="false" ca="false" dt2D="false" dtr="false" t="normal">SUM(AA100:AO100)</f>
        <v>13604861.209999999</v>
      </c>
      <c r="AA100" s="106" t="n">
        <v>2981304.86633616</v>
      </c>
      <c r="AB100" s="106" t="n">
        <v>1062361.48770948</v>
      </c>
      <c r="AC100" s="106" t="n">
        <v>1109931.37521504</v>
      </c>
      <c r="AD100" s="106" t="n">
        <v>694887.2179284</v>
      </c>
      <c r="AE100" s="106" t="n">
        <v>425157.36756066</v>
      </c>
      <c r="AF100" s="106" t="n"/>
      <c r="AG100" s="106" t="n">
        <v>114400.82936268</v>
      </c>
      <c r="AH100" s="106" t="n">
        <v>0</v>
      </c>
      <c r="AI100" s="106" t="n">
        <v>5450278.9118778</v>
      </c>
      <c r="AJ100" s="106" t="n">
        <v>0</v>
      </c>
      <c r="AK100" s="106" t="n">
        <v>0</v>
      </c>
      <c r="AL100" s="106" t="n">
        <v>0</v>
      </c>
      <c r="AM100" s="106" t="n">
        <v>1371610.4152</v>
      </c>
      <c r="AN100" s="114" t="n">
        <v>136048.6121</v>
      </c>
      <c r="AO100" s="115" t="n">
        <v>258880.12670978</v>
      </c>
      <c r="AP100" s="112" t="n">
        <f aca="false" ca="false" dt2D="false" dtr="false" t="normal">+N100-'Приложение №2'!E100</f>
        <v>0</v>
      </c>
      <c r="AQ100" s="1" t="n">
        <v>546149.31</v>
      </c>
      <c r="AR100" s="3" t="n">
        <f aca="false" ca="false" dt2D="false" dtr="false" t="normal">+(K100*10+L100*20)*12*0.85</f>
        <v>127387.8</v>
      </c>
      <c r="AS100" s="3" t="n">
        <f aca="false" ca="false" dt2D="false" dtr="false" t="normal">+(K100*10+L100*20)*12*30</f>
        <v>4496040</v>
      </c>
      <c r="AT100" s="9" t="n">
        <f aca="false" ca="false" dt2D="false" dtr="false" t="normal">+S100-AS100</f>
        <v>-1601566.42</v>
      </c>
      <c r="AW100" s="113" t="n">
        <f aca="false" ca="true" dt2D="false" dtr="false" t="normal">SUBTOTAL(9, AX100:BL100)</f>
        <v>3305142.02246928</v>
      </c>
      <c r="AX100" s="106" t="n"/>
      <c r="AY100" s="106" t="n"/>
      <c r="AZ100" s="106" t="n">
        <v>417598.24</v>
      </c>
      <c r="BA100" s="106" t="n"/>
      <c r="BB100" s="106" t="n"/>
      <c r="BC100" s="106" t="n"/>
      <c r="BD100" s="106" t="n"/>
      <c r="BE100" s="106" t="n">
        <v>0</v>
      </c>
      <c r="BF100" s="106" t="n">
        <v>2705657.8</v>
      </c>
      <c r="BG100" s="106" t="n">
        <v>0</v>
      </c>
      <c r="BH100" s="106" t="n">
        <v>0</v>
      </c>
      <c r="BI100" s="106" t="n">
        <v>0</v>
      </c>
      <c r="BJ100" s="106" t="n"/>
      <c r="BK100" s="114" t="n"/>
      <c r="BL100" s="115" t="n">
        <v>181885.98246928</v>
      </c>
      <c r="BM100" s="14" t="n">
        <f aca="false" ca="true" dt2D="false" dtr="false" t="normal">SUBTOTAL(9, BN100:CB100)</f>
        <v>3305142.02246928</v>
      </c>
      <c r="BN100" s="106" t="n"/>
      <c r="BO100" s="106" t="n"/>
      <c r="BP100" s="133" t="n">
        <v>417598.24</v>
      </c>
      <c r="BQ100" s="106" t="n"/>
      <c r="BR100" s="106" t="n"/>
      <c r="BS100" s="106" t="n"/>
      <c r="BT100" s="106" t="n"/>
      <c r="BU100" s="106" t="n">
        <v>0</v>
      </c>
      <c r="BV100" s="106" t="n">
        <v>2705657.8</v>
      </c>
      <c r="BW100" s="106" t="n">
        <v>0</v>
      </c>
      <c r="BX100" s="106" t="n">
        <v>0</v>
      </c>
      <c r="BY100" s="106" t="n">
        <v>0</v>
      </c>
      <c r="BZ100" s="106" t="n"/>
      <c r="CA100" s="114" t="n"/>
      <c r="CB100" s="115" t="n">
        <v>181885.98246928</v>
      </c>
      <c r="CD100" s="116" t="n">
        <f aca="false" ca="false" dt2D="false" dtr="false" t="normal">+CD99+1</f>
        <v>83</v>
      </c>
      <c r="CE100" s="117" t="n">
        <f aca="false" ca="false" dt2D="false" dtr="false" t="normal">+CE99+1</f>
        <v>83</v>
      </c>
      <c r="CF100" s="104" t="s">
        <v>111</v>
      </c>
      <c r="CG100" s="104" t="s">
        <v>162</v>
      </c>
      <c r="CH100" s="118" t="n">
        <f aca="false" ca="true" dt2D="false" dtr="false" t="normal">SUBTOTAL(9, CI100:CW100)</f>
        <v>3305142.02246928</v>
      </c>
      <c r="CI100" s="106" t="n"/>
      <c r="CJ100" s="106" t="n"/>
      <c r="CK100" s="133" t="n">
        <v>417598.24</v>
      </c>
      <c r="CL100" s="106" t="n"/>
      <c r="CM100" s="106" t="n"/>
      <c r="CN100" s="106" t="n"/>
      <c r="CO100" s="106" t="n"/>
      <c r="CP100" s="106" t="n">
        <v>0</v>
      </c>
      <c r="CQ100" s="106" t="n">
        <v>2705657.8</v>
      </c>
      <c r="CR100" s="106" t="n">
        <v>0</v>
      </c>
      <c r="CS100" s="106" t="n">
        <v>0</v>
      </c>
      <c r="CT100" s="106" t="n">
        <v>0</v>
      </c>
      <c r="CU100" s="106" t="n"/>
      <c r="CV100" s="114" t="n"/>
      <c r="CW100" s="115" t="n">
        <v>181885.98246928</v>
      </c>
      <c r="CZ100" s="104" t="s">
        <v>162</v>
      </c>
      <c r="DA100" s="119" t="n">
        <f aca="false" ca="true" dt2D="false" dtr="false" t="normal">SUBTOTAL(9, DB100:DP100)</f>
        <v>3123256.04</v>
      </c>
      <c r="DB100" s="106" t="n"/>
      <c r="DC100" s="106" t="n"/>
      <c r="DD100" s="133" t="n">
        <v>417598.24</v>
      </c>
      <c r="DE100" s="106" t="n"/>
      <c r="DF100" s="106" t="n"/>
      <c r="DG100" s="106" t="n"/>
      <c r="DH100" s="106" t="n"/>
      <c r="DI100" s="106" t="n">
        <v>0</v>
      </c>
      <c r="DJ100" s="106" t="n">
        <v>2705657.8</v>
      </c>
      <c r="DK100" s="106" t="n">
        <v>0</v>
      </c>
      <c r="DL100" s="106" t="n">
        <v>0</v>
      </c>
      <c r="DM100" s="106" t="n">
        <v>0</v>
      </c>
      <c r="DN100" s="106" t="n"/>
      <c r="DO100" s="114" t="n"/>
      <c r="DP100" s="122" t="n"/>
      <c r="DQ100" s="3" t="n">
        <f aca="false" ca="false" dt2D="false" dtr="false" t="normal">N100-DA100</f>
        <v>0</v>
      </c>
      <c r="DS100" s="9" t="n"/>
    </row>
    <row hidden="false" ht="15" outlineLevel="0" r="101">
      <c r="A101" s="103" t="n">
        <f aca="false" ca="false" dt2D="false" dtr="false" t="normal">+A100+1</f>
        <v>84</v>
      </c>
      <c r="B101" s="104" t="n">
        <f aca="false" ca="false" dt2D="false" dtr="false" t="normal">+B100+1</f>
        <v>84</v>
      </c>
      <c r="C101" s="104" t="s">
        <v>111</v>
      </c>
      <c r="D101" s="104" t="s">
        <v>163</v>
      </c>
      <c r="E101" s="105" t="n">
        <v>1979</v>
      </c>
      <c r="F101" s="105" t="n">
        <v>2013</v>
      </c>
      <c r="G101" s="105" t="s">
        <v>68</v>
      </c>
      <c r="H101" s="105" t="n">
        <v>4</v>
      </c>
      <c r="I101" s="105" t="n">
        <v>4</v>
      </c>
      <c r="J101" s="106" t="n">
        <v>3976.8</v>
      </c>
      <c r="K101" s="106" t="n">
        <v>3445</v>
      </c>
      <c r="L101" s="106" t="n">
        <v>0</v>
      </c>
      <c r="M101" s="107" t="n">
        <v>147</v>
      </c>
      <c r="N101" s="108" t="n">
        <f aca="false" ca="false" dt2D="false" dtr="false" t="normal">SUM(P101:T101)</f>
        <v>11055411.04</v>
      </c>
      <c r="O101" s="106" t="n"/>
      <c r="P101" s="114" t="n"/>
      <c r="Q101" s="114" t="n"/>
      <c r="R101" s="114" t="n">
        <v>1880810.18</v>
      </c>
      <c r="S101" s="114" t="n">
        <v>9174600.86</v>
      </c>
      <c r="T101" s="106" t="n"/>
      <c r="U101" s="114" t="n">
        <v>3261.87863357678</v>
      </c>
      <c r="V101" s="114" t="n">
        <v>3261.87863357678</v>
      </c>
      <c r="W101" s="110" t="n">
        <v>2022</v>
      </c>
      <c r="X101" s="9" t="e">
        <f aca="false" ca="false" dt2D="false" dtr="false" t="normal">+#REF!-'[9]Приложение №1'!$P1079</f>
        <v>#REF!</v>
      </c>
      <c r="Z101" s="113" t="n">
        <f aca="false" ca="false" dt2D="false" dtr="false" t="normal">SUM(AA101:AO101)</f>
        <v>19622588.439999994</v>
      </c>
      <c r="AA101" s="106" t="n">
        <v>5822137.5647799</v>
      </c>
      <c r="AB101" s="106" t="n">
        <v>3367101.31830156</v>
      </c>
      <c r="AC101" s="106" t="n">
        <v>3559275.40230276</v>
      </c>
      <c r="AD101" s="106" t="n">
        <v>2713977.75405288</v>
      </c>
      <c r="AE101" s="106" t="n">
        <v>1084178.55356622</v>
      </c>
      <c r="AF101" s="106" t="n"/>
      <c r="AG101" s="106" t="n">
        <v>289300.4823828</v>
      </c>
      <c r="AH101" s="106" t="n">
        <v>0</v>
      </c>
      <c r="AI101" s="106" t="n">
        <v>0</v>
      </c>
      <c r="AJ101" s="106" t="n">
        <v>0</v>
      </c>
      <c r="AK101" s="106" t="n">
        <v>0</v>
      </c>
      <c r="AL101" s="106" t="n">
        <v>0</v>
      </c>
      <c r="AM101" s="106" t="n">
        <v>2222222.8914</v>
      </c>
      <c r="AN101" s="114" t="n">
        <v>196225.8844</v>
      </c>
      <c r="AO101" s="115" t="n">
        <v>368168.58881388</v>
      </c>
      <c r="AP101" s="112" t="n">
        <f aca="false" ca="false" dt2D="false" dtr="false" t="normal">+N101-'Приложение №2'!E101</f>
        <v>0</v>
      </c>
      <c r="AQ101" s="1" t="n">
        <v>1631711.2</v>
      </c>
      <c r="AR101" s="3" t="n">
        <f aca="false" ca="false" dt2D="false" dtr="false" t="normal">+(K101*10+L101*20)*12*0.85</f>
        <v>351390</v>
      </c>
      <c r="AS101" s="3" t="n">
        <f aca="false" ca="false" dt2D="false" dtr="false" t="normal">+(K101*10+L101*20)*12*30</f>
        <v>12402000</v>
      </c>
      <c r="AT101" s="9" t="n">
        <f aca="false" ca="false" dt2D="false" dtr="false" t="normal">+S101-AS101</f>
        <v>-3227399.1400000006</v>
      </c>
      <c r="AW101" s="113" t="n">
        <f aca="false" ca="true" dt2D="false" dtr="false" t="normal">SUBTOTAL(9, AX101:BL101)</f>
        <v>11237171.892672002</v>
      </c>
      <c r="AX101" s="106" t="n">
        <v>6273586.15</v>
      </c>
      <c r="AY101" s="106" t="n"/>
      <c r="AZ101" s="106" t="n">
        <v>1824432.9</v>
      </c>
      <c r="BA101" s="106" t="n">
        <v>2750949.97</v>
      </c>
      <c r="BB101" s="106" t="n"/>
      <c r="BC101" s="106" t="n"/>
      <c r="BD101" s="106" t="n"/>
      <c r="BE101" s="106" t="n">
        <v>0</v>
      </c>
      <c r="BF101" s="106" t="n">
        <v>0</v>
      </c>
      <c r="BG101" s="106" t="n">
        <v>0</v>
      </c>
      <c r="BH101" s="106" t="n">
        <v>0</v>
      </c>
      <c r="BI101" s="106" t="n">
        <v>0</v>
      </c>
      <c r="BJ101" s="106" t="n">
        <v>75835.89</v>
      </c>
      <c r="BK101" s="114" t="n">
        <v>18000</v>
      </c>
      <c r="BL101" s="115" t="n">
        <v>294366.982672</v>
      </c>
      <c r="BM101" s="14" t="n">
        <f aca="false" ca="true" dt2D="false" dtr="false" t="normal">SUBTOTAL(9, BN101:CB101)</f>
        <v>11237171.892672002</v>
      </c>
      <c r="BN101" s="106" t="n">
        <v>6273586.15</v>
      </c>
      <c r="BO101" s="106" t="n"/>
      <c r="BP101" s="133" t="n">
        <v>1824432.9</v>
      </c>
      <c r="BQ101" s="106" t="n">
        <v>2750949.97</v>
      </c>
      <c r="BR101" s="106" t="n"/>
      <c r="BS101" s="106" t="n"/>
      <c r="BT101" s="106" t="n"/>
      <c r="BU101" s="106" t="n">
        <v>0</v>
      </c>
      <c r="BV101" s="106" t="n">
        <v>0</v>
      </c>
      <c r="BW101" s="106" t="n">
        <v>0</v>
      </c>
      <c r="BX101" s="106" t="n">
        <v>0</v>
      </c>
      <c r="BY101" s="106" t="n">
        <v>0</v>
      </c>
      <c r="BZ101" s="106" t="n">
        <v>75835.89</v>
      </c>
      <c r="CA101" s="114" t="n">
        <v>18000</v>
      </c>
      <c r="CB101" s="115" t="n">
        <v>294366.982672</v>
      </c>
      <c r="CD101" s="116" t="n">
        <f aca="false" ca="false" dt2D="false" dtr="false" t="normal">+CD100+1</f>
        <v>84</v>
      </c>
      <c r="CE101" s="117" t="n">
        <f aca="false" ca="false" dt2D="false" dtr="false" t="normal">+CE100+1</f>
        <v>84</v>
      </c>
      <c r="CF101" s="104" t="s">
        <v>111</v>
      </c>
      <c r="CG101" s="104" t="s">
        <v>163</v>
      </c>
      <c r="CH101" s="118" t="n">
        <f aca="false" ca="true" dt2D="false" dtr="false" t="normal">SUBTOTAL(9, CI101:CW101)</f>
        <v>11237171.892672002</v>
      </c>
      <c r="CI101" s="106" t="n">
        <v>6273586.15</v>
      </c>
      <c r="CJ101" s="106" t="n"/>
      <c r="CK101" s="133" t="n">
        <v>1824432.9</v>
      </c>
      <c r="CL101" s="106" t="n">
        <v>2750949.97</v>
      </c>
      <c r="CM101" s="106" t="n"/>
      <c r="CN101" s="106" t="n"/>
      <c r="CO101" s="106" t="n"/>
      <c r="CP101" s="106" t="n">
        <v>0</v>
      </c>
      <c r="CQ101" s="106" t="n">
        <v>0</v>
      </c>
      <c r="CR101" s="106" t="n">
        <v>0</v>
      </c>
      <c r="CS101" s="106" t="n">
        <v>0</v>
      </c>
      <c r="CT101" s="106" t="n">
        <v>0</v>
      </c>
      <c r="CU101" s="106" t="n">
        <v>75835.89</v>
      </c>
      <c r="CV101" s="114" t="n">
        <v>18000</v>
      </c>
      <c r="CW101" s="115" t="n">
        <v>294366.982672</v>
      </c>
      <c r="CZ101" s="104" t="s">
        <v>163</v>
      </c>
      <c r="DA101" s="119" t="n">
        <f aca="false" ca="true" dt2D="false" dtr="false" t="normal">SUBTOTAL(9, DB101:DP101)</f>
        <v>11055411.040000003</v>
      </c>
      <c r="DB101" s="106" t="n">
        <v>6273586.15</v>
      </c>
      <c r="DC101" s="106" t="n"/>
      <c r="DD101" s="133" t="n">
        <v>1824432.9</v>
      </c>
      <c r="DE101" s="106" t="n">
        <v>2750949.97</v>
      </c>
      <c r="DF101" s="106" t="n"/>
      <c r="DG101" s="106" t="n"/>
      <c r="DH101" s="106" t="n"/>
      <c r="DI101" s="106" t="n">
        <v>0</v>
      </c>
      <c r="DJ101" s="106" t="n">
        <v>0</v>
      </c>
      <c r="DK101" s="106" t="n">
        <v>0</v>
      </c>
      <c r="DL101" s="106" t="n">
        <v>0</v>
      </c>
      <c r="DM101" s="106" t="n">
        <v>0</v>
      </c>
      <c r="DN101" s="106" t="n">
        <v>75835.89</v>
      </c>
      <c r="DO101" s="114" t="n">
        <v>18000</v>
      </c>
      <c r="DP101" s="120" t="n">
        <f aca="false" ca="false" dt2D="false" dtr="false" t="normal">112606.13</f>
        <v>112606.13</v>
      </c>
      <c r="DQ101" s="3" t="n">
        <f aca="false" ca="false" dt2D="false" dtr="false" t="normal">N101-DA101</f>
        <v>0</v>
      </c>
      <c r="DS101" s="9" t="n"/>
    </row>
    <row hidden="false" ht="15" outlineLevel="0" r="102">
      <c r="A102" s="103" t="n">
        <f aca="false" ca="false" dt2D="false" dtr="false" t="normal">+A101+1</f>
        <v>85</v>
      </c>
      <c r="B102" s="104" t="n">
        <f aca="false" ca="false" dt2D="false" dtr="false" t="normal">+B101+1</f>
        <v>85</v>
      </c>
      <c r="C102" s="104" t="s">
        <v>111</v>
      </c>
      <c r="D102" s="104" t="s">
        <v>164</v>
      </c>
      <c r="E102" s="105" t="n">
        <v>1979</v>
      </c>
      <c r="F102" s="105" t="n">
        <v>2013</v>
      </c>
      <c r="G102" s="105" t="s">
        <v>68</v>
      </c>
      <c r="H102" s="105" t="n">
        <v>4</v>
      </c>
      <c r="I102" s="105" t="n">
        <v>4</v>
      </c>
      <c r="J102" s="106" t="n">
        <v>3917.8</v>
      </c>
      <c r="K102" s="106" t="n">
        <v>3440.2</v>
      </c>
      <c r="L102" s="106" t="n">
        <v>0</v>
      </c>
      <c r="M102" s="107" t="n">
        <v>140</v>
      </c>
      <c r="N102" s="108" t="n">
        <f aca="false" ca="false" dt2D="false" dtr="false" t="normal">SUM(P102:T102)</f>
        <v>11026170.239999998</v>
      </c>
      <c r="O102" s="106" t="n"/>
      <c r="P102" s="114" t="n"/>
      <c r="Q102" s="114" t="n"/>
      <c r="R102" s="114" t="n">
        <v>1936128.04</v>
      </c>
      <c r="S102" s="114" t="n">
        <v>9090042.2</v>
      </c>
      <c r="T102" s="106" t="n"/>
      <c r="U102" s="114" t="n">
        <v>3254.41713738736</v>
      </c>
      <c r="V102" s="114" t="n">
        <v>3254.41713738736</v>
      </c>
      <c r="W102" s="110" t="n">
        <v>2022</v>
      </c>
      <c r="X102" s="9" t="e">
        <f aca="false" ca="false" dt2D="false" dtr="false" t="normal">+#REF!-'[9]Приложение №1'!$P1080</f>
        <v>#REF!</v>
      </c>
      <c r="Z102" s="113" t="n">
        <f aca="false" ca="false" dt2D="false" dtr="false" t="normal">SUM(AA102:AO102)</f>
        <v>19409336.159999996</v>
      </c>
      <c r="AA102" s="106" t="n">
        <v>5758864.3566909</v>
      </c>
      <c r="AB102" s="106" t="n">
        <v>3330508.69114488</v>
      </c>
      <c r="AC102" s="106" t="n">
        <v>3520594.28842086</v>
      </c>
      <c r="AD102" s="106" t="n">
        <v>2684483.0712294</v>
      </c>
      <c r="AE102" s="106" t="n">
        <v>1072396.0376262</v>
      </c>
      <c r="AF102" s="106" t="n"/>
      <c r="AG102" s="106" t="n">
        <v>286156.452939</v>
      </c>
      <c r="AH102" s="106" t="n">
        <v>0</v>
      </c>
      <c r="AI102" s="106" t="n">
        <v>0</v>
      </c>
      <c r="AJ102" s="106" t="n">
        <v>0</v>
      </c>
      <c r="AK102" s="106" t="n">
        <v>0</v>
      </c>
      <c r="AL102" s="106" t="n">
        <v>0</v>
      </c>
      <c r="AM102" s="106" t="n">
        <v>2198072.455</v>
      </c>
      <c r="AN102" s="114" t="n">
        <v>194093.3616</v>
      </c>
      <c r="AO102" s="115" t="n">
        <v>364167.44534876</v>
      </c>
      <c r="AP102" s="112" t="n">
        <f aca="false" ca="false" dt2D="false" dtr="false" t="normal">+N102-'Приложение №2'!E102</f>
        <v>0</v>
      </c>
      <c r="AQ102" s="1" t="n">
        <v>1687407.14</v>
      </c>
      <c r="AR102" s="3" t="n">
        <f aca="false" ca="false" dt2D="false" dtr="false" t="normal">+(K102*10+L102*20)*12*0.85</f>
        <v>350900.39999999997</v>
      </c>
      <c r="AS102" s="3" t="n">
        <f aca="false" ca="false" dt2D="false" dtr="false" t="normal">+(K102*10+L102*20)*12*30</f>
        <v>12384720</v>
      </c>
      <c r="AT102" s="9" t="n">
        <f aca="false" ca="false" dt2D="false" dtr="false" t="normal">+S102-AS102</f>
        <v>-3294677.8000000007</v>
      </c>
      <c r="AW102" s="113" t="n">
        <f aca="false" ca="true" dt2D="false" dtr="false" t="normal">SUBTOTAL(9, AX102:BL102)</f>
        <v>11195845.83604</v>
      </c>
      <c r="AX102" s="106" t="n">
        <v>6230360.19</v>
      </c>
      <c r="AY102" s="106" t="n"/>
      <c r="AZ102" s="106" t="n">
        <v>1824432.9</v>
      </c>
      <c r="BA102" s="106" t="n">
        <v>2756248.99</v>
      </c>
      <c r="BB102" s="106" t="n"/>
      <c r="BC102" s="106" t="n"/>
      <c r="BD102" s="106" t="n"/>
      <c r="BE102" s="106" t="n">
        <v>0</v>
      </c>
      <c r="BF102" s="106" t="n">
        <v>0</v>
      </c>
      <c r="BG102" s="106" t="n">
        <v>0</v>
      </c>
      <c r="BH102" s="106" t="n">
        <v>0</v>
      </c>
      <c r="BI102" s="106" t="n">
        <v>0</v>
      </c>
      <c r="BJ102" s="106" t="n">
        <v>75653.79</v>
      </c>
      <c r="BK102" s="114" t="n">
        <v>18000</v>
      </c>
      <c r="BL102" s="115" t="n">
        <v>291149.96604</v>
      </c>
      <c r="BM102" s="14" t="n">
        <f aca="false" ca="true" dt2D="false" dtr="false" t="normal">SUBTOTAL(9, BN102:CB102)</f>
        <v>11195845.83604</v>
      </c>
      <c r="BN102" s="106" t="n">
        <v>6230360.19</v>
      </c>
      <c r="BO102" s="106" t="n"/>
      <c r="BP102" s="133" t="n">
        <v>1824432.9</v>
      </c>
      <c r="BQ102" s="106" t="n">
        <v>2756248.99</v>
      </c>
      <c r="BR102" s="106" t="n"/>
      <c r="BS102" s="106" t="n"/>
      <c r="BT102" s="106" t="n"/>
      <c r="BU102" s="106" t="n">
        <v>0</v>
      </c>
      <c r="BV102" s="106" t="n">
        <v>0</v>
      </c>
      <c r="BW102" s="106" t="n">
        <v>0</v>
      </c>
      <c r="BX102" s="106" t="n">
        <v>0</v>
      </c>
      <c r="BY102" s="106" t="n">
        <v>0</v>
      </c>
      <c r="BZ102" s="106" t="n">
        <v>75653.79</v>
      </c>
      <c r="CA102" s="114" t="n">
        <v>18000</v>
      </c>
      <c r="CB102" s="115" t="n">
        <v>291149.96604</v>
      </c>
      <c r="CD102" s="116" t="n">
        <f aca="false" ca="false" dt2D="false" dtr="false" t="normal">+CD101+1</f>
        <v>85</v>
      </c>
      <c r="CE102" s="117" t="n">
        <f aca="false" ca="false" dt2D="false" dtr="false" t="normal">+CE101+1</f>
        <v>85</v>
      </c>
      <c r="CF102" s="104" t="s">
        <v>111</v>
      </c>
      <c r="CG102" s="104" t="s">
        <v>164</v>
      </c>
      <c r="CH102" s="118" t="n">
        <f aca="false" ca="true" dt2D="false" dtr="false" t="normal">SUBTOTAL(9, CI102:CW102)</f>
        <v>11195845.83604</v>
      </c>
      <c r="CI102" s="106" t="n">
        <v>6230360.19</v>
      </c>
      <c r="CJ102" s="106" t="n"/>
      <c r="CK102" s="133" t="n">
        <v>1824432.9</v>
      </c>
      <c r="CL102" s="106" t="n">
        <v>2756248.99</v>
      </c>
      <c r="CM102" s="106" t="n"/>
      <c r="CN102" s="106" t="n"/>
      <c r="CO102" s="106" t="n"/>
      <c r="CP102" s="106" t="n">
        <v>0</v>
      </c>
      <c r="CQ102" s="106" t="n">
        <v>0</v>
      </c>
      <c r="CR102" s="106" t="n">
        <v>0</v>
      </c>
      <c r="CS102" s="106" t="n">
        <v>0</v>
      </c>
      <c r="CT102" s="106" t="n">
        <v>0</v>
      </c>
      <c r="CU102" s="106" t="n">
        <v>75653.79</v>
      </c>
      <c r="CV102" s="114" t="n">
        <v>18000</v>
      </c>
      <c r="CW102" s="115" t="n">
        <v>291149.96604</v>
      </c>
      <c r="CZ102" s="104" t="s">
        <v>164</v>
      </c>
      <c r="DA102" s="119" t="n">
        <f aca="false" ca="true" dt2D="false" dtr="false" t="normal">SUBTOTAL(9, DB102:DP102)</f>
        <v>11026170.239999998</v>
      </c>
      <c r="DB102" s="106" t="n">
        <v>6230360.19</v>
      </c>
      <c r="DC102" s="106" t="n"/>
      <c r="DD102" s="133" t="n">
        <v>1824432.9</v>
      </c>
      <c r="DE102" s="106" t="n">
        <v>2756248.99</v>
      </c>
      <c r="DF102" s="106" t="n"/>
      <c r="DG102" s="106" t="n"/>
      <c r="DH102" s="106" t="n"/>
      <c r="DI102" s="106" t="n">
        <v>0</v>
      </c>
      <c r="DJ102" s="106" t="n">
        <v>0</v>
      </c>
      <c r="DK102" s="106" t="n">
        <v>0</v>
      </c>
      <c r="DL102" s="106" t="n">
        <v>0</v>
      </c>
      <c r="DM102" s="106" t="n">
        <v>0</v>
      </c>
      <c r="DN102" s="106" t="n">
        <v>75653.79</v>
      </c>
      <c r="DO102" s="114" t="n">
        <v>18000</v>
      </c>
      <c r="DP102" s="120" t="n">
        <f aca="false" ca="false" dt2D="false" dtr="false" t="normal">121474.37</f>
        <v>121474.37</v>
      </c>
      <c r="DQ102" s="3" t="n">
        <f aca="false" ca="false" dt2D="false" dtr="false" t="normal">N102-DA102</f>
        <v>0</v>
      </c>
      <c r="DS102" s="9" t="n"/>
    </row>
    <row hidden="false" ht="15" outlineLevel="0" r="103">
      <c r="A103" s="103" t="n">
        <f aca="false" ca="false" dt2D="false" dtr="false" t="normal">+A102+1</f>
        <v>86</v>
      </c>
      <c r="B103" s="104" t="n">
        <f aca="false" ca="false" dt2D="false" dtr="false" t="normal">+B102+1</f>
        <v>86</v>
      </c>
      <c r="C103" s="104" t="s">
        <v>111</v>
      </c>
      <c r="D103" s="104" t="s">
        <v>165</v>
      </c>
      <c r="E103" s="105" t="n">
        <v>1979</v>
      </c>
      <c r="F103" s="105" t="n">
        <v>2013</v>
      </c>
      <c r="G103" s="105" t="s">
        <v>68</v>
      </c>
      <c r="H103" s="105" t="n">
        <v>4</v>
      </c>
      <c r="I103" s="105" t="n">
        <v>4</v>
      </c>
      <c r="J103" s="106" t="n">
        <v>3969.95</v>
      </c>
      <c r="K103" s="106" t="n">
        <v>3453.7</v>
      </c>
      <c r="L103" s="106" t="n">
        <v>0</v>
      </c>
      <c r="M103" s="107" t="n">
        <v>154</v>
      </c>
      <c r="N103" s="108" t="n">
        <f aca="false" ca="false" dt2D="false" dtr="false" t="normal">SUM(P103:T103)</f>
        <v>9221762.19</v>
      </c>
      <c r="O103" s="106" t="n"/>
      <c r="P103" s="114" t="n"/>
      <c r="Q103" s="114" t="n"/>
      <c r="R103" s="114" t="n">
        <v>1705810.55</v>
      </c>
      <c r="S103" s="114" t="n">
        <v>7515951.64</v>
      </c>
      <c r="T103" s="106" t="n"/>
      <c r="U103" s="114" t="n">
        <v>2729.30044473984</v>
      </c>
      <c r="V103" s="114" t="n">
        <v>2729.30044473984</v>
      </c>
      <c r="W103" s="110" t="n">
        <v>2022</v>
      </c>
      <c r="X103" s="9" t="e">
        <f aca="false" ca="false" dt2D="false" dtr="false" t="normal">+#REF!-'[9]Приложение №1'!$P1081</f>
        <v>#REF!</v>
      </c>
      <c r="Z103" s="113" t="n">
        <f aca="false" ca="false" dt2D="false" dtr="false" t="normal">SUM(AA103:AO103)</f>
        <v>19594173.580000002</v>
      </c>
      <c r="AA103" s="106" t="n">
        <v>5813706.70579062</v>
      </c>
      <c r="AB103" s="106" t="n">
        <v>3362225.52619968</v>
      </c>
      <c r="AC103" s="106" t="n">
        <v>3554121.3229788</v>
      </c>
      <c r="AD103" s="106" t="n">
        <v>2710047.7279638</v>
      </c>
      <c r="AE103" s="106" t="n">
        <v>1082608.58724984</v>
      </c>
      <c r="AF103" s="106" t="n"/>
      <c r="AG103" s="106" t="n">
        <v>288881.55977184</v>
      </c>
      <c r="AH103" s="106" t="n">
        <v>0</v>
      </c>
      <c r="AI103" s="106" t="n">
        <v>0</v>
      </c>
      <c r="AJ103" s="106" t="n">
        <v>0</v>
      </c>
      <c r="AK103" s="106" t="n">
        <v>0</v>
      </c>
      <c r="AL103" s="106" t="n">
        <v>0</v>
      </c>
      <c r="AM103" s="106" t="n">
        <v>2219004.9589</v>
      </c>
      <c r="AN103" s="114" t="n">
        <v>195941.7358</v>
      </c>
      <c r="AO103" s="115" t="n">
        <v>367635.45534542</v>
      </c>
      <c r="AP103" s="112" t="n">
        <f aca="false" ca="false" dt2D="false" dtr="false" t="normal">+N103-'Приложение №2'!E103</f>
        <v>0</v>
      </c>
      <c r="AQ103" s="1" t="n">
        <v>1455712.65</v>
      </c>
      <c r="AR103" s="3" t="n">
        <f aca="false" ca="false" dt2D="false" dtr="false" t="normal">+(K103*10+L103*20)*12*0.85</f>
        <v>352277.39999999997</v>
      </c>
      <c r="AS103" s="3" t="n">
        <f aca="false" ca="false" dt2D="false" dtr="false" t="normal">+(K103*10+L103*20)*12*30</f>
        <v>12433320</v>
      </c>
      <c r="AT103" s="9" t="n">
        <f aca="false" ca="false" dt2D="false" dtr="false" t="normal">+S103-AS103</f>
        <v>-4917368.36</v>
      </c>
      <c r="AW103" s="113" t="n">
        <f aca="false" ca="true" dt2D="false" dtr="false" t="normal">SUBTOTAL(9, AX103:BL103)</f>
        <v>9426184.945998002</v>
      </c>
      <c r="AX103" s="106" t="n">
        <v>6321167.09</v>
      </c>
      <c r="AY103" s="106" t="n"/>
      <c r="AZ103" s="106" t="n"/>
      <c r="BA103" s="106" t="n">
        <v>2717347.73</v>
      </c>
      <c r="BB103" s="106" t="n"/>
      <c r="BC103" s="106" t="n"/>
      <c r="BD103" s="106" t="n"/>
      <c r="BE103" s="106" t="n">
        <v>0</v>
      </c>
      <c r="BF103" s="106" t="n">
        <v>0</v>
      </c>
      <c r="BG103" s="106" t="n">
        <v>0</v>
      </c>
      <c r="BH103" s="106" t="n">
        <v>0</v>
      </c>
      <c r="BI103" s="106" t="n">
        <v>0</v>
      </c>
      <c r="BJ103" s="106" t="n">
        <v>75730.05</v>
      </c>
      <c r="BK103" s="114" t="n">
        <v>18000</v>
      </c>
      <c r="BL103" s="115" t="n">
        <v>293940.075998</v>
      </c>
      <c r="BM103" s="14" t="n">
        <f aca="false" ca="true" dt2D="false" dtr="false" t="normal">SUBTOTAL(9, BN103:CB103)</f>
        <v>9426184.945998002</v>
      </c>
      <c r="BN103" s="106" t="n">
        <v>6321167.09</v>
      </c>
      <c r="BO103" s="106" t="n"/>
      <c r="BP103" s="133" t="n"/>
      <c r="BQ103" s="106" t="n">
        <v>2717347.73</v>
      </c>
      <c r="BR103" s="106" t="n"/>
      <c r="BS103" s="106" t="n"/>
      <c r="BT103" s="106" t="n"/>
      <c r="BU103" s="106" t="n">
        <v>0</v>
      </c>
      <c r="BV103" s="106" t="n">
        <v>0</v>
      </c>
      <c r="BW103" s="106" t="n">
        <v>0</v>
      </c>
      <c r="BX103" s="106" t="n">
        <v>0</v>
      </c>
      <c r="BY103" s="106" t="n">
        <v>0</v>
      </c>
      <c r="BZ103" s="106" t="n">
        <v>75730.05</v>
      </c>
      <c r="CA103" s="114" t="n">
        <v>18000</v>
      </c>
      <c r="CB103" s="115" t="n">
        <v>293940.075998</v>
      </c>
      <c r="CD103" s="116" t="n">
        <f aca="false" ca="false" dt2D="false" dtr="false" t="normal">+CD102+1</f>
        <v>86</v>
      </c>
      <c r="CE103" s="117" t="n">
        <f aca="false" ca="false" dt2D="false" dtr="false" t="normal">+CE102+1</f>
        <v>86</v>
      </c>
      <c r="CF103" s="104" t="s">
        <v>111</v>
      </c>
      <c r="CG103" s="104" t="s">
        <v>165</v>
      </c>
      <c r="CH103" s="118" t="n">
        <f aca="false" ca="true" dt2D="false" dtr="false" t="normal">SUBTOTAL(9, CI103:CW103)</f>
        <v>9426184.945998002</v>
      </c>
      <c r="CI103" s="106" t="n">
        <v>6321167.09</v>
      </c>
      <c r="CJ103" s="106" t="n"/>
      <c r="CK103" s="133" t="n"/>
      <c r="CL103" s="106" t="n">
        <v>2717347.73</v>
      </c>
      <c r="CM103" s="106" t="n"/>
      <c r="CN103" s="106" t="n"/>
      <c r="CO103" s="106" t="n"/>
      <c r="CP103" s="106" t="n">
        <v>0</v>
      </c>
      <c r="CQ103" s="106" t="n">
        <v>0</v>
      </c>
      <c r="CR103" s="106" t="n">
        <v>0</v>
      </c>
      <c r="CS103" s="106" t="n">
        <v>0</v>
      </c>
      <c r="CT103" s="106" t="n">
        <v>0</v>
      </c>
      <c r="CU103" s="106" t="n">
        <v>75730.05</v>
      </c>
      <c r="CV103" s="114" t="n">
        <v>18000</v>
      </c>
      <c r="CW103" s="115" t="n">
        <v>293940.075998</v>
      </c>
      <c r="CZ103" s="104" t="s">
        <v>165</v>
      </c>
      <c r="DA103" s="119" t="n">
        <f aca="false" ca="true" dt2D="false" dtr="false" t="normal">SUBTOTAL(9, DB103:DP103)</f>
        <v>9221762.190000001</v>
      </c>
      <c r="DB103" s="106" t="n">
        <v>6321167.09</v>
      </c>
      <c r="DC103" s="106" t="n"/>
      <c r="DD103" s="133" t="n"/>
      <c r="DE103" s="106" t="n">
        <v>2717347.73</v>
      </c>
      <c r="DF103" s="106" t="n"/>
      <c r="DG103" s="106" t="n"/>
      <c r="DH103" s="106" t="n"/>
      <c r="DI103" s="106" t="n">
        <v>0</v>
      </c>
      <c r="DJ103" s="106" t="n">
        <v>0</v>
      </c>
      <c r="DK103" s="106" t="n">
        <v>0</v>
      </c>
      <c r="DL103" s="106" t="n">
        <v>0</v>
      </c>
      <c r="DM103" s="106" t="n">
        <v>0</v>
      </c>
      <c r="DN103" s="106" t="n">
        <v>75730.05</v>
      </c>
      <c r="DO103" s="114" t="n">
        <v>18000</v>
      </c>
      <c r="DP103" s="120" t="n">
        <f aca="false" ca="false" dt2D="false" dtr="false" t="normal">108774.59-19257.27</f>
        <v>89517.31999999999</v>
      </c>
      <c r="DQ103" s="3" t="n">
        <f aca="false" ca="false" dt2D="false" dtr="false" t="normal">N103-DA103</f>
        <v>0</v>
      </c>
      <c r="DS103" s="9" t="n"/>
    </row>
    <row hidden="false" ht="15" outlineLevel="0" r="104">
      <c r="A104" s="103" t="n">
        <f aca="false" ca="false" dt2D="false" dtr="false" t="normal">+A103+1</f>
        <v>87</v>
      </c>
      <c r="B104" s="104" t="n">
        <f aca="false" ca="false" dt2D="false" dtr="false" t="normal">+B103+1</f>
        <v>87</v>
      </c>
      <c r="C104" s="104" t="s">
        <v>111</v>
      </c>
      <c r="D104" s="104" t="s">
        <v>166</v>
      </c>
      <c r="E104" s="105" t="n">
        <v>1961</v>
      </c>
      <c r="F104" s="105" t="n">
        <v>2013</v>
      </c>
      <c r="G104" s="105" t="s">
        <v>68</v>
      </c>
      <c r="H104" s="105" t="n">
        <v>4</v>
      </c>
      <c r="I104" s="105" t="n">
        <v>3</v>
      </c>
      <c r="J104" s="106" t="n">
        <v>3049.5</v>
      </c>
      <c r="K104" s="106" t="n">
        <v>2277.6</v>
      </c>
      <c r="L104" s="106" t="n">
        <v>771.9</v>
      </c>
      <c r="M104" s="107" t="n">
        <v>94</v>
      </c>
      <c r="N104" s="108" t="n">
        <f aca="false" ca="false" dt2D="false" dtr="false" t="normal">SUM(P104:T104)</f>
        <v>1026615.76</v>
      </c>
      <c r="O104" s="106" t="n"/>
      <c r="P104" s="114" t="n"/>
      <c r="Q104" s="114" t="n"/>
      <c r="R104" s="114" t="n">
        <v>105566.35</v>
      </c>
      <c r="S104" s="114" t="n">
        <v>921049.41</v>
      </c>
      <c r="T104" s="106" t="n"/>
      <c r="U104" s="114" t="n">
        <v>361.554433637016</v>
      </c>
      <c r="V104" s="114" t="n">
        <v>361.554433637016</v>
      </c>
      <c r="W104" s="110" t="n">
        <v>2022</v>
      </c>
      <c r="X104" s="9" t="e">
        <f aca="false" ca="false" dt2D="false" dtr="false" t="normal">+#REF!-'[9]Приложение №1'!$P1463</f>
        <v>#REF!</v>
      </c>
      <c r="Z104" s="113" t="n">
        <f aca="false" ca="false" dt2D="false" dtr="false" t="normal">SUM(AA104:AO104)</f>
        <v>13067933.899999999</v>
      </c>
      <c r="AA104" s="106" t="n">
        <v>5253036.73686246</v>
      </c>
      <c r="AB104" s="106" t="n">
        <v>1871872.94908698</v>
      </c>
      <c r="AC104" s="106" t="n">
        <v>1955690.72273694</v>
      </c>
      <c r="AD104" s="106" t="n">
        <v>1224386.051847</v>
      </c>
      <c r="AE104" s="106" t="n">
        <v>749124.0801009</v>
      </c>
      <c r="AF104" s="106" t="n"/>
      <c r="AG104" s="106" t="n">
        <v>201573.40567308</v>
      </c>
      <c r="AH104" s="106" t="n">
        <v>0</v>
      </c>
      <c r="AI104" s="106" t="n">
        <v>0</v>
      </c>
      <c r="AJ104" s="106" t="n">
        <v>0</v>
      </c>
      <c r="AK104" s="106" t="n">
        <v>0</v>
      </c>
      <c r="AL104" s="106" t="n">
        <v>0</v>
      </c>
      <c r="AM104" s="106" t="n">
        <v>1435431.6034</v>
      </c>
      <c r="AN104" s="114" t="n">
        <v>130679.339</v>
      </c>
      <c r="AO104" s="115" t="n">
        <v>246139.01129264</v>
      </c>
      <c r="AP104" s="112" t="n">
        <f aca="false" ca="false" dt2D="false" dtr="false" t="normal">+N104-'Приложение №2'!E104</f>
        <v>0</v>
      </c>
      <c r="AQ104" s="1" t="n">
        <v>1647685.87</v>
      </c>
      <c r="AR104" s="3" t="n">
        <f aca="false" ca="false" dt2D="false" dtr="false" t="normal">+(K104*10+L104*20)*12*0.85</f>
        <v>389782.8</v>
      </c>
      <c r="AS104" s="3" t="n">
        <f aca="false" ca="false" dt2D="false" dtr="false" t="normal">+(K104*10+L104*20)*12*30-1902349.22</f>
        <v>11854690.78</v>
      </c>
      <c r="AT104" s="9" t="n">
        <f aca="false" ca="false" dt2D="false" dtr="false" t="normal">+S104-AS104</f>
        <v>-10933641.37</v>
      </c>
      <c r="AW104" s="113" t="n">
        <f aca="false" ca="true" dt2D="false" dtr="false" t="normal">SUBTOTAL(9, AX104:BL104)</f>
        <v>1102560.24537608</v>
      </c>
      <c r="AX104" s="106" t="n"/>
      <c r="AZ104" s="106" t="n">
        <v>642270.27</v>
      </c>
      <c r="BA104" s="106" t="n"/>
      <c r="BB104" s="106" t="n"/>
      <c r="BC104" s="106" t="n"/>
      <c r="BD104" s="106" t="n"/>
      <c r="BE104" s="106" t="n">
        <v>0</v>
      </c>
      <c r="BF104" s="106" t="n">
        <v>0</v>
      </c>
      <c r="BG104" s="106" t="n">
        <v>0</v>
      </c>
      <c r="BH104" s="106" t="n">
        <v>0</v>
      </c>
      <c r="BI104" s="106" t="n">
        <v>0</v>
      </c>
      <c r="BJ104" s="106" t="n">
        <v>352588.91</v>
      </c>
      <c r="BK104" s="114" t="n">
        <v>24000</v>
      </c>
      <c r="BL104" s="115" t="n">
        <v>83701.06537608</v>
      </c>
      <c r="BM104" s="14" t="n">
        <f aca="false" ca="true" dt2D="false" dtr="false" t="normal">SUBTOTAL(9, BN104:CB104)</f>
        <v>1102560.24537608</v>
      </c>
      <c r="BN104" s="106" t="n"/>
      <c r="BP104" s="133" t="n">
        <v>642270.27</v>
      </c>
      <c r="BQ104" s="106" t="n"/>
      <c r="BR104" s="106" t="n"/>
      <c r="BS104" s="106" t="n"/>
      <c r="BT104" s="106" t="n"/>
      <c r="BU104" s="106" t="n">
        <v>0</v>
      </c>
      <c r="BV104" s="106" t="n">
        <v>0</v>
      </c>
      <c r="BW104" s="106" t="n">
        <v>0</v>
      </c>
      <c r="BX104" s="106" t="n">
        <v>0</v>
      </c>
      <c r="BY104" s="106" t="n">
        <v>0</v>
      </c>
      <c r="BZ104" s="106" t="n">
        <v>352588.91</v>
      </c>
      <c r="CA104" s="114" t="n">
        <v>24000</v>
      </c>
      <c r="CB104" s="115" t="n">
        <v>83701.06537608</v>
      </c>
      <c r="CD104" s="116" t="n">
        <f aca="false" ca="false" dt2D="false" dtr="false" t="normal">+CD103+1</f>
        <v>87</v>
      </c>
      <c r="CE104" s="117" t="n">
        <f aca="false" ca="false" dt2D="false" dtr="false" t="normal">+CE103+1</f>
        <v>87</v>
      </c>
      <c r="CF104" s="104" t="s">
        <v>111</v>
      </c>
      <c r="CG104" s="104" t="s">
        <v>166</v>
      </c>
      <c r="CH104" s="118" t="n">
        <f aca="false" ca="true" dt2D="false" dtr="false" t="normal">SUBTOTAL(9, CI104:CW104)</f>
        <v>1102560.24537608</v>
      </c>
      <c r="CI104" s="106" t="n"/>
      <c r="CK104" s="133" t="n">
        <v>642270.27</v>
      </c>
      <c r="CL104" s="106" t="n"/>
      <c r="CM104" s="106" t="n"/>
      <c r="CN104" s="106" t="n"/>
      <c r="CO104" s="106" t="n"/>
      <c r="CP104" s="106" t="n">
        <v>0</v>
      </c>
      <c r="CQ104" s="106" t="n">
        <v>0</v>
      </c>
      <c r="CR104" s="106" t="n">
        <v>0</v>
      </c>
      <c r="CS104" s="106" t="n">
        <v>0</v>
      </c>
      <c r="CT104" s="106" t="n">
        <v>0</v>
      </c>
      <c r="CU104" s="106" t="n">
        <v>352588.91</v>
      </c>
      <c r="CV104" s="114" t="n">
        <v>24000</v>
      </c>
      <c r="CW104" s="115" t="n">
        <v>83701.06537608</v>
      </c>
      <c r="CZ104" s="104" t="s">
        <v>166</v>
      </c>
      <c r="DA104" s="119" t="n">
        <f aca="false" ca="true" dt2D="false" dtr="false" t="normal">SUBTOTAL(9, DB104:DP104)</f>
        <v>1026615.7599999999</v>
      </c>
      <c r="DB104" s="106" t="n"/>
      <c r="DD104" s="133" t="n">
        <v>642270.27</v>
      </c>
      <c r="DE104" s="106" t="n"/>
      <c r="DF104" s="106" t="n"/>
      <c r="DG104" s="106" t="n"/>
      <c r="DH104" s="106" t="n"/>
      <c r="DI104" s="106" t="n">
        <v>0</v>
      </c>
      <c r="DJ104" s="106" t="n">
        <v>0</v>
      </c>
      <c r="DK104" s="106" t="n">
        <v>0</v>
      </c>
      <c r="DL104" s="106" t="n">
        <v>0</v>
      </c>
      <c r="DM104" s="106" t="n">
        <v>0</v>
      </c>
      <c r="DN104" s="106" t="n">
        <v>352588.91</v>
      </c>
      <c r="DO104" s="114" t="n">
        <v>24000</v>
      </c>
      <c r="DP104" s="120" t="n">
        <v>7756.58</v>
      </c>
      <c r="DQ104" s="3" t="n">
        <f aca="false" ca="false" dt2D="false" dtr="false" t="normal">N104-DA104</f>
        <v>0</v>
      </c>
      <c r="DS104" s="9" t="n"/>
    </row>
    <row hidden="false" ht="15" outlineLevel="0" r="105">
      <c r="A105" s="103" t="n">
        <f aca="false" ca="false" dt2D="false" dtr="false" t="normal">+A104+1</f>
        <v>88</v>
      </c>
      <c r="B105" s="104" t="n">
        <f aca="false" ca="false" dt2D="false" dtr="false" t="normal">+B104+1</f>
        <v>88</v>
      </c>
      <c r="C105" s="104" t="s">
        <v>111</v>
      </c>
      <c r="D105" s="104" t="s">
        <v>167</v>
      </c>
      <c r="E105" s="105" t="n">
        <v>1963</v>
      </c>
      <c r="F105" s="105" t="n">
        <v>2005</v>
      </c>
      <c r="G105" s="105" t="s">
        <v>68</v>
      </c>
      <c r="H105" s="105" t="n">
        <v>4</v>
      </c>
      <c r="I105" s="105" t="n">
        <v>2</v>
      </c>
      <c r="J105" s="106" t="n">
        <v>1240.4</v>
      </c>
      <c r="K105" s="106" t="n">
        <v>1075.8</v>
      </c>
      <c r="L105" s="106" t="n">
        <v>111.9</v>
      </c>
      <c r="M105" s="107" t="n">
        <v>70</v>
      </c>
      <c r="N105" s="108" t="n">
        <f aca="false" ca="false" dt2D="false" dtr="false" t="normal">SUM(P105:T105)</f>
        <v>2150653.5872</v>
      </c>
      <c r="O105" s="106" t="n"/>
      <c r="P105" s="114" t="n"/>
      <c r="Q105" s="114" t="n"/>
      <c r="R105" s="114" t="n">
        <v>132559.2</v>
      </c>
      <c r="S105" s="114" t="n">
        <v>2018094.3872</v>
      </c>
      <c r="T105" s="106" t="n"/>
      <c r="U105" s="114" t="n">
        <v>1896.04168679289</v>
      </c>
      <c r="V105" s="114" t="n">
        <v>1896.04168679289</v>
      </c>
      <c r="W105" s="110" t="n">
        <v>2022</v>
      </c>
      <c r="X105" s="9" t="e">
        <f aca="false" ca="false" dt2D="false" dtr="false" t="normal">+#REF!-'[9]Приложение №1'!$P1464</f>
        <v>#REF!</v>
      </c>
      <c r="Z105" s="113" t="n">
        <f aca="false" ca="false" dt2D="false" dtr="false" t="normal">SUM(AA105:AO105)</f>
        <v>6371609.474470761</v>
      </c>
      <c r="AA105" s="106" t="n">
        <v>2696472.90367728</v>
      </c>
      <c r="AB105" s="106" t="n">
        <v>960864.1491372</v>
      </c>
      <c r="AC105" s="106" t="n"/>
      <c r="AD105" s="106" t="n">
        <v>628498.13628336</v>
      </c>
      <c r="AE105" s="106" t="n">
        <v>384538.10584644</v>
      </c>
      <c r="AF105" s="106" t="n"/>
      <c r="AG105" s="106" t="n">
        <v>103471.04618424</v>
      </c>
      <c r="AH105" s="106" t="n">
        <v>0</v>
      </c>
      <c r="AI105" s="106" t="n"/>
      <c r="AJ105" s="106" t="n">
        <v>0</v>
      </c>
      <c r="AK105" s="106" t="n">
        <v>0</v>
      </c>
      <c r="AL105" s="106" t="n">
        <v>0</v>
      </c>
      <c r="AM105" s="106" t="n">
        <v>1240567.6337</v>
      </c>
      <c r="AN105" s="114" t="n">
        <v>123050.6147</v>
      </c>
      <c r="AO105" s="115" t="n">
        <v>234146.88494224</v>
      </c>
      <c r="AP105" s="112" t="n">
        <f aca="false" ca="false" dt2D="false" dtr="false" t="normal">+N105-'Приложение №2'!E105</f>
        <v>0</v>
      </c>
      <c r="AQ105" s="1" t="n">
        <v>669629.45</v>
      </c>
      <c r="AR105" s="3" t="n">
        <f aca="false" ca="false" dt2D="false" dtr="false" t="normal">+(K105*10+L105*20)*12*0.85</f>
        <v>132559.19999999998</v>
      </c>
      <c r="AS105" s="3" t="n">
        <f aca="false" ca="false" dt2D="false" dtr="false" t="normal">+(K105*10+L105*20)*12*30-1442997.24</f>
        <v>3235562.76</v>
      </c>
      <c r="AT105" s="9" t="n">
        <f aca="false" ca="false" dt2D="false" dtr="false" t="normal">+S105-AS105</f>
        <v>-1217468.3727999998</v>
      </c>
      <c r="AW105" s="113" t="n">
        <f aca="false" ca="true" dt2D="false" dtr="false" t="normal">SUBTOTAL(9, AX105:BL105)</f>
        <v>2251928.7114039203</v>
      </c>
      <c r="AX105" s="106" t="n"/>
      <c r="AY105" s="106" t="n">
        <v>588065.09</v>
      </c>
      <c r="AZ105" s="106" t="n"/>
      <c r="BA105" s="106" t="n">
        <v>500447.33</v>
      </c>
      <c r="BB105" s="106" t="n">
        <v>469911.83</v>
      </c>
      <c r="BC105" s="106" t="n"/>
      <c r="BD105" s="106" t="n"/>
      <c r="BE105" s="106" t="n">
        <v>0</v>
      </c>
      <c r="BF105" s="106" t="n"/>
      <c r="BG105" s="106" t="n">
        <v>0</v>
      </c>
      <c r="BH105" s="106" t="n">
        <v>0</v>
      </c>
      <c r="BI105" s="106" t="n">
        <v>0</v>
      </c>
      <c r="BJ105" s="106" t="n">
        <v>513326.799</v>
      </c>
      <c r="BK105" s="114" t="n">
        <v>73858.7182</v>
      </c>
      <c r="BL105" s="115" t="n">
        <v>106318.94420392</v>
      </c>
      <c r="BM105" s="14" t="n">
        <f aca="false" ca="true" dt2D="false" dtr="false" t="normal">SUBTOTAL(9, BN105:CB105)</f>
        <v>2251928.7114039203</v>
      </c>
      <c r="BN105" s="106" t="n"/>
      <c r="BO105" s="106" t="n">
        <v>588065.09</v>
      </c>
      <c r="BP105" s="133" t="n"/>
      <c r="BQ105" s="106" t="n">
        <v>500447.33</v>
      </c>
      <c r="BR105" s="106" t="n">
        <v>469911.83</v>
      </c>
      <c r="BS105" s="106" t="n"/>
      <c r="BT105" s="106" t="n"/>
      <c r="BU105" s="106" t="n">
        <v>0</v>
      </c>
      <c r="BV105" s="106" t="n"/>
      <c r="BW105" s="106" t="n">
        <v>0</v>
      </c>
      <c r="BX105" s="106" t="n">
        <v>0</v>
      </c>
      <c r="BY105" s="106" t="n">
        <v>0</v>
      </c>
      <c r="BZ105" s="106" t="n">
        <v>513326.799</v>
      </c>
      <c r="CA105" s="114" t="n">
        <v>73858.7182</v>
      </c>
      <c r="CB105" s="115" t="n">
        <v>106318.94420392</v>
      </c>
      <c r="CD105" s="116" t="n">
        <f aca="false" ca="false" dt2D="false" dtr="false" t="normal">+CD104+1</f>
        <v>88</v>
      </c>
      <c r="CE105" s="117" t="n">
        <f aca="false" ca="false" dt2D="false" dtr="false" t="normal">+CE104+1</f>
        <v>88</v>
      </c>
      <c r="CF105" s="104" t="s">
        <v>111</v>
      </c>
      <c r="CG105" s="104" t="s">
        <v>167</v>
      </c>
      <c r="CH105" s="118" t="n">
        <f aca="false" ca="true" dt2D="false" dtr="false" t="normal">SUBTOTAL(9, CI105:CW105)</f>
        <v>2251928.7114039203</v>
      </c>
      <c r="CI105" s="106" t="n"/>
      <c r="CJ105" s="106" t="n">
        <v>588065.09</v>
      </c>
      <c r="CK105" s="133" t="n"/>
      <c r="CL105" s="106" t="n">
        <v>500447.33</v>
      </c>
      <c r="CM105" s="106" t="n">
        <v>469911.83</v>
      </c>
      <c r="CN105" s="106" t="n"/>
      <c r="CO105" s="106" t="n"/>
      <c r="CP105" s="106" t="n">
        <v>0</v>
      </c>
      <c r="CQ105" s="106" t="n"/>
      <c r="CR105" s="106" t="n">
        <v>0</v>
      </c>
      <c r="CS105" s="106" t="n">
        <v>0</v>
      </c>
      <c r="CT105" s="106" t="n">
        <v>0</v>
      </c>
      <c r="CU105" s="106" t="n">
        <v>513326.799</v>
      </c>
      <c r="CV105" s="114" t="n">
        <v>73858.7182</v>
      </c>
      <c r="CW105" s="115" t="n">
        <v>106318.94420392</v>
      </c>
      <c r="CZ105" s="104" t="s">
        <v>167</v>
      </c>
      <c r="DA105" s="119" t="n">
        <f aca="false" ca="true" dt2D="false" dtr="false" t="normal">SUBTOTAL(9, DB105:DP105)</f>
        <v>2150653.5872</v>
      </c>
      <c r="DB105" s="106" t="n"/>
      <c r="DC105" s="106" t="n">
        <v>588065.09</v>
      </c>
      <c r="DD105" s="133" t="n"/>
      <c r="DE105" s="106" t="n">
        <v>500447.33</v>
      </c>
      <c r="DF105" s="106" t="n">
        <v>469911.83</v>
      </c>
      <c r="DG105" s="106" t="n"/>
      <c r="DH105" s="106" t="n"/>
      <c r="DI105" s="106" t="n">
        <v>0</v>
      </c>
      <c r="DJ105" s="106" t="n"/>
      <c r="DK105" s="106" t="n">
        <v>0</v>
      </c>
      <c r="DL105" s="106" t="n">
        <v>0</v>
      </c>
      <c r="DM105" s="106" t="n">
        <v>0</v>
      </c>
      <c r="DN105" s="106" t="n">
        <v>513326.799</v>
      </c>
      <c r="DO105" s="114" t="n">
        <v>73858.7182</v>
      </c>
      <c r="DP105" s="120" t="n">
        <v>5043.82</v>
      </c>
      <c r="DQ105" s="3" t="n">
        <f aca="false" ca="false" dt2D="false" dtr="false" t="normal">N105-DA105</f>
        <v>0</v>
      </c>
      <c r="DS105" s="9" t="n"/>
    </row>
    <row hidden="false" ht="15" outlineLevel="0" r="106">
      <c r="A106" s="103" t="n">
        <f aca="false" ca="false" dt2D="false" dtr="false" t="normal">+A105+1</f>
        <v>89</v>
      </c>
      <c r="B106" s="104" t="n">
        <f aca="false" ca="false" dt2D="false" dtr="false" t="normal">+B105+1</f>
        <v>89</v>
      </c>
      <c r="C106" s="104" t="s">
        <v>111</v>
      </c>
      <c r="D106" s="104" t="s">
        <v>168</v>
      </c>
      <c r="E106" s="105" t="n">
        <v>1965</v>
      </c>
      <c r="F106" s="105" t="n">
        <v>2005</v>
      </c>
      <c r="G106" s="105" t="s">
        <v>68</v>
      </c>
      <c r="H106" s="105" t="n">
        <v>4</v>
      </c>
      <c r="I106" s="105" t="n">
        <v>4</v>
      </c>
      <c r="J106" s="106" t="n">
        <v>2661.8</v>
      </c>
      <c r="K106" s="106" t="n">
        <v>2220.4</v>
      </c>
      <c r="L106" s="106" t="n">
        <v>229.71</v>
      </c>
      <c r="M106" s="107" t="n">
        <v>111</v>
      </c>
      <c r="N106" s="108" t="n">
        <f aca="false" ca="false" dt2D="false" dtr="false" t="normal">SUM(P106:T106)</f>
        <v>1593951.19</v>
      </c>
      <c r="O106" s="106" t="n"/>
      <c r="P106" s="114" t="n"/>
      <c r="Q106" s="114" t="n"/>
      <c r="R106" s="114" t="n">
        <v>1593951.19</v>
      </c>
      <c r="S106" s="114" t="n"/>
      <c r="T106" s="114" t="n"/>
      <c r="U106" s="106" t="n">
        <v>660.426346425263</v>
      </c>
      <c r="V106" s="106" t="n">
        <v>660.426346425263</v>
      </c>
      <c r="W106" s="110" t="n">
        <v>2022</v>
      </c>
      <c r="X106" s="9" t="e">
        <f aca="false" ca="false" dt2D="false" dtr="false" t="normal">+#REF!-'[9]Приложение №1'!$P1656</f>
        <v>#REF!</v>
      </c>
      <c r="Z106" s="113" t="n">
        <f aca="false" ca="false" dt2D="false" dtr="false" t="normal">SUM(AA106:AO106)</f>
        <v>26489548.39</v>
      </c>
      <c r="AA106" s="106" t="n">
        <v>5804794.20581424</v>
      </c>
      <c r="AB106" s="106" t="n">
        <v>2068486.81690812</v>
      </c>
      <c r="AC106" s="106" t="n">
        <v>2161108.47229536</v>
      </c>
      <c r="AD106" s="106" t="n">
        <v>1352990.547006</v>
      </c>
      <c r="AE106" s="106" t="n">
        <v>827809.00358814</v>
      </c>
      <c r="AF106" s="106" t="n"/>
      <c r="AG106" s="106" t="n">
        <v>222745.84764852</v>
      </c>
      <c r="AH106" s="106" t="n">
        <v>0</v>
      </c>
      <c r="AI106" s="106" t="n">
        <v>10612047.0314502</v>
      </c>
      <c r="AJ106" s="106" t="n">
        <v>0</v>
      </c>
      <c r="AK106" s="106" t="n">
        <v>0</v>
      </c>
      <c r="AL106" s="106" t="n">
        <v>0</v>
      </c>
      <c r="AM106" s="106" t="n">
        <v>2670614.5608</v>
      </c>
      <c r="AN106" s="114" t="n">
        <v>264895.4839</v>
      </c>
      <c r="AO106" s="115" t="n">
        <v>504056.42058942</v>
      </c>
      <c r="AP106" s="112" t="n">
        <f aca="false" ca="false" dt2D="false" dtr="false" t="normal">+N106-'Приложение №2'!E106</f>
        <v>0</v>
      </c>
      <c r="AQ106" s="1" t="n">
        <f aca="false" ca="false" dt2D="false" dtr="false" t="normal">1243271.94-96320.77</f>
        <v>1146951.17</v>
      </c>
      <c r="AR106" s="3" t="n">
        <f aca="false" ca="false" dt2D="false" dtr="false" t="normal">+(K106*10+L106*20)*12*0.85</f>
        <v>273341.64</v>
      </c>
      <c r="AS106" s="3" t="n">
        <f aca="false" ca="false" dt2D="false" dtr="false" t="normal">+(K106*10+L106*20)*12*30</f>
        <v>9647352</v>
      </c>
      <c r="AT106" s="9" t="n">
        <f aca="false" ca="false" dt2D="false" dtr="false" t="normal">+S106-AS106</f>
        <v>-9647352</v>
      </c>
      <c r="AU106" s="9" t="e">
        <f aca="false" ca="false" dt2D="false" dtr="false" t="normal">+P106-'[5]Приложение №1'!$P299</f>
        <v>#REF!</v>
      </c>
      <c r="AV106" s="9" t="e">
        <f aca="false" ca="false" dt2D="false" dtr="false" t="normal">+Q106-'[5]Приложение №1'!$Q299</f>
        <v>#REF!</v>
      </c>
      <c r="AW106" s="113" t="n">
        <f aca="false" ca="true" dt2D="false" dtr="false" t="normal">SUBTOTAL(9, AX106:BL106)</f>
        <v>1618117.19564</v>
      </c>
      <c r="AX106" s="106" t="n"/>
      <c r="AY106" s="106" t="n"/>
      <c r="AZ106" s="106" t="n"/>
      <c r="BA106" s="106" t="n"/>
      <c r="BB106" s="106" t="n">
        <v>1092251.81</v>
      </c>
      <c r="BC106" s="106" t="n"/>
      <c r="BD106" s="106" t="n"/>
      <c r="BE106" s="106" t="n"/>
      <c r="BF106" s="106" t="n"/>
      <c r="BG106" s="106" t="n">
        <v>0</v>
      </c>
      <c r="BH106" s="106" t="n">
        <v>0</v>
      </c>
      <c r="BI106" s="106" t="n">
        <v>0</v>
      </c>
      <c r="BJ106" s="106" t="n">
        <v>501699.38</v>
      </c>
      <c r="BK106" s="114" t="n"/>
      <c r="BL106" s="115" t="n">
        <v>24166.00564</v>
      </c>
      <c r="BM106" s="14" t="n">
        <f aca="false" ca="true" dt2D="false" dtr="false" t="normal">SUBTOTAL(9, BN106:CB106)</f>
        <v>1618117.19564</v>
      </c>
      <c r="BN106" s="106" t="n"/>
      <c r="BO106" s="106" t="n"/>
      <c r="BP106" s="133" t="n"/>
      <c r="BQ106" s="106" t="n"/>
      <c r="BR106" s="106" t="n">
        <v>1092251.81</v>
      </c>
      <c r="BS106" s="106" t="n"/>
      <c r="BT106" s="106" t="n"/>
      <c r="BU106" s="106" t="n"/>
      <c r="BV106" s="106" t="n"/>
      <c r="BW106" s="106" t="n">
        <v>0</v>
      </c>
      <c r="BX106" s="106" t="n">
        <v>0</v>
      </c>
      <c r="BY106" s="106" t="n">
        <v>0</v>
      </c>
      <c r="BZ106" s="106" t="n">
        <v>501699.38</v>
      </c>
      <c r="CA106" s="114" t="n"/>
      <c r="CB106" s="115" t="n">
        <v>24166.00564</v>
      </c>
      <c r="CD106" s="116" t="n">
        <f aca="false" ca="false" dt2D="false" dtr="false" t="normal">+CD105+1</f>
        <v>89</v>
      </c>
      <c r="CE106" s="117" t="n">
        <f aca="false" ca="false" dt2D="false" dtr="false" t="normal">+CE105+1</f>
        <v>89</v>
      </c>
      <c r="CF106" s="104" t="s">
        <v>111</v>
      </c>
      <c r="CG106" s="104" t="s">
        <v>168</v>
      </c>
      <c r="CH106" s="118" t="n">
        <f aca="false" ca="true" dt2D="false" dtr="false" t="normal">SUBTOTAL(9, CI106:CW106)</f>
        <v>1618117.19564</v>
      </c>
      <c r="CI106" s="106" t="n"/>
      <c r="CJ106" s="106" t="n"/>
      <c r="CK106" s="133" t="n"/>
      <c r="CL106" s="106" t="n"/>
      <c r="CM106" s="106" t="n">
        <v>1092251.81</v>
      </c>
      <c r="CN106" s="106" t="n"/>
      <c r="CO106" s="106" t="n"/>
      <c r="CP106" s="106" t="n"/>
      <c r="CQ106" s="106" t="n"/>
      <c r="CR106" s="106" t="n">
        <v>0</v>
      </c>
      <c r="CS106" s="106" t="n">
        <v>0</v>
      </c>
      <c r="CT106" s="106" t="n">
        <v>0</v>
      </c>
      <c r="CU106" s="106" t="n">
        <v>501699.38</v>
      </c>
      <c r="CV106" s="114" t="n"/>
      <c r="CW106" s="115" t="n">
        <v>24166.00564</v>
      </c>
      <c r="CZ106" s="104" t="s">
        <v>168</v>
      </c>
      <c r="DA106" s="119" t="n">
        <f aca="false" ca="true" dt2D="false" dtr="false" t="normal">SUBTOTAL(9, DB106:DP106)</f>
        <v>1593951.19</v>
      </c>
      <c r="DB106" s="106" t="n"/>
      <c r="DC106" s="106" t="n"/>
      <c r="DD106" s="133" t="n"/>
      <c r="DE106" s="106" t="n"/>
      <c r="DF106" s="106" t="n">
        <v>1092251.81</v>
      </c>
      <c r="DG106" s="106" t="n"/>
      <c r="DH106" s="106" t="n"/>
      <c r="DI106" s="106" t="n"/>
      <c r="DJ106" s="106" t="n"/>
      <c r="DK106" s="106" t="n">
        <v>0</v>
      </c>
      <c r="DL106" s="106" t="n">
        <v>0</v>
      </c>
      <c r="DM106" s="106" t="n">
        <v>0</v>
      </c>
      <c r="DN106" s="106" t="n">
        <v>501699.38</v>
      </c>
      <c r="DO106" s="114" t="n"/>
      <c r="DP106" s="122" t="n"/>
      <c r="DQ106" s="3" t="n">
        <f aca="false" ca="false" dt2D="false" dtr="false" t="normal">N106-DA106</f>
        <v>0</v>
      </c>
      <c r="DS106" s="9" t="n"/>
    </row>
    <row hidden="false" ht="15" outlineLevel="0" r="107">
      <c r="A107" s="103" t="n">
        <f aca="false" ca="false" dt2D="false" dtr="false" t="normal">+A106+1</f>
        <v>90</v>
      </c>
      <c r="B107" s="104" t="n">
        <f aca="false" ca="false" dt2D="false" dtr="false" t="normal">+B106+1</f>
        <v>90</v>
      </c>
      <c r="C107" s="104" t="s">
        <v>111</v>
      </c>
      <c r="D107" s="104" t="s">
        <v>169</v>
      </c>
      <c r="E107" s="105" t="n">
        <v>1977</v>
      </c>
      <c r="F107" s="105" t="n">
        <v>2013</v>
      </c>
      <c r="G107" s="105" t="s">
        <v>68</v>
      </c>
      <c r="H107" s="105" t="n">
        <v>4</v>
      </c>
      <c r="I107" s="105" t="n">
        <v>4</v>
      </c>
      <c r="J107" s="106" t="n">
        <v>3916.4</v>
      </c>
      <c r="K107" s="106" t="n">
        <v>3440.3</v>
      </c>
      <c r="L107" s="106" t="n">
        <v>0</v>
      </c>
      <c r="M107" s="107" t="n">
        <v>163</v>
      </c>
      <c r="N107" s="108" t="n">
        <f aca="false" ca="false" dt2D="false" dtr="false" t="normal">SUM(P107:T107)</f>
        <v>20295397.65</v>
      </c>
      <c r="O107" s="106" t="n"/>
      <c r="P107" s="114" t="n"/>
      <c r="Q107" s="114" t="n"/>
      <c r="R107" s="114" t="n">
        <v>1967138.52</v>
      </c>
      <c r="S107" s="114" t="n">
        <v>12246295.3996866</v>
      </c>
      <c r="T107" s="106" t="n">
        <v>6081963.7303134</v>
      </c>
      <c r="U107" s="114" t="n">
        <v>6077.95452422365</v>
      </c>
      <c r="V107" s="114" t="n">
        <v>6077.95452422365</v>
      </c>
      <c r="W107" s="110" t="n">
        <v>2022</v>
      </c>
      <c r="X107" s="9" t="e">
        <f aca="false" ca="false" dt2D="false" dtr="false" t="normal">+#REF!-'[9]Приложение №1'!$P1085</f>
        <v>#REF!</v>
      </c>
      <c r="Z107" s="113" t="n">
        <f aca="false" ca="false" dt2D="false" dtr="false" t="normal">SUM(AA107:AO107)</f>
        <v>62685332.070000015</v>
      </c>
      <c r="AA107" s="106" t="n">
        <v>5740166.19599514</v>
      </c>
      <c r="AB107" s="106" t="n">
        <v>3319695.0395049</v>
      </c>
      <c r="AC107" s="106" t="n">
        <v>3509163.45264786</v>
      </c>
      <c r="AD107" s="106" t="n">
        <v>2675766.96443196</v>
      </c>
      <c r="AE107" s="106" t="n">
        <v>1068914.1259818</v>
      </c>
      <c r="AF107" s="106" t="n"/>
      <c r="AG107" s="106" t="n">
        <v>285227.3466126</v>
      </c>
      <c r="AH107" s="106" t="n">
        <v>0</v>
      </c>
      <c r="AI107" s="106" t="n">
        <v>10218369.7972314</v>
      </c>
      <c r="AJ107" s="106" t="n">
        <v>0</v>
      </c>
      <c r="AK107" s="106" t="n">
        <v>19839022.9193663</v>
      </c>
      <c r="AL107" s="106" t="n">
        <v>7802433.2655801</v>
      </c>
      <c r="AM107" s="106" t="n">
        <v>6408816.8779</v>
      </c>
      <c r="AN107" s="114" t="n">
        <v>626853.3207</v>
      </c>
      <c r="AO107" s="115" t="n">
        <v>1190902.76404796</v>
      </c>
      <c r="AP107" s="112" t="n">
        <f aca="false" ca="false" dt2D="false" dtr="false" t="normal">+N107-'Приложение №2'!E107</f>
        <v>0</v>
      </c>
      <c r="AQ107" s="1" t="n">
        <v>1681538.39</v>
      </c>
      <c r="AR107" s="3" t="n">
        <f aca="false" ca="false" dt2D="false" dtr="false" t="normal">+(K107*10+L107*20)*12*0.85</f>
        <v>350910.6</v>
      </c>
      <c r="AS107" s="3" t="n">
        <f aca="false" ca="false" dt2D="false" dtr="false" t="normal">+(K107*10+L107*20)*12*30</f>
        <v>12385080</v>
      </c>
      <c r="AT107" s="9" t="n">
        <f aca="false" ca="false" dt2D="false" dtr="false" t="normal">+S107-AS107</f>
        <v>-138784.60031340085</v>
      </c>
      <c r="AW107" s="113" t="n">
        <f aca="false" ca="true" dt2D="false" dtr="false" t="normal">SUBTOTAL(9, AX107:BL107)</f>
        <v>20909986.94968664</v>
      </c>
      <c r="AX107" s="106" t="n"/>
      <c r="AY107" s="106" t="n"/>
      <c r="AZ107" s="106" t="n"/>
      <c r="BA107" s="106" t="n"/>
      <c r="BB107" s="106" t="n"/>
      <c r="BC107" s="106" t="n"/>
      <c r="BD107" s="106" t="n"/>
      <c r="BE107" s="106" t="n"/>
      <c r="BF107" s="106" t="n">
        <v>8833594.16</v>
      </c>
      <c r="BG107" s="106" t="n">
        <v>0</v>
      </c>
      <c r="BH107" s="106" t="n">
        <v>11280169.18</v>
      </c>
      <c r="BJ107" s="106" t="n">
        <v>157634.31</v>
      </c>
      <c r="BK107" s="114" t="n">
        <v>24000</v>
      </c>
      <c r="BL107" s="115" t="n">
        <v>614589.29968664</v>
      </c>
      <c r="BM107" s="14" t="n">
        <f aca="false" ca="true" dt2D="false" dtr="false" t="normal">SUBTOTAL(9, BN107:CB107)</f>
        <v>20909986.94968664</v>
      </c>
      <c r="BN107" s="106" t="n"/>
      <c r="BO107" s="106" t="n"/>
      <c r="BP107" s="133" t="n"/>
      <c r="BQ107" s="106" t="n"/>
      <c r="BR107" s="106" t="n"/>
      <c r="BS107" s="106" t="n"/>
      <c r="BT107" s="106" t="n"/>
      <c r="BU107" s="106" t="n"/>
      <c r="BV107" s="106" t="n">
        <v>8833594.16</v>
      </c>
      <c r="BW107" s="106" t="n">
        <v>0</v>
      </c>
      <c r="BX107" s="106" t="n">
        <v>11280169.18</v>
      </c>
      <c r="BZ107" s="106" t="n">
        <v>157634.31</v>
      </c>
      <c r="CA107" s="114" t="n">
        <v>24000</v>
      </c>
      <c r="CB107" s="115" t="n">
        <v>614589.29968664</v>
      </c>
      <c r="CD107" s="116" t="n">
        <f aca="false" ca="false" dt2D="false" dtr="false" t="normal">+CD106+1</f>
        <v>90</v>
      </c>
      <c r="CE107" s="117" t="n">
        <f aca="false" ca="false" dt2D="false" dtr="false" t="normal">+CE106+1</f>
        <v>90</v>
      </c>
      <c r="CF107" s="104" t="s">
        <v>111</v>
      </c>
      <c r="CG107" s="104" t="s">
        <v>169</v>
      </c>
      <c r="CH107" s="118" t="n">
        <f aca="false" ca="true" dt2D="false" dtr="false" t="normal">SUBTOTAL(9, CI107:CW107)</f>
        <v>20909986.94968664</v>
      </c>
      <c r="CI107" s="106" t="n"/>
      <c r="CJ107" s="106" t="n"/>
      <c r="CK107" s="133" t="n"/>
      <c r="CL107" s="106" t="n"/>
      <c r="CM107" s="106" t="n"/>
      <c r="CN107" s="106" t="n"/>
      <c r="CO107" s="106" t="n"/>
      <c r="CP107" s="106" t="n"/>
      <c r="CQ107" s="106" t="n">
        <v>8833594.16</v>
      </c>
      <c r="CR107" s="106" t="n">
        <v>0</v>
      </c>
      <c r="CS107" s="106" t="n">
        <v>11280169.18</v>
      </c>
      <c r="CU107" s="106" t="n">
        <v>157634.31</v>
      </c>
      <c r="CV107" s="114" t="n">
        <v>24000</v>
      </c>
      <c r="CW107" s="115" t="n">
        <v>614589.29968664</v>
      </c>
      <c r="CZ107" s="104" t="s">
        <v>169</v>
      </c>
      <c r="DA107" s="119" t="n">
        <f aca="false" ca="true" dt2D="false" dtr="false" t="normal">SUBTOTAL(9, DB107:DP107)</f>
        <v>20295397.65</v>
      </c>
      <c r="DB107" s="106" t="n"/>
      <c r="DC107" s="106" t="n"/>
      <c r="DD107" s="133" t="n"/>
      <c r="DE107" s="106" t="n"/>
      <c r="DF107" s="106" t="n"/>
      <c r="DG107" s="106" t="n"/>
      <c r="DH107" s="106" t="n"/>
      <c r="DI107" s="106" t="n"/>
      <c r="DJ107" s="106" t="n">
        <v>8833594.16</v>
      </c>
      <c r="DK107" s="106" t="n">
        <v>0</v>
      </c>
      <c r="DL107" s="106" t="n">
        <v>11280169.18</v>
      </c>
      <c r="DN107" s="106" t="n">
        <v>157634.31</v>
      </c>
      <c r="DO107" s="114" t="n">
        <v>24000</v>
      </c>
      <c r="DP107" s="122" t="n"/>
      <c r="DQ107" s="3" t="n">
        <f aca="false" ca="false" dt2D="false" dtr="false" t="normal">N107-DA107</f>
        <v>0</v>
      </c>
      <c r="DS107" s="9" t="n"/>
    </row>
    <row hidden="false" ht="15" outlineLevel="0" r="108">
      <c r="A108" s="103" t="n">
        <f aca="false" ca="false" dt2D="false" dtr="false" t="normal">+A107+1</f>
        <v>91</v>
      </c>
      <c r="B108" s="104" t="n">
        <f aca="false" ca="false" dt2D="false" dtr="false" t="normal">+B107+1</f>
        <v>91</v>
      </c>
      <c r="C108" s="104" t="s">
        <v>111</v>
      </c>
      <c r="D108" s="104" t="s">
        <v>170</v>
      </c>
      <c r="E108" s="105" t="n">
        <v>1992</v>
      </c>
      <c r="F108" s="105" t="n">
        <v>2013</v>
      </c>
      <c r="G108" s="105" t="s">
        <v>68</v>
      </c>
      <c r="H108" s="105" t="n">
        <v>5</v>
      </c>
      <c r="I108" s="105" t="n">
        <v>4</v>
      </c>
      <c r="J108" s="106" t="n">
        <v>5274.7</v>
      </c>
      <c r="K108" s="106" t="n">
        <v>4397.95</v>
      </c>
      <c r="L108" s="106" t="n">
        <v>82.7</v>
      </c>
      <c r="M108" s="107" t="n">
        <v>351</v>
      </c>
      <c r="N108" s="108" t="n">
        <f aca="false" ca="false" dt2D="false" dtr="false" t="normal">SUM(P108:T108)</f>
        <v>26145732.75</v>
      </c>
      <c r="O108" s="106" t="n"/>
      <c r="P108" s="114" t="n">
        <v>2576094.22</v>
      </c>
      <c r="Q108" s="114" t="n"/>
      <c r="R108" s="114" t="n">
        <v>2358216.97</v>
      </c>
      <c r="S108" s="114" t="n">
        <v>13394024.1628471</v>
      </c>
      <c r="T108" s="106" t="n">
        <v>7817397.3971529</v>
      </c>
      <c r="U108" s="114" t="n">
        <v>6185.31075242366</v>
      </c>
      <c r="V108" s="114" t="n">
        <v>6185.31075242366</v>
      </c>
      <c r="W108" s="110" t="n">
        <v>2022</v>
      </c>
      <c r="X108" s="9" t="e">
        <f aca="false" ca="false" dt2D="false" dtr="false" t="normal">+#REF!-'[9]Приложение №1'!$P1088</f>
        <v>#REF!</v>
      </c>
      <c r="Z108" s="113" t="n">
        <f aca="false" ca="false" dt2D="false" dtr="false" t="normal">SUM(AA108:AO108)</f>
        <v>73758689.84</v>
      </c>
      <c r="AA108" s="106" t="n">
        <v>6929151.73554786</v>
      </c>
      <c r="AB108" s="106" t="n">
        <v>4007317.87339926</v>
      </c>
      <c r="AC108" s="106" t="n">
        <v>4236031.7089398</v>
      </c>
      <c r="AD108" s="106" t="n">
        <v>3230010.1851276</v>
      </c>
      <c r="AE108" s="106" t="n">
        <v>0</v>
      </c>
      <c r="AF108" s="106" t="n"/>
      <c r="AG108" s="106" t="n">
        <v>344307.72949692</v>
      </c>
      <c r="AH108" s="106" t="n">
        <v>0</v>
      </c>
      <c r="AI108" s="106" t="n">
        <v>12334945.0707882</v>
      </c>
      <c r="AJ108" s="106" t="n">
        <v>0</v>
      </c>
      <c r="AK108" s="106" t="n">
        <v>23948365.8336569</v>
      </c>
      <c r="AL108" s="106" t="n">
        <v>9418585.1320218</v>
      </c>
      <c r="AM108" s="106" t="n">
        <v>7163024.8004</v>
      </c>
      <c r="AN108" s="114" t="n">
        <v>737586.8984</v>
      </c>
      <c r="AO108" s="115" t="n">
        <v>1409362.87222168</v>
      </c>
      <c r="AP108" s="112" t="n">
        <f aca="false" ca="false" dt2D="false" dtr="false" t="normal">+N108-'Приложение №2'!E108</f>
        <v>0</v>
      </c>
      <c r="AQ108" s="1" t="n">
        <v>1987606.27</v>
      </c>
      <c r="AR108" s="3" t="n">
        <f aca="false" ca="false" dt2D="false" dtr="false" t="normal">+(K108*10+L108*20)*12*0.85</f>
        <v>465461.7</v>
      </c>
      <c r="AS108" s="3" t="n">
        <f aca="false" ca="false" dt2D="false" dtr="false" t="normal">+(K108*10+L108*20)*12*30</f>
        <v>16428060</v>
      </c>
      <c r="AT108" s="9" t="n">
        <f aca="false" ca="false" dt2D="false" dtr="false" t="normal">+S108-AS108</f>
        <v>-3034035.8371529</v>
      </c>
      <c r="AW108" s="113" t="n">
        <f aca="false" ca="true" dt2D="false" dtr="false" t="normal">SUBTOTAL(9, AX108:BL108)</f>
        <v>27714212.62284708</v>
      </c>
      <c r="AX108" s="106" t="n"/>
      <c r="AZ108" s="106" t="n">
        <v>3146864.52</v>
      </c>
      <c r="BA108" s="106" t="n">
        <v>2896787.04</v>
      </c>
      <c r="BB108" s="106" t="n">
        <v>0</v>
      </c>
      <c r="BC108" s="106" t="n"/>
      <c r="BD108" s="106" t="n"/>
      <c r="BE108" s="106" t="n">
        <v>0</v>
      </c>
      <c r="BF108" s="106" t="n">
        <v>9859124.1</v>
      </c>
      <c r="BG108" s="106" t="n">
        <v>0</v>
      </c>
      <c r="BH108" s="106" t="n">
        <v>6508599.59</v>
      </c>
      <c r="BI108" s="106" t="n">
        <v>3276300</v>
      </c>
      <c r="BJ108" s="106" t="n">
        <v>434057.5</v>
      </c>
      <c r="BK108" s="114" t="n">
        <v>24000</v>
      </c>
      <c r="BL108" s="115" t="n">
        <v>1568479.87284708</v>
      </c>
      <c r="BM108" s="14" t="n">
        <f aca="false" ca="true" dt2D="false" dtr="false" t="normal">SUBTOTAL(9, BN108:CB108)</f>
        <v>27714212.62284708</v>
      </c>
      <c r="BN108" s="106" t="n"/>
      <c r="BP108" s="133" t="n">
        <v>3146864.52</v>
      </c>
      <c r="BQ108" s="106" t="n">
        <v>2896787.04</v>
      </c>
      <c r="BR108" s="106" t="n">
        <v>0</v>
      </c>
      <c r="BS108" s="106" t="n"/>
      <c r="BT108" s="106" t="n"/>
      <c r="BU108" s="106" t="n">
        <v>0</v>
      </c>
      <c r="BV108" s="106" t="n">
        <v>9859124.1</v>
      </c>
      <c r="BW108" s="106" t="n">
        <v>0</v>
      </c>
      <c r="BX108" s="106" t="n">
        <v>6508599.59</v>
      </c>
      <c r="BY108" s="106" t="n">
        <v>3276300</v>
      </c>
      <c r="BZ108" s="106" t="n">
        <v>434057.5</v>
      </c>
      <c r="CA108" s="114" t="n">
        <v>24000</v>
      </c>
      <c r="CB108" s="115" t="n">
        <v>1568479.87284708</v>
      </c>
      <c r="CD108" s="116" t="n">
        <f aca="false" ca="false" dt2D="false" dtr="false" t="normal">+CD107+1</f>
        <v>91</v>
      </c>
      <c r="CE108" s="117" t="n">
        <f aca="false" ca="false" dt2D="false" dtr="false" t="normal">+CE107+1</f>
        <v>91</v>
      </c>
      <c r="CF108" s="104" t="s">
        <v>111</v>
      </c>
      <c r="CG108" s="104" t="s">
        <v>170</v>
      </c>
      <c r="CH108" s="118" t="n">
        <f aca="false" ca="true" dt2D="false" dtr="false" t="normal">SUBTOTAL(9, CI108:CW108)</f>
        <v>27714212.62284708</v>
      </c>
      <c r="CI108" s="106" t="n"/>
      <c r="CK108" s="133" t="n">
        <v>3146864.52</v>
      </c>
      <c r="CL108" s="106" t="n">
        <v>2896787.04</v>
      </c>
      <c r="CM108" s="106" t="n">
        <v>0</v>
      </c>
      <c r="CN108" s="106" t="n"/>
      <c r="CO108" s="106" t="n"/>
      <c r="CP108" s="106" t="n">
        <v>0</v>
      </c>
      <c r="CQ108" s="106" t="n">
        <v>9859124.1</v>
      </c>
      <c r="CR108" s="106" t="n">
        <v>0</v>
      </c>
      <c r="CS108" s="106" t="n">
        <v>6508599.59</v>
      </c>
      <c r="CT108" s="106" t="n">
        <v>3276300</v>
      </c>
      <c r="CU108" s="106" t="n">
        <v>434057.5</v>
      </c>
      <c r="CV108" s="114" t="n">
        <v>24000</v>
      </c>
      <c r="CW108" s="115" t="n">
        <v>1568479.87284708</v>
      </c>
      <c r="CZ108" s="104" t="s">
        <v>170</v>
      </c>
      <c r="DA108" s="119" t="n">
        <f aca="false" ca="true" dt2D="false" dtr="false" t="normal">SUBTOTAL(9, DB108:DP108)</f>
        <v>26145732.75</v>
      </c>
      <c r="DB108" s="106" t="n"/>
      <c r="DD108" s="133" t="n">
        <v>3146864.52</v>
      </c>
      <c r="DE108" s="106" t="n">
        <v>2896787.04</v>
      </c>
      <c r="DF108" s="106" t="n">
        <v>0</v>
      </c>
      <c r="DG108" s="106" t="n"/>
      <c r="DH108" s="106" t="n"/>
      <c r="DI108" s="106" t="n">
        <v>0</v>
      </c>
      <c r="DJ108" s="106" t="n">
        <v>9859124.1</v>
      </c>
      <c r="DK108" s="106" t="n">
        <v>0</v>
      </c>
      <c r="DL108" s="106" t="n">
        <v>6508599.59</v>
      </c>
      <c r="DM108" s="106" t="n">
        <v>3276300</v>
      </c>
      <c r="DN108" s="106" t="n">
        <v>434057.5</v>
      </c>
      <c r="DO108" s="114" t="n">
        <v>24000</v>
      </c>
      <c r="DP108" s="122" t="n"/>
      <c r="DQ108" s="3" t="n">
        <f aca="false" ca="false" dt2D="false" dtr="false" t="normal">N108-DA108</f>
        <v>0</v>
      </c>
      <c r="DS108" s="9" t="n"/>
    </row>
    <row hidden="false" ht="15" outlineLevel="0" r="109">
      <c r="A109" s="103" t="n">
        <f aca="false" ca="false" dt2D="false" dtr="false" t="normal">+A108+1</f>
        <v>92</v>
      </c>
      <c r="B109" s="104" t="n">
        <f aca="false" ca="false" dt2D="false" dtr="false" t="normal">+B108+1</f>
        <v>92</v>
      </c>
      <c r="C109" s="104" t="s">
        <v>111</v>
      </c>
      <c r="D109" s="104" t="s">
        <v>171</v>
      </c>
      <c r="E109" s="105" t="n">
        <v>1987</v>
      </c>
      <c r="F109" s="105" t="n">
        <v>1987</v>
      </c>
      <c r="G109" s="105" t="s">
        <v>68</v>
      </c>
      <c r="H109" s="105" t="n">
        <v>5</v>
      </c>
      <c r="I109" s="105" t="n">
        <v>3</v>
      </c>
      <c r="J109" s="106" t="n">
        <v>5170.7</v>
      </c>
      <c r="K109" s="106" t="n">
        <v>2871.7</v>
      </c>
      <c r="L109" s="106" t="n">
        <v>2299</v>
      </c>
      <c r="M109" s="107" t="n">
        <v>334</v>
      </c>
      <c r="N109" s="108" t="n">
        <f aca="false" ca="false" dt2D="false" dtr="false" t="normal">SUM(P109:T109)</f>
        <v>13931248.442200001</v>
      </c>
      <c r="O109" s="106" t="n"/>
      <c r="P109" s="114" t="n">
        <v>3490403.93</v>
      </c>
      <c r="Q109" s="114" t="n"/>
      <c r="R109" s="114" t="n">
        <v>2203254.02</v>
      </c>
      <c r="S109" s="114" t="n">
        <v>8237590.4922</v>
      </c>
      <c r="T109" s="106" t="n"/>
      <c r="U109" s="114" t="n">
        <v>2825.76786646081</v>
      </c>
      <c r="V109" s="114" t="n">
        <v>2825.76786646081</v>
      </c>
      <c r="W109" s="110" t="n">
        <v>2022</v>
      </c>
      <c r="X109" s="9" t="e">
        <f aca="false" ca="false" dt2D="false" dtr="false" t="normal">+#REF!-'[9]Приложение №1'!$P1090</f>
        <v>#REF!</v>
      </c>
      <c r="Z109" s="113" t="n">
        <f aca="false" ca="false" dt2D="false" dtr="false" t="normal">SUM(AA109:AO109)</f>
        <v>44376055.650000006</v>
      </c>
      <c r="AA109" s="106" t="n">
        <v>6705846.86431296</v>
      </c>
      <c r="AB109" s="106" t="n">
        <v>2389568.92118868</v>
      </c>
      <c r="AC109" s="106" t="n">
        <v>2496567.83231184</v>
      </c>
      <c r="AD109" s="106" t="n">
        <v>1563009.3139332</v>
      </c>
      <c r="AE109" s="106" t="n">
        <v>0</v>
      </c>
      <c r="AF109" s="106" t="n"/>
      <c r="AG109" s="106" t="n">
        <v>257321.70331308</v>
      </c>
      <c r="AH109" s="106" t="n">
        <v>0</v>
      </c>
      <c r="AI109" s="106" t="n">
        <v>12259308.3878538</v>
      </c>
      <c r="AJ109" s="106" t="n">
        <v>0</v>
      </c>
      <c r="AK109" s="106" t="n">
        <v>6365089.67499342</v>
      </c>
      <c r="AL109" s="106" t="n">
        <v>6865494.2663706</v>
      </c>
      <c r="AM109" s="106" t="n">
        <v>4179375.6532</v>
      </c>
      <c r="AN109" s="114" t="n">
        <v>443760.5565</v>
      </c>
      <c r="AO109" s="115" t="n">
        <v>850712.47602242</v>
      </c>
      <c r="AP109" s="112" t="n">
        <f aca="false" ca="false" dt2D="false" dtr="false" t="normal">+N109-'Приложение №2'!E109</f>
        <v>0</v>
      </c>
      <c r="AQ109" s="1" t="n">
        <v>2578731.31</v>
      </c>
      <c r="AR109" s="3" t="n">
        <f aca="false" ca="false" dt2D="false" dtr="false" t="normal">+(K109*10+L109*20)*12*0.85</f>
        <v>761909.4</v>
      </c>
      <c r="AS109" s="3" t="n">
        <f aca="false" ca="false" dt2D="false" dtr="false" t="normal">+(K109*10+L109*20)*12*30</f>
        <v>26890920</v>
      </c>
      <c r="AT109" s="9" t="n">
        <f aca="false" ca="false" dt2D="false" dtr="false" t="normal">+S109-AS109</f>
        <v>-18653329.507799998</v>
      </c>
      <c r="AW109" s="113" t="n">
        <f aca="false" ca="true" dt2D="false" dtr="false" t="normal">SUBTOTAL(9, AX109:BL109)</f>
        <v>14611197.90710892</v>
      </c>
      <c r="AX109" s="106" t="n"/>
      <c r="AZ109" s="106" t="n">
        <v>2731732.82</v>
      </c>
      <c r="BB109" s="106" t="n">
        <v>0</v>
      </c>
      <c r="BC109" s="106" t="n"/>
      <c r="BD109" s="106" t="n"/>
      <c r="BE109" s="106" t="n">
        <v>0</v>
      </c>
      <c r="BF109" s="106" t="n">
        <v>9356498.15</v>
      </c>
      <c r="BG109" s="106" t="n">
        <v>0</v>
      </c>
      <c r="BH109" s="106" t="n"/>
      <c r="BI109" s="106" t="n">
        <v>1381241.93</v>
      </c>
      <c r="BJ109" s="106" t="n">
        <v>311041.2811</v>
      </c>
      <c r="BK109" s="114" t="n">
        <v>45051.6011</v>
      </c>
      <c r="BL109" s="115" t="n">
        <v>785632.12490892</v>
      </c>
      <c r="BM109" s="14" t="n">
        <f aca="false" ca="true" dt2D="false" dtr="false" t="normal">SUBTOTAL(9, BN109:CB109)</f>
        <v>14611197.90710892</v>
      </c>
      <c r="BN109" s="106" t="n"/>
      <c r="BP109" s="133" t="n">
        <v>2731732.82</v>
      </c>
      <c r="BR109" s="106" t="n">
        <v>0</v>
      </c>
      <c r="BS109" s="106" t="n"/>
      <c r="BT109" s="106" t="n"/>
      <c r="BU109" s="106" t="n">
        <v>0</v>
      </c>
      <c r="BV109" s="106" t="n">
        <v>9356498.15</v>
      </c>
      <c r="BW109" s="106" t="n">
        <v>0</v>
      </c>
      <c r="BX109" s="106" t="n"/>
      <c r="BY109" s="106" t="n">
        <v>1381241.93</v>
      </c>
      <c r="BZ109" s="106" t="n">
        <v>311041.2811</v>
      </c>
      <c r="CA109" s="114" t="n">
        <v>45051.6011</v>
      </c>
      <c r="CB109" s="115" t="n">
        <v>785632.12490892</v>
      </c>
      <c r="CD109" s="116" t="n">
        <f aca="false" ca="false" dt2D="false" dtr="false" t="normal">+CD108+1</f>
        <v>92</v>
      </c>
      <c r="CE109" s="117" t="n">
        <f aca="false" ca="false" dt2D="false" dtr="false" t="normal">+CE108+1</f>
        <v>92</v>
      </c>
      <c r="CF109" s="104" t="s">
        <v>111</v>
      </c>
      <c r="CG109" s="104" t="s">
        <v>171</v>
      </c>
      <c r="CH109" s="118" t="n">
        <f aca="false" ca="true" dt2D="false" dtr="false" t="normal">SUBTOTAL(9, CI109:CW109)</f>
        <v>14611197.90710892</v>
      </c>
      <c r="CI109" s="106" t="n"/>
      <c r="CK109" s="133" t="n">
        <v>2731732.82</v>
      </c>
      <c r="CM109" s="106" t="n">
        <v>0</v>
      </c>
      <c r="CN109" s="106" t="n"/>
      <c r="CO109" s="106" t="n"/>
      <c r="CP109" s="106" t="n">
        <v>0</v>
      </c>
      <c r="CQ109" s="106" t="n">
        <v>9356498.15</v>
      </c>
      <c r="CR109" s="106" t="n">
        <v>0</v>
      </c>
      <c r="CS109" s="106" t="n"/>
      <c r="CT109" s="106" t="n">
        <v>1381241.93</v>
      </c>
      <c r="CU109" s="106" t="n">
        <v>311041.2811</v>
      </c>
      <c r="CV109" s="114" t="n">
        <v>45051.6011</v>
      </c>
      <c r="CW109" s="115" t="n">
        <v>785632.12490892</v>
      </c>
      <c r="CZ109" s="104" t="s">
        <v>171</v>
      </c>
      <c r="DA109" s="119" t="n">
        <f aca="false" ca="true" dt2D="false" dtr="false" t="normal">SUBTOTAL(9, DB109:DP109)</f>
        <v>13931248.4422</v>
      </c>
      <c r="DB109" s="106" t="n"/>
      <c r="DD109" s="133" t="n">
        <v>2731732.82</v>
      </c>
      <c r="DF109" s="106" t="n">
        <v>0</v>
      </c>
      <c r="DG109" s="106" t="n"/>
      <c r="DH109" s="106" t="n"/>
      <c r="DI109" s="106" t="n">
        <v>0</v>
      </c>
      <c r="DJ109" s="106" t="n">
        <v>9356498.15</v>
      </c>
      <c r="DK109" s="106" t="n">
        <v>0</v>
      </c>
      <c r="DL109" s="106" t="n"/>
      <c r="DM109" s="106" t="n">
        <v>1381241.93</v>
      </c>
      <c r="DN109" s="106" t="n">
        <v>311041.2811</v>
      </c>
      <c r="DO109" s="114" t="n">
        <v>45051.6011</v>
      </c>
      <c r="DP109" s="120" t="n">
        <f aca="false" ca="false" dt2D="false" dtr="false" t="normal">23622.51+70525+11535.15</f>
        <v>105682.65999999999</v>
      </c>
      <c r="DQ109" s="3" t="n">
        <f aca="false" ca="false" dt2D="false" dtr="false" t="normal">N109-DA109</f>
        <v>0</v>
      </c>
      <c r="DS109" s="9" t="n"/>
    </row>
    <row hidden="false" ht="15" outlineLevel="0" r="110">
      <c r="A110" s="103" t="n">
        <f aca="false" ca="false" dt2D="false" dtr="false" t="normal">+A109+1</f>
        <v>93</v>
      </c>
      <c r="B110" s="104" t="n">
        <f aca="false" ca="false" dt2D="false" dtr="false" t="normal">+B109+1</f>
        <v>93</v>
      </c>
      <c r="C110" s="104" t="s">
        <v>111</v>
      </c>
      <c r="D110" s="104" t="s">
        <v>172</v>
      </c>
      <c r="E110" s="105" t="n">
        <v>1970</v>
      </c>
      <c r="F110" s="105" t="n">
        <v>2013</v>
      </c>
      <c r="G110" s="105" t="s">
        <v>68</v>
      </c>
      <c r="H110" s="105" t="n">
        <v>4</v>
      </c>
      <c r="I110" s="105" t="n">
        <v>4</v>
      </c>
      <c r="J110" s="106" t="n">
        <v>3209.3</v>
      </c>
      <c r="K110" s="106" t="n">
        <v>2718.2</v>
      </c>
      <c r="L110" s="106" t="n">
        <v>0</v>
      </c>
      <c r="M110" s="107" t="n">
        <v>128</v>
      </c>
      <c r="N110" s="108" t="n">
        <f aca="false" ca="false" dt2D="false" dtr="false" t="normal">SUM(P110:T110)</f>
        <v>1092667.3</v>
      </c>
      <c r="O110" s="106" t="n"/>
      <c r="P110" s="114" t="n">
        <v>923688.17</v>
      </c>
      <c r="Q110" s="114" t="n"/>
      <c r="R110" s="114" t="n"/>
      <c r="S110" s="114" t="n">
        <v>168979.13</v>
      </c>
      <c r="T110" s="106" t="n">
        <v>0</v>
      </c>
      <c r="U110" s="114" t="n">
        <v>401.981936575675</v>
      </c>
      <c r="V110" s="114" t="n">
        <v>401.981936575675</v>
      </c>
      <c r="W110" s="110" t="n">
        <v>2022</v>
      </c>
      <c r="X110" s="9" t="e">
        <f aca="false" ca="false" dt2D="false" dtr="false" t="normal">+#REF!-'[9]Приложение №1'!$P687</f>
        <v>#REF!</v>
      </c>
      <c r="Z110" s="113" t="n">
        <f aca="false" ca="false" dt2D="false" dtr="false" t="normal">SUM(AA110:AO110)</f>
        <v>8384825.797682</v>
      </c>
      <c r="AA110" s="106" t="n">
        <v>0</v>
      </c>
      <c r="AB110" s="106" t="n">
        <v>0</v>
      </c>
      <c r="AC110" s="106" t="n">
        <v>0</v>
      </c>
      <c r="AD110" s="106" t="n">
        <v>0</v>
      </c>
      <c r="AE110" s="106" t="n">
        <v>1159895.39</v>
      </c>
      <c r="AF110" s="106" t="n"/>
      <c r="AG110" s="106" t="n">
        <v>0</v>
      </c>
      <c r="AH110" s="106" t="n">
        <v>0</v>
      </c>
      <c r="AI110" s="106" t="n">
        <v>0</v>
      </c>
      <c r="AJ110" s="106" t="n">
        <v>0</v>
      </c>
      <c r="AK110" s="106" t="n">
        <v>6147987.24140916</v>
      </c>
      <c r="AL110" s="106" t="n">
        <v>0</v>
      </c>
      <c r="AM110" s="106" t="n">
        <v>864115.304</v>
      </c>
      <c r="AN110" s="114" t="n">
        <v>72811.3354</v>
      </c>
      <c r="AO110" s="115" t="n">
        <v>140016.52687284</v>
      </c>
      <c r="AP110" s="112" t="n">
        <f aca="false" ca="false" dt2D="false" dtr="false" t="normal">+N110-'Приложение №2'!E110</f>
        <v>0</v>
      </c>
      <c r="AQ110" s="1" t="n">
        <v>1140903.55</v>
      </c>
      <c r="AR110" s="3" t="n">
        <f aca="false" ca="false" dt2D="false" dtr="false" t="normal">+(K110*10+L110*20)*12*0.85</f>
        <v>277256.39999999997</v>
      </c>
      <c r="AS110" s="3" t="n">
        <f aca="false" ca="false" dt2D="false" dtr="false" t="normal">+(K110*10+L110*20)*12*30</f>
        <v>9785520</v>
      </c>
      <c r="AT110" s="9" t="n">
        <f aca="false" ca="false" dt2D="false" dtr="false" t="normal">+S110-AS110</f>
        <v>-9616540.87</v>
      </c>
      <c r="AW110" s="113" t="n">
        <f aca="false" ca="true" dt2D="false" dtr="false" t="normal">SUBTOTAL(9, AX110:BL110)</f>
        <v>1092667.3</v>
      </c>
      <c r="AX110" s="106" t="n">
        <v>0</v>
      </c>
      <c r="AY110" s="106" t="n">
        <v>0</v>
      </c>
      <c r="AZ110" s="106" t="n">
        <v>0</v>
      </c>
      <c r="BA110" s="106" t="n">
        <v>0</v>
      </c>
      <c r="BB110" s="106" t="n">
        <v>1092667.3</v>
      </c>
      <c r="BC110" s="106" t="n"/>
      <c r="BD110" s="106" t="n"/>
      <c r="BE110" s="106" t="n">
        <v>0</v>
      </c>
      <c r="BF110" s="106" t="n">
        <v>0</v>
      </c>
      <c r="BG110" s="106" t="n">
        <v>0</v>
      </c>
      <c r="BH110" s="106" t="n"/>
      <c r="BI110" s="106" t="n">
        <v>0</v>
      </c>
      <c r="BJ110" s="106" t="n"/>
      <c r="BK110" s="114" t="n"/>
      <c r="BL110" s="115" t="n"/>
      <c r="BM110" s="14" t="n">
        <f aca="false" ca="true" dt2D="false" dtr="false" t="normal">SUBTOTAL(9, BN110:CB110)</f>
        <v>1092667.3</v>
      </c>
      <c r="BN110" s="106" t="n">
        <v>0</v>
      </c>
      <c r="BO110" s="106" t="n">
        <v>0</v>
      </c>
      <c r="BP110" s="133" t="n">
        <v>0</v>
      </c>
      <c r="BQ110" s="106" t="n">
        <v>0</v>
      </c>
      <c r="BR110" s="106" t="n">
        <v>1092667.3</v>
      </c>
      <c r="BS110" s="106" t="n"/>
      <c r="BT110" s="106" t="n"/>
      <c r="BU110" s="106" t="n">
        <v>0</v>
      </c>
      <c r="BV110" s="106" t="n">
        <v>0</v>
      </c>
      <c r="BW110" s="106" t="n">
        <v>0</v>
      </c>
      <c r="BX110" s="106" t="n"/>
      <c r="BY110" s="106" t="n">
        <v>0</v>
      </c>
      <c r="BZ110" s="106" t="n"/>
      <c r="CA110" s="114" t="n"/>
      <c r="CB110" s="115" t="n"/>
      <c r="CD110" s="116" t="n">
        <f aca="false" ca="false" dt2D="false" dtr="false" t="normal">+CD109+1</f>
        <v>93</v>
      </c>
      <c r="CE110" s="117" t="n">
        <f aca="false" ca="false" dt2D="false" dtr="false" t="normal">+CE109+1</f>
        <v>93</v>
      </c>
      <c r="CF110" s="104" t="s">
        <v>111</v>
      </c>
      <c r="CG110" s="104" t="s">
        <v>172</v>
      </c>
      <c r="CH110" s="118" t="n">
        <f aca="false" ca="true" dt2D="false" dtr="false" t="normal">SUBTOTAL(9, CI110:CW110)</f>
        <v>1092667.3</v>
      </c>
      <c r="CI110" s="106" t="n">
        <v>0</v>
      </c>
      <c r="CJ110" s="106" t="n">
        <v>0</v>
      </c>
      <c r="CK110" s="133" t="n">
        <v>0</v>
      </c>
      <c r="CL110" s="106" t="n">
        <v>0</v>
      </c>
      <c r="CM110" s="106" t="n">
        <v>1092667.3</v>
      </c>
      <c r="CN110" s="106" t="n"/>
      <c r="CO110" s="106" t="n"/>
      <c r="CP110" s="106" t="n">
        <v>0</v>
      </c>
      <c r="CQ110" s="106" t="n">
        <v>0</v>
      </c>
      <c r="CR110" s="106" t="n">
        <v>0</v>
      </c>
      <c r="CS110" s="106" t="n"/>
      <c r="CT110" s="106" t="n">
        <v>0</v>
      </c>
      <c r="CU110" s="106" t="n"/>
      <c r="CV110" s="114" t="n"/>
      <c r="CW110" s="115" t="n"/>
      <c r="CZ110" s="104" t="s">
        <v>172</v>
      </c>
      <c r="DA110" s="119" t="n">
        <f aca="false" ca="true" dt2D="false" dtr="false" t="normal">SUBTOTAL(9, DB110:DP110)</f>
        <v>1092667.3</v>
      </c>
      <c r="DB110" s="106" t="n">
        <v>0</v>
      </c>
      <c r="DC110" s="106" t="n">
        <v>0</v>
      </c>
      <c r="DD110" s="133" t="n">
        <v>0</v>
      </c>
      <c r="DE110" s="106" t="n">
        <v>0</v>
      </c>
      <c r="DF110" s="106" t="n">
        <v>1092667.3</v>
      </c>
      <c r="DG110" s="106" t="n"/>
      <c r="DH110" s="106" t="n"/>
      <c r="DI110" s="106" t="n">
        <v>0</v>
      </c>
      <c r="DJ110" s="106" t="n">
        <v>0</v>
      </c>
      <c r="DK110" s="106" t="n">
        <v>0</v>
      </c>
      <c r="DL110" s="106" t="n"/>
      <c r="DM110" s="106" t="n">
        <v>0</v>
      </c>
      <c r="DN110" s="106" t="n"/>
      <c r="DO110" s="114" t="n"/>
      <c r="DP110" s="115" t="n"/>
      <c r="DQ110" s="3" t="n">
        <f aca="false" ca="false" dt2D="false" dtr="false" t="normal">N110-DA110</f>
        <v>0</v>
      </c>
      <c r="DS110" s="9" t="n"/>
    </row>
    <row hidden="false" ht="15" outlineLevel="0" r="111">
      <c r="A111" s="103" t="n">
        <f aca="false" ca="false" dt2D="false" dtr="false" t="normal">+A110+1</f>
        <v>94</v>
      </c>
      <c r="B111" s="104" t="n">
        <f aca="false" ca="false" dt2D="false" dtr="false" t="normal">+B110+1</f>
        <v>94</v>
      </c>
      <c r="C111" s="104" t="s">
        <v>111</v>
      </c>
      <c r="D111" s="104" t="s">
        <v>173</v>
      </c>
      <c r="E111" s="105" t="n">
        <v>1973</v>
      </c>
      <c r="F111" s="105" t="n">
        <v>2013</v>
      </c>
      <c r="G111" s="105" t="s">
        <v>68</v>
      </c>
      <c r="H111" s="105" t="n">
        <v>4</v>
      </c>
      <c r="I111" s="105" t="n">
        <v>4</v>
      </c>
      <c r="J111" s="106" t="n">
        <v>4678.76</v>
      </c>
      <c r="K111" s="106" t="n">
        <v>3451.8</v>
      </c>
      <c r="L111" s="106" t="n">
        <v>0</v>
      </c>
      <c r="M111" s="107" t="n">
        <v>168</v>
      </c>
      <c r="N111" s="108" t="n">
        <f aca="false" ca="false" dt2D="false" dtr="false" t="normal">SUM(P111:T111)</f>
        <v>1966896.6600000001</v>
      </c>
      <c r="O111" s="106" t="n"/>
      <c r="P111" s="114" t="n"/>
      <c r="Q111" s="114" t="n"/>
      <c r="R111" s="114" t="n">
        <v>1874829.57</v>
      </c>
      <c r="S111" s="114" t="n">
        <v>69906.9700000002</v>
      </c>
      <c r="T111" s="114" t="n">
        <v>22160.1199999999</v>
      </c>
      <c r="U111" s="106" t="n">
        <v>563.397804044267</v>
      </c>
      <c r="V111" s="106" t="n">
        <v>563.397804044267</v>
      </c>
      <c r="W111" s="110" t="n">
        <v>2022</v>
      </c>
      <c r="X111" s="9" t="e">
        <f aca="false" ca="false" dt2D="false" dtr="false" t="normal">+S111-'[9]Приложение №1'!$P480</f>
        <v>#REF!</v>
      </c>
      <c r="Z111" s="113" t="n">
        <f aca="false" ca="false" dt2D="false" dtr="false" t="normal">SUM(AA111:AO111)</f>
        <v>1494080.68</v>
      </c>
      <c r="AA111" s="106" t="n">
        <v>0</v>
      </c>
      <c r="AB111" s="106" t="n">
        <v>0</v>
      </c>
      <c r="AC111" s="106" t="n">
        <v>0</v>
      </c>
      <c r="AD111" s="106" t="n">
        <v>0</v>
      </c>
      <c r="AE111" s="106" t="n">
        <v>1274871.31</v>
      </c>
      <c r="AF111" s="106" t="n"/>
      <c r="AG111" s="106" t="n">
        <v>0</v>
      </c>
      <c r="AH111" s="106" t="n">
        <v>0</v>
      </c>
      <c r="AI111" s="106" t="n">
        <v>0</v>
      </c>
      <c r="AJ111" s="106" t="n">
        <v>0</v>
      </c>
      <c r="AK111" s="106" t="n">
        <v>0</v>
      </c>
      <c r="AL111" s="106" t="n">
        <v>0</v>
      </c>
      <c r="AM111" s="106" t="n">
        <v>209316.16</v>
      </c>
      <c r="AN111" s="114" t="n">
        <v>2500</v>
      </c>
      <c r="AO111" s="115" t="n">
        <v>7393.21</v>
      </c>
      <c r="AP111" s="112" t="n">
        <f aca="false" ca="false" dt2D="false" dtr="false" t="normal">+N111-'Приложение №2'!E111</f>
        <v>0</v>
      </c>
      <c r="AQ111" s="9" t="n">
        <f aca="false" ca="false" dt2D="false" dtr="false" t="normal">1522745.97</f>
        <v>1522745.97</v>
      </c>
      <c r="AR111" s="3" t="n">
        <f aca="false" ca="false" dt2D="false" dtr="false" t="normal">+(K111*10+L111*20)*12*0.85</f>
        <v>352083.6</v>
      </c>
      <c r="AS111" s="3" t="n">
        <f aca="false" ca="false" dt2D="false" dtr="false" t="normal">+(K111*10+L111*20)*12*30</f>
        <v>12426480</v>
      </c>
      <c r="AT111" s="9" t="n">
        <f aca="false" ca="false" dt2D="false" dtr="false" t="normal">+S111-AS111</f>
        <v>-12356573.03</v>
      </c>
      <c r="AU111" s="9" t="e">
        <f aca="false" ca="false" dt2D="false" dtr="false" t="normal">+P111-'[5]Приложение №1'!$P100</f>
        <v>#REF!</v>
      </c>
      <c r="AV111" s="9" t="e">
        <f aca="false" ca="false" dt2D="false" dtr="false" t="normal">+Q111-'[5]Приложение №1'!$Q100</f>
        <v>#REF!</v>
      </c>
      <c r="AW111" s="113" t="n">
        <f aca="false" ca="true" dt2D="false" dtr="false" t="normal">SUBTOTAL(9, AX111:BL111)</f>
        <v>1944736.54</v>
      </c>
      <c r="AX111" s="106" t="n">
        <v>0</v>
      </c>
      <c r="AY111" s="106" t="n">
        <v>0</v>
      </c>
      <c r="AZ111" s="106" t="n">
        <v>0</v>
      </c>
      <c r="BA111" s="106" t="n">
        <v>0</v>
      </c>
      <c r="BB111" s="106" t="n"/>
      <c r="BC111" s="106" t="n"/>
      <c r="BD111" s="106" t="n"/>
      <c r="BE111" s="106" t="n">
        <v>0</v>
      </c>
      <c r="BF111" s="106" t="n">
        <v>0</v>
      </c>
      <c r="BG111" s="106" t="n">
        <v>0</v>
      </c>
      <c r="BH111" s="106" t="n">
        <v>0</v>
      </c>
      <c r="BI111" s="106" t="n">
        <v>1937343.33</v>
      </c>
      <c r="BJ111" s="106" t="n"/>
      <c r="BK111" s="114" t="n"/>
      <c r="BL111" s="115" t="n">
        <v>7393.21</v>
      </c>
      <c r="BM111" s="14" t="n">
        <f aca="false" ca="true" dt2D="false" dtr="false" t="normal">SUBTOTAL(9, BN111:CB111)</f>
        <v>1944736.54</v>
      </c>
      <c r="BN111" s="106" t="n">
        <v>0</v>
      </c>
      <c r="BO111" s="106" t="n">
        <v>0</v>
      </c>
      <c r="BP111" s="133" t="n">
        <v>0</v>
      </c>
      <c r="BQ111" s="106" t="n">
        <v>0</v>
      </c>
      <c r="BR111" s="106" t="n"/>
      <c r="BS111" s="106" t="n"/>
      <c r="BT111" s="106" t="n"/>
      <c r="BU111" s="106" t="n">
        <v>0</v>
      </c>
      <c r="BV111" s="106" t="n">
        <v>0</v>
      </c>
      <c r="BW111" s="106" t="n">
        <v>0</v>
      </c>
      <c r="BX111" s="106" t="n">
        <v>0</v>
      </c>
      <c r="BY111" s="106" t="n">
        <v>1937343.33</v>
      </c>
      <c r="BZ111" s="106" t="n"/>
      <c r="CA111" s="114" t="n"/>
      <c r="CB111" s="115" t="n">
        <v>7393.21</v>
      </c>
      <c r="CD111" s="116" t="n">
        <f aca="false" ca="false" dt2D="false" dtr="false" t="normal">+CD110+1</f>
        <v>94</v>
      </c>
      <c r="CE111" s="117" t="n">
        <f aca="false" ca="false" dt2D="false" dtr="false" t="normal">+CE110+1</f>
        <v>94</v>
      </c>
      <c r="CF111" s="104" t="s">
        <v>111</v>
      </c>
      <c r="CG111" s="104" t="s">
        <v>173</v>
      </c>
      <c r="CH111" s="118" t="n">
        <f aca="false" ca="true" dt2D="false" dtr="false" t="normal">SUBTOTAL(9, CI111:CW111)</f>
        <v>1944736.54</v>
      </c>
      <c r="CI111" s="106" t="n">
        <v>0</v>
      </c>
      <c r="CJ111" s="106" t="n">
        <v>0</v>
      </c>
      <c r="CK111" s="133" t="n">
        <v>0</v>
      </c>
      <c r="CL111" s="106" t="n">
        <v>0</v>
      </c>
      <c r="CM111" s="106" t="n"/>
      <c r="CN111" s="106" t="n"/>
      <c r="CO111" s="106" t="n"/>
      <c r="CP111" s="106" t="n">
        <v>0</v>
      </c>
      <c r="CQ111" s="106" t="n">
        <v>0</v>
      </c>
      <c r="CR111" s="106" t="n">
        <v>0</v>
      </c>
      <c r="CS111" s="106" t="n">
        <v>0</v>
      </c>
      <c r="CT111" s="106" t="n">
        <v>1937343.33</v>
      </c>
      <c r="CU111" s="106" t="n"/>
      <c r="CV111" s="114" t="n"/>
      <c r="CW111" s="115" t="n">
        <v>7393.21</v>
      </c>
      <c r="CZ111" s="104" t="s">
        <v>173</v>
      </c>
      <c r="DA111" s="119" t="n">
        <f aca="false" ca="true" dt2D="false" dtr="false" t="normal">SUBTOTAL(9, DB111:DP111)</f>
        <v>1966896.6600000001</v>
      </c>
      <c r="DB111" s="106" t="n">
        <v>0</v>
      </c>
      <c r="DC111" s="106" t="n">
        <v>0</v>
      </c>
      <c r="DD111" s="133" t="n">
        <v>0</v>
      </c>
      <c r="DE111" s="106" t="n">
        <v>0</v>
      </c>
      <c r="DF111" s="106" t="n"/>
      <c r="DG111" s="106" t="n"/>
      <c r="DH111" s="106" t="n"/>
      <c r="DI111" s="106" t="n">
        <v>0</v>
      </c>
      <c r="DJ111" s="106" t="n">
        <v>0</v>
      </c>
      <c r="DK111" s="106" t="n">
        <v>0</v>
      </c>
      <c r="DL111" s="106" t="n">
        <v>0</v>
      </c>
      <c r="DM111" s="106" t="n">
        <v>1937343.33</v>
      </c>
      <c r="DN111" s="106" t="n"/>
      <c r="DO111" s="114" t="n"/>
      <c r="DP111" s="120" t="n">
        <f aca="false" ca="false" dt2D="false" dtr="false" t="normal">29553.33</f>
        <v>29553.33</v>
      </c>
      <c r="DQ111" s="3" t="n">
        <f aca="false" ca="false" dt2D="false" dtr="false" t="normal">N111-DA111</f>
        <v>0</v>
      </c>
      <c r="DS111" s="9" t="n"/>
    </row>
    <row hidden="false" ht="15" outlineLevel="0" r="112">
      <c r="A112" s="103" t="n">
        <f aca="false" ca="false" dt2D="false" dtr="false" t="normal">+A111+1</f>
        <v>95</v>
      </c>
      <c r="B112" s="104" t="n">
        <f aca="false" ca="false" dt2D="false" dtr="false" t="normal">+B111+1</f>
        <v>95</v>
      </c>
      <c r="C112" s="104" t="s">
        <v>111</v>
      </c>
      <c r="D112" s="104" t="s">
        <v>174</v>
      </c>
      <c r="E112" s="105" t="n">
        <v>1989</v>
      </c>
      <c r="F112" s="105" t="n">
        <v>2012</v>
      </c>
      <c r="G112" s="105" t="s">
        <v>68</v>
      </c>
      <c r="H112" s="105" t="n">
        <v>9</v>
      </c>
      <c r="I112" s="105" t="n">
        <v>1</v>
      </c>
      <c r="J112" s="106" t="n">
        <v>5704.32</v>
      </c>
      <c r="K112" s="106" t="n">
        <v>3900.7</v>
      </c>
      <c r="L112" s="106" t="n">
        <v>0</v>
      </c>
      <c r="M112" s="107" t="n">
        <v>280</v>
      </c>
      <c r="N112" s="108" t="n">
        <f aca="false" ca="false" dt2D="false" dtr="false" t="normal">SUM(P112:T112)</f>
        <v>3410150.6500000004</v>
      </c>
      <c r="O112" s="106" t="n"/>
      <c r="P112" s="114" t="n"/>
      <c r="Q112" s="114" t="n"/>
      <c r="R112" s="114" t="n">
        <v>2691688.4906</v>
      </c>
      <c r="S112" s="114" t="n">
        <v>718462.1594</v>
      </c>
      <c r="T112" s="114" t="n"/>
      <c r="U112" s="106" t="n">
        <v>895.486428334914</v>
      </c>
      <c r="V112" s="106" t="n">
        <v>895.486428334914</v>
      </c>
      <c r="W112" s="110" t="n">
        <v>2022</v>
      </c>
      <c r="X112" s="9" t="e">
        <f aca="false" ca="false" dt2D="false" dtr="false" t="normal">+#REF!-'[9]Приложение №1'!$P1479</f>
        <v>#REF!</v>
      </c>
      <c r="Z112" s="113" t="n">
        <f aca="false" ca="false" dt2D="false" dtr="false" t="normal">SUM(AA112:AO112)</f>
        <v>4018667.23</v>
      </c>
      <c r="AA112" s="106" t="n">
        <v>0</v>
      </c>
      <c r="AB112" s="106" t="n">
        <v>0</v>
      </c>
      <c r="AC112" s="106" t="n">
        <v>0</v>
      </c>
      <c r="AD112" s="106" t="n">
        <v>0</v>
      </c>
      <c r="AE112" s="106" t="n">
        <v>0</v>
      </c>
      <c r="AF112" s="106" t="n"/>
      <c r="AG112" s="106" t="n">
        <v>0</v>
      </c>
      <c r="AH112" s="106" t="n">
        <v>0</v>
      </c>
      <c r="AI112" s="106" t="n">
        <v>3789709.028994</v>
      </c>
      <c r="AJ112" s="106" t="n">
        <v>0</v>
      </c>
      <c r="AK112" s="106" t="n">
        <v>0</v>
      </c>
      <c r="AL112" s="106" t="n">
        <v>0</v>
      </c>
      <c r="AM112" s="106" t="n">
        <v>122084.94</v>
      </c>
      <c r="AN112" s="106" t="n">
        <v>24000</v>
      </c>
      <c r="AO112" s="115" t="n">
        <v>82873.261006</v>
      </c>
      <c r="AP112" s="112" t="n">
        <f aca="false" ca="false" dt2D="false" dtr="false" t="normal">+N112-'Приложение №2'!E112</f>
        <v>0</v>
      </c>
      <c r="AQ112" s="1" t="n">
        <v>2162917.4</v>
      </c>
      <c r="AR112" s="3" t="n">
        <f aca="false" ca="false" dt2D="false" dtr="false" t="normal">+(K112*13.29+L112*22.52)*12*0.85</f>
        <v>528771.0905999999</v>
      </c>
      <c r="AS112" s="3" t="n">
        <f aca="false" ca="false" dt2D="false" dtr="false" t="normal">+(K112*13.29+L112*22.52)*12*30</f>
        <v>18662509.08</v>
      </c>
      <c r="AT112" s="9" t="n">
        <f aca="false" ca="false" dt2D="false" dtr="false" t="normal">+S112-AS112</f>
        <v>-17944046.920599997</v>
      </c>
      <c r="AU112" s="9" t="e">
        <f aca="false" ca="false" dt2D="false" dtr="false" t="normal">+P112-'[5]Приложение №1'!$P312</f>
        <v>#REF!</v>
      </c>
      <c r="AV112" s="9" t="e">
        <f aca="false" ca="false" dt2D="false" dtr="false" t="normal">+Q112-'[5]Приложение №1'!$Q312</f>
        <v>#REF!</v>
      </c>
      <c r="AW112" s="113" t="n">
        <f aca="false" ca="true" dt2D="false" dtr="false" t="normal">SUBTOTAL(9, AX112:BL112)</f>
        <v>3493023.911006</v>
      </c>
      <c r="AX112" s="106" t="n">
        <v>0</v>
      </c>
      <c r="AY112" s="106" t="n">
        <v>0</v>
      </c>
      <c r="AZ112" s="106" t="n">
        <v>0</v>
      </c>
      <c r="BA112" s="106" t="n">
        <v>0</v>
      </c>
      <c r="BB112" s="106" t="n">
        <v>0</v>
      </c>
      <c r="BC112" s="106" t="n"/>
      <c r="BD112" s="106" t="n"/>
      <c r="BE112" s="106" t="n">
        <v>0</v>
      </c>
      <c r="BF112" s="106" t="n">
        <v>3264065.71</v>
      </c>
      <c r="BG112" s="106" t="n">
        <v>0</v>
      </c>
      <c r="BH112" s="106" t="n">
        <v>0</v>
      </c>
      <c r="BI112" s="106" t="n">
        <v>0</v>
      </c>
      <c r="BJ112" s="106" t="n">
        <v>122084.94</v>
      </c>
      <c r="BK112" s="106" t="n">
        <v>24000</v>
      </c>
      <c r="BL112" s="115" t="n">
        <v>82873.261006</v>
      </c>
      <c r="BM112" s="14" t="n">
        <f aca="false" ca="true" dt2D="false" dtr="false" t="normal">SUBTOTAL(9, BN112:CB112)</f>
        <v>3493023.911006</v>
      </c>
      <c r="BN112" s="106" t="n">
        <v>0</v>
      </c>
      <c r="BO112" s="106" t="n">
        <v>0</v>
      </c>
      <c r="BP112" s="133" t="n">
        <v>0</v>
      </c>
      <c r="BQ112" s="106" t="n">
        <v>0</v>
      </c>
      <c r="BR112" s="106" t="n">
        <v>0</v>
      </c>
      <c r="BS112" s="106" t="n"/>
      <c r="BT112" s="106" t="n"/>
      <c r="BU112" s="106" t="n">
        <v>0</v>
      </c>
      <c r="BV112" s="106" t="n">
        <v>3264065.71</v>
      </c>
      <c r="BW112" s="106" t="n">
        <v>0</v>
      </c>
      <c r="BX112" s="106" t="n">
        <v>0</v>
      </c>
      <c r="BY112" s="106" t="n">
        <v>0</v>
      </c>
      <c r="BZ112" s="106" t="n">
        <v>122084.94</v>
      </c>
      <c r="CA112" s="106" t="n">
        <v>24000</v>
      </c>
      <c r="CB112" s="115" t="n">
        <v>82873.261006</v>
      </c>
      <c r="CD112" s="116" t="n">
        <f aca="false" ca="false" dt2D="false" dtr="false" t="normal">+CD111+1</f>
        <v>95</v>
      </c>
      <c r="CE112" s="117" t="n">
        <f aca="false" ca="false" dt2D="false" dtr="false" t="normal">+CE111+1</f>
        <v>95</v>
      </c>
      <c r="CF112" s="104" t="s">
        <v>111</v>
      </c>
      <c r="CG112" s="104" t="s">
        <v>174</v>
      </c>
      <c r="CH112" s="118" t="n">
        <f aca="false" ca="true" dt2D="false" dtr="false" t="normal">SUBTOTAL(9, CI112:CW112)</f>
        <v>3493023.911006</v>
      </c>
      <c r="CI112" s="106" t="n">
        <v>0</v>
      </c>
      <c r="CJ112" s="106" t="n">
        <v>0</v>
      </c>
      <c r="CK112" s="133" t="n">
        <v>0</v>
      </c>
      <c r="CL112" s="106" t="n">
        <v>0</v>
      </c>
      <c r="CM112" s="106" t="n">
        <v>0</v>
      </c>
      <c r="CN112" s="106" t="n"/>
      <c r="CO112" s="106" t="n"/>
      <c r="CP112" s="106" t="n">
        <v>0</v>
      </c>
      <c r="CQ112" s="106" t="n">
        <v>3264065.71</v>
      </c>
      <c r="CR112" s="106" t="n">
        <v>0</v>
      </c>
      <c r="CS112" s="106" t="n">
        <v>0</v>
      </c>
      <c r="CT112" s="106" t="n">
        <v>0</v>
      </c>
      <c r="CU112" s="106" t="n">
        <v>122084.94</v>
      </c>
      <c r="CV112" s="106" t="n">
        <v>24000</v>
      </c>
      <c r="CW112" s="115" t="n">
        <v>82873.261006</v>
      </c>
      <c r="CZ112" s="104" t="s">
        <v>174</v>
      </c>
      <c r="DA112" s="119" t="n">
        <f aca="false" ca="true" dt2D="false" dtr="false" t="normal">SUBTOTAL(9, DB112:DP112)</f>
        <v>3410150.65</v>
      </c>
      <c r="DB112" s="106" t="n">
        <v>0</v>
      </c>
      <c r="DC112" s="106" t="n">
        <v>0</v>
      </c>
      <c r="DD112" s="133" t="n">
        <v>0</v>
      </c>
      <c r="DE112" s="106" t="n">
        <v>0</v>
      </c>
      <c r="DF112" s="106" t="n">
        <v>0</v>
      </c>
      <c r="DG112" s="106" t="n"/>
      <c r="DH112" s="106" t="n"/>
      <c r="DI112" s="106" t="n">
        <v>0</v>
      </c>
      <c r="DJ112" s="106" t="n">
        <v>3264065.71</v>
      </c>
      <c r="DK112" s="106" t="n">
        <v>0</v>
      </c>
      <c r="DL112" s="106" t="n">
        <v>0</v>
      </c>
      <c r="DM112" s="106" t="n">
        <v>0</v>
      </c>
      <c r="DN112" s="106" t="n">
        <v>122084.94</v>
      </c>
      <c r="DO112" s="106" t="n">
        <v>24000</v>
      </c>
      <c r="DP112" s="122" t="n"/>
      <c r="DQ112" s="3" t="n">
        <f aca="false" ca="false" dt2D="false" dtr="false" t="normal">N112-DA112</f>
        <v>0</v>
      </c>
      <c r="DS112" s="9" t="n"/>
    </row>
    <row hidden="false" ht="15" outlineLevel="0" r="113">
      <c r="A113" s="103" t="n">
        <f aca="false" ca="false" dt2D="false" dtr="false" t="normal">+A112+1</f>
        <v>96</v>
      </c>
      <c r="B113" s="104" t="n">
        <f aca="false" ca="false" dt2D="false" dtr="false" t="normal">+B112+1</f>
        <v>96</v>
      </c>
      <c r="C113" s="104" t="s">
        <v>111</v>
      </c>
      <c r="D113" s="104" t="s">
        <v>175</v>
      </c>
      <c r="E113" s="105" t="n">
        <v>1992</v>
      </c>
      <c r="F113" s="105" t="n">
        <v>2013</v>
      </c>
      <c r="G113" s="105" t="s">
        <v>68</v>
      </c>
      <c r="H113" s="105" t="n">
        <v>10</v>
      </c>
      <c r="I113" s="105" t="n">
        <v>4</v>
      </c>
      <c r="J113" s="106" t="n">
        <v>12644.49</v>
      </c>
      <c r="K113" s="106" t="n">
        <v>10557.43</v>
      </c>
      <c r="L113" s="106" t="n">
        <v>90.5</v>
      </c>
      <c r="M113" s="107" t="n">
        <v>379</v>
      </c>
      <c r="N113" s="108" t="n">
        <f aca="false" ca="false" dt2D="false" dtr="false" t="normal">SUM(P113:T113)</f>
        <v>8427335.0921</v>
      </c>
      <c r="O113" s="106" t="n"/>
      <c r="P113" s="114" t="n"/>
      <c r="Q113" s="114" t="n"/>
      <c r="R113" s="114" t="n">
        <v>6910298.3</v>
      </c>
      <c r="S113" s="114" t="n">
        <v>1517036.7921</v>
      </c>
      <c r="T113" s="106" t="n"/>
      <c r="U113" s="114" t="n">
        <v>808.578890357976</v>
      </c>
      <c r="V113" s="114" t="n">
        <v>808.578890357976</v>
      </c>
      <c r="W113" s="110" t="n">
        <v>2022</v>
      </c>
      <c r="X113" s="9" t="e">
        <f aca="false" ca="false" dt2D="false" dtr="false" t="normal">+#REF!-'[9]Приложение №1'!$P1093</f>
        <v>#REF!</v>
      </c>
      <c r="Z113" s="113" t="n">
        <f aca="false" ca="false" dt2D="false" dtr="false" t="normal">SUM(AA113:AO113)</f>
        <v>9468137.69</v>
      </c>
      <c r="AA113" s="106" t="n">
        <v>0</v>
      </c>
      <c r="AB113" s="106" t="n">
        <v>0</v>
      </c>
      <c r="AC113" s="106" t="n">
        <v>0</v>
      </c>
      <c r="AD113" s="106" t="n">
        <v>0</v>
      </c>
      <c r="AE113" s="106" t="n">
        <v>0</v>
      </c>
      <c r="AF113" s="106" t="n"/>
      <c r="AG113" s="106" t="n">
        <v>0</v>
      </c>
      <c r="AH113" s="106" t="n">
        <v>0</v>
      </c>
      <c r="AI113" s="106" t="n">
        <v>8338967.5890906</v>
      </c>
      <c r="AJ113" s="106" t="n">
        <v>0</v>
      </c>
      <c r="AK113" s="106" t="n">
        <v>0</v>
      </c>
      <c r="AL113" s="106" t="n">
        <v>0</v>
      </c>
      <c r="AM113" s="106" t="n">
        <v>852132.3921</v>
      </c>
      <c r="AN113" s="114" t="n">
        <v>94681.3769</v>
      </c>
      <c r="AO113" s="115" t="n">
        <v>182356.3319094</v>
      </c>
      <c r="AP113" s="112" t="n">
        <f aca="false" ca="false" dt2D="false" dtr="false" t="normal">+N113-'Приложение №2'!E113</f>
        <v>0</v>
      </c>
      <c r="AQ113" s="1" t="n">
        <v>6495346.24</v>
      </c>
      <c r="AR113" s="3" t="n">
        <f aca="false" ca="false" dt2D="false" dtr="false" t="normal">+(K113*13.29+L113*22.52)*12*0.85</f>
        <v>1451932.3079399997</v>
      </c>
      <c r="AS113" s="3" t="n">
        <f aca="false" ca="false" dt2D="false" dtr="false" t="normal">+(K113*13.29+L113*22.52)*12*30</f>
        <v>51244669.691999994</v>
      </c>
      <c r="AT113" s="9" t="n">
        <f aca="false" ca="false" dt2D="false" dtr="false" t="normal">+S113-AS113</f>
        <v>-49727632.8999</v>
      </c>
      <c r="AW113" s="113" t="n">
        <f aca="false" ca="true" dt2D="false" dtr="false" t="normal">SUBTOTAL(9, AX113:BL113)</f>
        <v>8609691.4240094</v>
      </c>
      <c r="AX113" s="106" t="n">
        <v>0</v>
      </c>
      <c r="AY113" s="106" t="n">
        <v>0</v>
      </c>
      <c r="AZ113" s="106" t="n">
        <v>0</v>
      </c>
      <c r="BA113" s="106" t="n">
        <v>0</v>
      </c>
      <c r="BB113" s="106" t="n">
        <v>0</v>
      </c>
      <c r="BC113" s="106" t="n"/>
      <c r="BD113" s="106" t="n"/>
      <c r="BE113" s="106" t="n">
        <v>0</v>
      </c>
      <c r="BF113" s="106" t="n">
        <v>7551202.7</v>
      </c>
      <c r="BG113" s="106" t="n">
        <v>0</v>
      </c>
      <c r="BH113" s="106" t="n">
        <v>0</v>
      </c>
      <c r="BI113" s="106" t="n">
        <v>0</v>
      </c>
      <c r="BJ113" s="106" t="n">
        <v>852132.3921</v>
      </c>
      <c r="BK113" s="114" t="n">
        <v>24000</v>
      </c>
      <c r="BL113" s="115" t="n">
        <v>182356.3319094</v>
      </c>
      <c r="BM113" s="14" t="n">
        <f aca="false" ca="true" dt2D="false" dtr="false" t="normal">SUBTOTAL(9, BN113:CB113)</f>
        <v>8609691.4240094</v>
      </c>
      <c r="BN113" s="106" t="n">
        <v>0</v>
      </c>
      <c r="BO113" s="106" t="n">
        <v>0</v>
      </c>
      <c r="BP113" s="133" t="n">
        <v>0</v>
      </c>
      <c r="BQ113" s="106" t="n">
        <v>0</v>
      </c>
      <c r="BR113" s="106" t="n">
        <v>0</v>
      </c>
      <c r="BS113" s="106" t="n"/>
      <c r="BT113" s="106" t="n"/>
      <c r="BU113" s="106" t="n">
        <v>0</v>
      </c>
      <c r="BV113" s="106" t="n">
        <v>7551202.7</v>
      </c>
      <c r="BW113" s="106" t="n">
        <v>0</v>
      </c>
      <c r="BX113" s="106" t="n">
        <v>0</v>
      </c>
      <c r="BY113" s="106" t="n">
        <v>0</v>
      </c>
      <c r="BZ113" s="106" t="n">
        <v>852132.3921</v>
      </c>
      <c r="CA113" s="114" t="n">
        <v>24000</v>
      </c>
      <c r="CB113" s="115" t="n">
        <v>182356.3319094</v>
      </c>
      <c r="CD113" s="116" t="n">
        <f aca="false" ca="false" dt2D="false" dtr="false" t="normal">+CD112+1</f>
        <v>96</v>
      </c>
      <c r="CE113" s="117" t="n">
        <f aca="false" ca="false" dt2D="false" dtr="false" t="normal">+CE112+1</f>
        <v>96</v>
      </c>
      <c r="CF113" s="104" t="s">
        <v>111</v>
      </c>
      <c r="CG113" s="104" t="s">
        <v>175</v>
      </c>
      <c r="CH113" s="118" t="n">
        <f aca="false" ca="true" dt2D="false" dtr="false" t="normal">SUBTOTAL(9, CI113:CW113)</f>
        <v>8609691.4240094</v>
      </c>
      <c r="CI113" s="106" t="n">
        <v>0</v>
      </c>
      <c r="CJ113" s="106" t="n">
        <v>0</v>
      </c>
      <c r="CK113" s="133" t="n">
        <v>0</v>
      </c>
      <c r="CL113" s="106" t="n">
        <v>0</v>
      </c>
      <c r="CM113" s="106" t="n">
        <v>0</v>
      </c>
      <c r="CN113" s="106" t="n"/>
      <c r="CO113" s="106" t="n"/>
      <c r="CP113" s="106" t="n">
        <v>0</v>
      </c>
      <c r="CQ113" s="106" t="n">
        <v>7551202.7</v>
      </c>
      <c r="CR113" s="106" t="n">
        <v>0</v>
      </c>
      <c r="CS113" s="106" t="n">
        <v>0</v>
      </c>
      <c r="CT113" s="106" t="n">
        <v>0</v>
      </c>
      <c r="CU113" s="106" t="n">
        <v>852132.3921</v>
      </c>
      <c r="CV113" s="114" t="n">
        <v>24000</v>
      </c>
      <c r="CW113" s="115" t="n">
        <v>182356.3319094</v>
      </c>
      <c r="CZ113" s="104" t="s">
        <v>175</v>
      </c>
      <c r="DA113" s="119" t="n">
        <f aca="false" ca="true" dt2D="false" dtr="false" t="normal">SUBTOTAL(9, DB113:DP113)</f>
        <v>8427335.0921</v>
      </c>
      <c r="DB113" s="106" t="n">
        <v>0</v>
      </c>
      <c r="DC113" s="106" t="n">
        <v>0</v>
      </c>
      <c r="DD113" s="133" t="n">
        <v>0</v>
      </c>
      <c r="DE113" s="106" t="n">
        <v>0</v>
      </c>
      <c r="DF113" s="106" t="n">
        <v>0</v>
      </c>
      <c r="DG113" s="106" t="n"/>
      <c r="DH113" s="106" t="n"/>
      <c r="DI113" s="106" t="n">
        <v>0</v>
      </c>
      <c r="DJ113" s="106" t="n">
        <v>7551202.7</v>
      </c>
      <c r="DK113" s="106" t="n">
        <v>0</v>
      </c>
      <c r="DL113" s="106" t="n">
        <v>0</v>
      </c>
      <c r="DM113" s="106" t="n">
        <v>0</v>
      </c>
      <c r="DN113" s="106" t="n">
        <v>852132.3921</v>
      </c>
      <c r="DO113" s="114" t="n">
        <v>24000</v>
      </c>
      <c r="DP113" s="122" t="n"/>
      <c r="DQ113" s="3" t="n">
        <f aca="false" ca="false" dt2D="false" dtr="false" t="normal">N113-DA113</f>
        <v>0</v>
      </c>
      <c r="DS113" s="9" t="n"/>
    </row>
    <row hidden="false" ht="15" outlineLevel="0" r="114">
      <c r="A114" s="103" t="n">
        <f aca="false" ca="false" dt2D="false" dtr="false" t="normal">+A113+1</f>
        <v>97</v>
      </c>
      <c r="B114" s="104" t="n">
        <f aca="false" ca="false" dt2D="false" dtr="false" t="normal">+B113+1</f>
        <v>97</v>
      </c>
      <c r="C114" s="104" t="s">
        <v>111</v>
      </c>
      <c r="D114" s="104" t="s">
        <v>176</v>
      </c>
      <c r="E114" s="105" t="n">
        <v>1980</v>
      </c>
      <c r="F114" s="105" t="n">
        <v>2008</v>
      </c>
      <c r="G114" s="105" t="s">
        <v>68</v>
      </c>
      <c r="H114" s="105" t="n">
        <v>5</v>
      </c>
      <c r="I114" s="105" t="n">
        <v>6</v>
      </c>
      <c r="J114" s="106" t="n">
        <v>7149.4</v>
      </c>
      <c r="K114" s="106" t="n">
        <v>6325.2</v>
      </c>
      <c r="L114" s="106" t="n">
        <v>0</v>
      </c>
      <c r="M114" s="107" t="n">
        <v>293</v>
      </c>
      <c r="N114" s="108" t="n">
        <f aca="false" ca="false" dt2D="false" dtr="false" t="normal">SUM(P114:T114)</f>
        <v>17704648.1106</v>
      </c>
      <c r="O114" s="106" t="n"/>
      <c r="P114" s="114" t="n"/>
      <c r="Q114" s="114" t="n"/>
      <c r="R114" s="114" t="n">
        <v>1661064.07</v>
      </c>
      <c r="S114" s="114" t="n">
        <v>16043584.0406</v>
      </c>
      <c r="T114" s="114" t="n"/>
      <c r="U114" s="114" t="n">
        <v>2919.95625857762</v>
      </c>
      <c r="V114" s="114" t="n">
        <v>2919.95625857762</v>
      </c>
      <c r="W114" s="110" t="n">
        <v>2022</v>
      </c>
      <c r="X114" s="9" t="e">
        <f aca="false" ca="false" dt2D="false" dtr="false" t="normal">+#REF!-'[9]Приложение №1'!$P1094</f>
        <v>#REF!</v>
      </c>
      <c r="Z114" s="113" t="n">
        <f aca="false" ca="false" dt2D="false" dtr="false" t="normal">SUM(AA114:AO114)</f>
        <v>114548451.67000006</v>
      </c>
      <c r="AA114" s="106" t="n">
        <v>10489330.2580412</v>
      </c>
      <c r="AB114" s="106" t="n">
        <v>6066266.44628592</v>
      </c>
      <c r="AC114" s="106" t="n">
        <v>6412492.79222706</v>
      </c>
      <c r="AD114" s="106" t="n">
        <v>4889580.2685996</v>
      </c>
      <c r="AE114" s="106" t="n">
        <v>1953287.22516102</v>
      </c>
      <c r="AF114" s="106" t="n"/>
      <c r="AG114" s="106" t="n">
        <v>521212.057926</v>
      </c>
      <c r="AH114" s="106" t="n">
        <v>0</v>
      </c>
      <c r="AI114" s="106" t="n">
        <v>18672604.894377</v>
      </c>
      <c r="AJ114" s="106" t="n">
        <v>0</v>
      </c>
      <c r="AK114" s="106" t="n">
        <v>36252968.3264713</v>
      </c>
      <c r="AL114" s="106" t="n">
        <v>14257827.475101</v>
      </c>
      <c r="AM114" s="106" t="n">
        <v>11711193.4519</v>
      </c>
      <c r="AN114" s="114" t="n">
        <v>1145484.5167</v>
      </c>
      <c r="AO114" s="115" t="n">
        <v>2176203.95720996</v>
      </c>
      <c r="AP114" s="112" t="n">
        <f aca="false" ca="false" dt2D="false" dtr="false" t="normal">+N114-'Приложение №2'!E114</f>
        <v>0</v>
      </c>
      <c r="AQ114" s="1" t="n">
        <v>3044323.81</v>
      </c>
      <c r="AR114" s="3" t="n">
        <f aca="false" ca="false" dt2D="false" dtr="false" t="normal">+(K114*10+L114*20)*12*0.85</f>
        <v>645170.4</v>
      </c>
      <c r="AS114" s="3" t="n">
        <f aca="false" ca="false" dt2D="false" dtr="false" t="normal">+(K114*10+L114*20)*12*30</f>
        <v>22770720</v>
      </c>
      <c r="AT114" s="9" t="n">
        <f aca="false" ca="false" dt2D="false" dtr="false" t="normal">+S114-AS114</f>
        <v>-6727135.9594</v>
      </c>
      <c r="AW114" s="113" t="n">
        <f aca="false" ca="true" dt2D="false" dtr="false" t="normal">SUBTOTAL(9, AX114:BL114)</f>
        <v>18469307.326755162</v>
      </c>
      <c r="AY114" s="106" t="n"/>
      <c r="BB114" s="106" t="n"/>
      <c r="BC114" s="106" t="n"/>
      <c r="BD114" s="106" t="n"/>
      <c r="BE114" s="106" t="n">
        <v>0</v>
      </c>
      <c r="BF114" s="106" t="n">
        <v>12780973.57</v>
      </c>
      <c r="BG114" s="106" t="n">
        <v>0</v>
      </c>
      <c r="BH114" s="106" t="n"/>
      <c r="BI114" s="106" t="n"/>
      <c r="BJ114" s="106" t="n">
        <v>4341944.4309</v>
      </c>
      <c r="BK114" s="114" t="n">
        <v>461523.4197</v>
      </c>
      <c r="BL114" s="115" t="n">
        <v>884865.90615516</v>
      </c>
      <c r="BM114" s="14" t="n">
        <f aca="false" ca="true" dt2D="false" dtr="false" t="normal">SUBTOTAL(9, BN114:CB114)</f>
        <v>18469307.326755162</v>
      </c>
      <c r="BO114" s="106" t="n"/>
      <c r="BP114" s="134" t="n"/>
      <c r="BR114" s="106" t="n"/>
      <c r="BS114" s="106" t="n"/>
      <c r="BT114" s="106" t="n"/>
      <c r="BU114" s="106" t="n">
        <v>0</v>
      </c>
      <c r="BV114" s="106" t="n">
        <v>12780973.57</v>
      </c>
      <c r="BW114" s="106" t="n">
        <v>0</v>
      </c>
      <c r="BX114" s="106" t="n"/>
      <c r="BY114" s="106" t="n"/>
      <c r="BZ114" s="106" t="n">
        <v>4341944.4309</v>
      </c>
      <c r="CA114" s="114" t="n">
        <v>461523.4197</v>
      </c>
      <c r="CB114" s="115" t="n">
        <v>884865.90615516</v>
      </c>
      <c r="CD114" s="116" t="n">
        <f aca="false" ca="false" dt2D="false" dtr="false" t="normal">+CD113+1</f>
        <v>97</v>
      </c>
      <c r="CE114" s="117" t="n">
        <f aca="false" ca="false" dt2D="false" dtr="false" t="normal">+CE113+1</f>
        <v>97</v>
      </c>
      <c r="CF114" s="104" t="s">
        <v>111</v>
      </c>
      <c r="CG114" s="104" t="s">
        <v>176</v>
      </c>
      <c r="CH114" s="118" t="n">
        <f aca="false" ca="true" dt2D="false" dtr="false" t="normal">SUBTOTAL(9, CI114:CW114)</f>
        <v>18469307.326755162</v>
      </c>
      <c r="CJ114" s="106" t="n"/>
      <c r="CK114" s="134" t="n"/>
      <c r="CM114" s="106" t="n"/>
      <c r="CN114" s="106" t="n"/>
      <c r="CO114" s="106" t="n"/>
      <c r="CP114" s="106" t="n">
        <v>0</v>
      </c>
      <c r="CQ114" s="106" t="n">
        <v>12780973.57</v>
      </c>
      <c r="CR114" s="106" t="n">
        <v>0</v>
      </c>
      <c r="CS114" s="106" t="n"/>
      <c r="CT114" s="106" t="n"/>
      <c r="CU114" s="106" t="n">
        <v>4341944.4309</v>
      </c>
      <c r="CV114" s="114" t="n">
        <v>461523.4197</v>
      </c>
      <c r="CW114" s="115" t="n">
        <v>884865.90615516</v>
      </c>
      <c r="CZ114" s="104" t="s">
        <v>176</v>
      </c>
      <c r="DA114" s="119" t="n">
        <f aca="false" ca="true" dt2D="false" dtr="false" t="normal">SUBTOTAL(9, DB114:DP114)</f>
        <v>17704648.110600002</v>
      </c>
      <c r="DC114" s="106" t="n"/>
      <c r="DD114" s="134" t="n"/>
      <c r="DF114" s="106" t="n"/>
      <c r="DG114" s="106" t="n"/>
      <c r="DH114" s="106" t="n"/>
      <c r="DI114" s="106" t="n">
        <v>0</v>
      </c>
      <c r="DJ114" s="106" t="n">
        <v>12780973.57</v>
      </c>
      <c r="DK114" s="106" t="n">
        <v>0</v>
      </c>
      <c r="DL114" s="106" t="n"/>
      <c r="DM114" s="106" t="n"/>
      <c r="DN114" s="106" t="n">
        <v>4341944.4309</v>
      </c>
      <c r="DO114" s="114" t="n">
        <v>461523.4197</v>
      </c>
      <c r="DP114" s="120" t="n">
        <v>120206.69</v>
      </c>
      <c r="DQ114" s="3" t="n">
        <f aca="false" ca="false" dt2D="false" dtr="false" t="normal">N114-DA114</f>
        <v>0</v>
      </c>
      <c r="DS114" s="9" t="n"/>
    </row>
    <row hidden="false" ht="15" outlineLevel="0" r="115">
      <c r="A115" s="103" t="n">
        <f aca="false" ca="false" dt2D="false" dtr="false" t="normal">+A114+1</f>
        <v>98</v>
      </c>
      <c r="B115" s="104" t="n">
        <f aca="false" ca="false" dt2D="false" dtr="false" t="normal">+B114+1</f>
        <v>98</v>
      </c>
      <c r="C115" s="104" t="s">
        <v>111</v>
      </c>
      <c r="D115" s="104" t="s">
        <v>177</v>
      </c>
      <c r="E115" s="105" t="n">
        <v>1991</v>
      </c>
      <c r="F115" s="105" t="n">
        <v>2013</v>
      </c>
      <c r="G115" s="105" t="s">
        <v>68</v>
      </c>
      <c r="H115" s="105" t="n">
        <v>5</v>
      </c>
      <c r="I115" s="105" t="n">
        <v>6</v>
      </c>
      <c r="J115" s="106" t="n">
        <v>7178.4</v>
      </c>
      <c r="K115" s="106" t="n">
        <v>6274.92</v>
      </c>
      <c r="L115" s="106" t="n">
        <v>0</v>
      </c>
      <c r="M115" s="107" t="n">
        <v>326</v>
      </c>
      <c r="N115" s="108" t="n">
        <f aca="false" ca="false" dt2D="false" dtr="false" t="normal">SUM(P115:T115)</f>
        <v>23158024.849999998</v>
      </c>
      <c r="O115" s="106" t="n"/>
      <c r="P115" s="114" t="n"/>
      <c r="Q115" s="114" t="n"/>
      <c r="R115" s="114" t="n">
        <v>3540174.47</v>
      </c>
      <c r="S115" s="114" t="n">
        <v>19617850.38</v>
      </c>
      <c r="T115" s="106" t="n"/>
      <c r="U115" s="114" t="n">
        <v>3868.56816843862</v>
      </c>
      <c r="V115" s="114" t="n">
        <v>3868.56816843862</v>
      </c>
      <c r="W115" s="110" t="n">
        <v>2022</v>
      </c>
      <c r="X115" s="9" t="e">
        <f aca="false" ca="false" dt2D="false" dtr="false" t="normal">+#REF!-'[9]Приложение №1'!$P1095</f>
        <v>#REF!</v>
      </c>
      <c r="Z115" s="113" t="n">
        <f aca="false" ca="false" dt2D="false" dtr="false" t="normal">SUM(AA115:AO115)</f>
        <v>114739882.33999993</v>
      </c>
      <c r="AA115" s="106" t="n">
        <v>10506859.7814671</v>
      </c>
      <c r="AB115" s="106" t="n">
        <v>6076404.24633144</v>
      </c>
      <c r="AC115" s="106" t="n">
        <v>6423209.20185294</v>
      </c>
      <c r="AD115" s="106" t="n">
        <v>4897751.6187222</v>
      </c>
      <c r="AE115" s="106" t="n">
        <v>1956551.51563956</v>
      </c>
      <c r="AF115" s="106" t="n"/>
      <c r="AG115" s="106" t="n">
        <v>522083.095107</v>
      </c>
      <c r="AH115" s="106" t="n">
        <v>0</v>
      </c>
      <c r="AI115" s="106" t="n">
        <v>18703810.1114802</v>
      </c>
      <c r="AJ115" s="106" t="n">
        <v>0</v>
      </c>
      <c r="AK115" s="106" t="n">
        <v>36313553.4282998</v>
      </c>
      <c r="AL115" s="106" t="n">
        <v>14281654.8168945</v>
      </c>
      <c r="AM115" s="106" t="n">
        <v>11730764.9229</v>
      </c>
      <c r="AN115" s="114" t="n">
        <v>1147398.8234</v>
      </c>
      <c r="AO115" s="115" t="n">
        <v>2179840.77790518</v>
      </c>
      <c r="AP115" s="112" t="n">
        <f aca="false" ca="false" dt2D="false" dtr="false" t="normal">+N115-'Приложение №2'!E115</f>
        <v>0</v>
      </c>
      <c r="AQ115" s="1" t="n">
        <v>2900132.63</v>
      </c>
      <c r="AR115" s="3" t="n">
        <f aca="false" ca="false" dt2D="false" dtr="false" t="normal">+(K115*10+L115*20)*12*0.85</f>
        <v>640041.8399999999</v>
      </c>
      <c r="AS115" s="3" t="n">
        <f aca="false" ca="false" dt2D="false" dtr="false" t="normal">+(K115*10+L115*20)*12*30</f>
        <v>22589711.999999996</v>
      </c>
      <c r="AT115" s="9" t="n">
        <f aca="false" ca="false" dt2D="false" dtr="false" t="normal">+S115-AS115</f>
        <v>-2971861.6199999973</v>
      </c>
      <c r="AW115" s="113" t="n">
        <f aca="false" ca="true" dt2D="false" dtr="false" t="normal">SUBTOTAL(9, AX115:BL115)</f>
        <v>24274955.77149886</v>
      </c>
      <c r="AX115" s="106" t="n"/>
      <c r="AY115" s="106" t="n"/>
      <c r="AZ115" s="106" t="n"/>
      <c r="BA115" s="106" t="n"/>
      <c r="BB115" s="106" t="n"/>
      <c r="BC115" s="106" t="n"/>
      <c r="BD115" s="106" t="n"/>
      <c r="BE115" s="106" t="n"/>
      <c r="BF115" s="106" t="n"/>
      <c r="BG115" s="106" t="n">
        <v>0</v>
      </c>
      <c r="BH115" s="106" t="n">
        <v>22920438.08</v>
      </c>
      <c r="BI115" s="106" t="n"/>
      <c r="BJ115" s="106" t="n">
        <v>237586.77</v>
      </c>
      <c r="BK115" s="114" t="n"/>
      <c r="BL115" s="115" t="n">
        <v>1116930.92149886</v>
      </c>
      <c r="BM115" s="14" t="n">
        <f aca="false" ca="true" dt2D="false" dtr="false" t="normal">SUBTOTAL(9, BN115:CB115)</f>
        <v>24274955.77149886</v>
      </c>
      <c r="BN115" s="106" t="n"/>
      <c r="BO115" s="106" t="n"/>
      <c r="BP115" s="133" t="n"/>
      <c r="BQ115" s="106" t="n"/>
      <c r="BR115" s="106" t="n"/>
      <c r="BS115" s="106" t="n"/>
      <c r="BT115" s="106" t="n"/>
      <c r="BU115" s="106" t="n"/>
      <c r="BV115" s="106" t="n"/>
      <c r="BW115" s="106" t="n">
        <v>0</v>
      </c>
      <c r="BX115" s="106" t="n">
        <v>22920438.08</v>
      </c>
      <c r="BY115" s="106" t="n"/>
      <c r="BZ115" s="106" t="n">
        <v>237586.77</v>
      </c>
      <c r="CA115" s="114" t="n"/>
      <c r="CB115" s="115" t="n">
        <v>1116930.92149886</v>
      </c>
      <c r="CD115" s="116" t="n">
        <f aca="false" ca="false" dt2D="false" dtr="false" t="normal">+CD114+1</f>
        <v>98</v>
      </c>
      <c r="CE115" s="117" t="n">
        <f aca="false" ca="false" dt2D="false" dtr="false" t="normal">+CE114+1</f>
        <v>98</v>
      </c>
      <c r="CF115" s="104" t="s">
        <v>111</v>
      </c>
      <c r="CG115" s="104" t="s">
        <v>177</v>
      </c>
      <c r="CH115" s="118" t="n">
        <f aca="false" ca="true" dt2D="false" dtr="false" t="normal">SUBTOTAL(9, CI115:CW115)</f>
        <v>24274955.77149886</v>
      </c>
      <c r="CI115" s="106" t="n"/>
      <c r="CJ115" s="106" t="n"/>
      <c r="CK115" s="133" t="n"/>
      <c r="CL115" s="106" t="n"/>
      <c r="CM115" s="106" t="n"/>
      <c r="CN115" s="106" t="n"/>
      <c r="CO115" s="106" t="n"/>
      <c r="CP115" s="106" t="n"/>
      <c r="CQ115" s="106" t="n"/>
      <c r="CR115" s="106" t="n">
        <v>0</v>
      </c>
      <c r="CS115" s="106" t="n">
        <v>22920438.08</v>
      </c>
      <c r="CT115" s="106" t="n"/>
      <c r="CU115" s="106" t="n">
        <v>237586.77</v>
      </c>
      <c r="CV115" s="114" t="n"/>
      <c r="CW115" s="115" t="n">
        <v>1116930.92149886</v>
      </c>
      <c r="CZ115" s="104" t="s">
        <v>177</v>
      </c>
      <c r="DA115" s="119" t="n">
        <f aca="false" ca="true" dt2D="false" dtr="false" t="normal">SUBTOTAL(9, DB115:DP115)</f>
        <v>23158024.849999998</v>
      </c>
      <c r="DB115" s="106" t="n"/>
      <c r="DC115" s="106" t="n"/>
      <c r="DD115" s="133" t="n"/>
      <c r="DE115" s="106" t="n"/>
      <c r="DF115" s="106" t="n"/>
      <c r="DG115" s="106" t="n"/>
      <c r="DH115" s="106" t="n"/>
      <c r="DI115" s="106" t="n"/>
      <c r="DJ115" s="106" t="n"/>
      <c r="DK115" s="106" t="n">
        <v>0</v>
      </c>
      <c r="DL115" s="106" t="n">
        <v>22920438.08</v>
      </c>
      <c r="DM115" s="106" t="n"/>
      <c r="DN115" s="106" t="n">
        <v>237586.77</v>
      </c>
      <c r="DO115" s="114" t="n"/>
      <c r="DP115" s="122" t="n"/>
      <c r="DQ115" s="3" t="n">
        <f aca="false" ca="false" dt2D="false" dtr="false" t="normal">N115-DA115</f>
        <v>0</v>
      </c>
      <c r="DS115" s="9" t="n"/>
    </row>
    <row hidden="false" ht="15" outlineLevel="0" r="116">
      <c r="A116" s="103" t="n">
        <f aca="false" ca="false" dt2D="false" dtr="false" t="normal">+A115+1</f>
        <v>99</v>
      </c>
      <c r="B116" s="104" t="n">
        <f aca="false" ca="false" dt2D="false" dtr="false" t="normal">+B115+1</f>
        <v>99</v>
      </c>
      <c r="C116" s="104" t="s">
        <v>111</v>
      </c>
      <c r="D116" s="104" t="s">
        <v>178</v>
      </c>
      <c r="E116" s="105" t="n">
        <v>1988</v>
      </c>
      <c r="F116" s="105" t="n">
        <v>2013</v>
      </c>
      <c r="G116" s="105" t="s">
        <v>68</v>
      </c>
      <c r="H116" s="105" t="n">
        <v>5</v>
      </c>
      <c r="I116" s="105" t="n">
        <v>6</v>
      </c>
      <c r="J116" s="106" t="n">
        <v>7060</v>
      </c>
      <c r="K116" s="106" t="n">
        <v>6080.7</v>
      </c>
      <c r="L116" s="106" t="n">
        <v>143.1</v>
      </c>
      <c r="M116" s="107" t="n">
        <v>261</v>
      </c>
      <c r="N116" s="108" t="n">
        <f aca="false" ca="false" dt2D="false" dtr="false" t="normal">SUM(P116:T116)</f>
        <v>23277496.14</v>
      </c>
      <c r="O116" s="106" t="n"/>
      <c r="P116" s="114" t="n"/>
      <c r="Q116" s="114" t="n"/>
      <c r="R116" s="114" t="n">
        <v>3405808.57</v>
      </c>
      <c r="S116" s="114" t="n">
        <v>19871687.57</v>
      </c>
      <c r="T116" s="106" t="n"/>
      <c r="U116" s="114" t="n">
        <v>3917.95082274471</v>
      </c>
      <c r="V116" s="114" t="n">
        <v>3917.95082274471</v>
      </c>
      <c r="W116" s="110" t="n">
        <v>2022</v>
      </c>
      <c r="X116" s="9" t="e">
        <f aca="false" ca="false" dt2D="false" dtr="false" t="normal">+#REF!-'[9]Приложение №1'!$P1096</f>
        <v>#REF!</v>
      </c>
      <c r="Z116" s="113" t="n">
        <f aca="false" ca="false" dt2D="false" dtr="false" t="normal">SUM(AA116:AO116)</f>
        <v>113728034.62000006</v>
      </c>
      <c r="AA116" s="106" t="n">
        <v>10414203.7481555</v>
      </c>
      <c r="AB116" s="106" t="n">
        <v>6022818.73180512</v>
      </c>
      <c r="AC116" s="106" t="n">
        <v>6366565.34106516</v>
      </c>
      <c r="AD116" s="106" t="n">
        <v>4854560.1966456</v>
      </c>
      <c r="AE116" s="106" t="n">
        <v>1939297.42329372</v>
      </c>
      <c r="AF116" s="106" t="n"/>
      <c r="AG116" s="106" t="n">
        <v>517479.041436</v>
      </c>
      <c r="AH116" s="106" t="n">
        <v>0</v>
      </c>
      <c r="AI116" s="106" t="n">
        <v>18538868.268522</v>
      </c>
      <c r="AJ116" s="106" t="n">
        <v>0</v>
      </c>
      <c r="AK116" s="106" t="n">
        <v>35993317.9087264</v>
      </c>
      <c r="AL116" s="106" t="n">
        <v>14155710.295986</v>
      </c>
      <c r="AM116" s="106" t="n">
        <v>11627315.7334</v>
      </c>
      <c r="AN116" s="114" t="n">
        <v>1137280.3462</v>
      </c>
      <c r="AO116" s="115" t="n">
        <v>2160617.58476456</v>
      </c>
      <c r="AP116" s="112" t="n">
        <f aca="false" ca="false" dt2D="false" dtr="false" t="normal">+N116-'Приложение №2'!E116</f>
        <v>0</v>
      </c>
      <c r="AQ116" s="1" t="n">
        <v>2756384.77</v>
      </c>
      <c r="AR116" s="3" t="n">
        <f aca="false" ca="false" dt2D="false" dtr="false" t="normal">+(K116*10+L116*20)*12*0.85</f>
        <v>649423.7999999999</v>
      </c>
      <c r="AS116" s="3" t="n">
        <f aca="false" ca="false" dt2D="false" dtr="false" t="normal">+(K116*10+L116*20)*12*30</f>
        <v>22920840</v>
      </c>
      <c r="AT116" s="9" t="n">
        <f aca="false" ca="false" dt2D="false" dtr="false" t="normal">+S116-AS116</f>
        <v>-3049152.4299999997</v>
      </c>
      <c r="AW116" s="113" t="n">
        <f aca="false" ca="true" dt2D="false" dtr="false" t="normal">SUBTOTAL(9, AX116:BL116)</f>
        <v>24384542.330598522</v>
      </c>
      <c r="AX116" s="106" t="n"/>
      <c r="AY116" s="106" t="n"/>
      <c r="AZ116" s="106" t="n"/>
      <c r="BA116" s="106" t="n"/>
      <c r="BB116" s="106" t="n"/>
      <c r="BC116" s="106" t="n"/>
      <c r="BD116" s="106" t="n"/>
      <c r="BE116" s="106" t="n"/>
      <c r="BF116" s="106" t="n"/>
      <c r="BG116" s="106" t="n">
        <v>0</v>
      </c>
      <c r="BH116" s="106" t="n">
        <v>23040371.91</v>
      </c>
      <c r="BI116" s="106" t="n"/>
      <c r="BJ116" s="106" t="n">
        <v>237124.23</v>
      </c>
      <c r="BK116" s="114" t="n"/>
      <c r="BL116" s="115" t="n">
        <v>1107046.19059852</v>
      </c>
      <c r="BM116" s="14" t="n">
        <f aca="false" ca="true" dt2D="false" dtr="false" t="normal">SUBTOTAL(9, BN116:CB116)</f>
        <v>24384542.330598522</v>
      </c>
      <c r="BN116" s="106" t="n"/>
      <c r="BO116" s="106" t="n"/>
      <c r="BP116" s="133" t="n"/>
      <c r="BQ116" s="106" t="n"/>
      <c r="BR116" s="106" t="n"/>
      <c r="BS116" s="106" t="n"/>
      <c r="BT116" s="106" t="n"/>
      <c r="BU116" s="106" t="n"/>
      <c r="BV116" s="106" t="n"/>
      <c r="BW116" s="106" t="n">
        <v>0</v>
      </c>
      <c r="BX116" s="106" t="n">
        <v>23040371.91</v>
      </c>
      <c r="BY116" s="106" t="n"/>
      <c r="BZ116" s="106" t="n">
        <v>237124.23</v>
      </c>
      <c r="CA116" s="114" t="n"/>
      <c r="CB116" s="115" t="n">
        <v>1107046.19059852</v>
      </c>
      <c r="CD116" s="116" t="n">
        <f aca="false" ca="false" dt2D="false" dtr="false" t="normal">+CD115+1</f>
        <v>99</v>
      </c>
      <c r="CE116" s="117" t="n">
        <f aca="false" ca="false" dt2D="false" dtr="false" t="normal">+CE115+1</f>
        <v>99</v>
      </c>
      <c r="CF116" s="104" t="s">
        <v>111</v>
      </c>
      <c r="CG116" s="104" t="s">
        <v>178</v>
      </c>
      <c r="CH116" s="118" t="n">
        <f aca="false" ca="true" dt2D="false" dtr="false" t="normal">SUBTOTAL(9, CI116:CW116)</f>
        <v>24384542.330598522</v>
      </c>
      <c r="CI116" s="106" t="n"/>
      <c r="CJ116" s="106" t="n"/>
      <c r="CK116" s="133" t="n"/>
      <c r="CL116" s="106" t="n"/>
      <c r="CM116" s="106" t="n"/>
      <c r="CN116" s="106" t="n"/>
      <c r="CO116" s="106" t="n"/>
      <c r="CP116" s="106" t="n"/>
      <c r="CQ116" s="106" t="n"/>
      <c r="CR116" s="106" t="n">
        <v>0</v>
      </c>
      <c r="CS116" s="106" t="n">
        <v>23040371.91</v>
      </c>
      <c r="CT116" s="106" t="n"/>
      <c r="CU116" s="106" t="n">
        <v>237124.23</v>
      </c>
      <c r="CV116" s="114" t="n"/>
      <c r="CW116" s="115" t="n">
        <v>1107046.19059852</v>
      </c>
      <c r="CZ116" s="104" t="s">
        <v>178</v>
      </c>
      <c r="DA116" s="119" t="n">
        <f aca="false" ca="true" dt2D="false" dtr="false" t="normal">SUBTOTAL(9, DB116:DP116)</f>
        <v>23277496.14</v>
      </c>
      <c r="DB116" s="106" t="n"/>
      <c r="DC116" s="106" t="n"/>
      <c r="DD116" s="133" t="n"/>
      <c r="DE116" s="106" t="n"/>
      <c r="DF116" s="106" t="n"/>
      <c r="DG116" s="106" t="n"/>
      <c r="DH116" s="106" t="n"/>
      <c r="DI116" s="106" t="n"/>
      <c r="DJ116" s="106" t="n"/>
      <c r="DK116" s="106" t="n">
        <v>0</v>
      </c>
      <c r="DL116" s="106" t="n">
        <v>23040371.91</v>
      </c>
      <c r="DM116" s="106" t="n"/>
      <c r="DN116" s="106" t="n">
        <v>237124.23</v>
      </c>
      <c r="DO116" s="114" t="n"/>
      <c r="DP116" s="122" t="n"/>
      <c r="DQ116" s="3" t="n">
        <f aca="false" ca="false" dt2D="false" dtr="false" t="normal">N116-DA116</f>
        <v>0</v>
      </c>
      <c r="DS116" s="9" t="n"/>
    </row>
    <row hidden="false" ht="15" outlineLevel="0" r="117">
      <c r="A117" s="103" t="n">
        <f aca="false" ca="false" dt2D="false" dtr="false" t="normal">+A116+1</f>
        <v>100</v>
      </c>
      <c r="B117" s="104" t="n">
        <f aca="false" ca="false" dt2D="false" dtr="false" t="normal">+B116+1</f>
        <v>100</v>
      </c>
      <c r="C117" s="104" t="s">
        <v>111</v>
      </c>
      <c r="D117" s="104" t="s">
        <v>179</v>
      </c>
      <c r="E117" s="105" t="n">
        <v>1975</v>
      </c>
      <c r="F117" s="105" t="n">
        <v>2013</v>
      </c>
      <c r="G117" s="105" t="s">
        <v>68</v>
      </c>
      <c r="H117" s="105" t="n">
        <v>4</v>
      </c>
      <c r="I117" s="105" t="n">
        <v>4</v>
      </c>
      <c r="J117" s="106" t="n">
        <v>2912.6</v>
      </c>
      <c r="K117" s="106" t="n">
        <v>2004.3</v>
      </c>
      <c r="L117" s="106" t="n">
        <v>902.2</v>
      </c>
      <c r="M117" s="107" t="n">
        <v>104</v>
      </c>
      <c r="N117" s="108" t="n">
        <f aca="false" ca="false" dt2D="false" dtr="false" t="normal">SUM(P117:T117)</f>
        <v>671631.14</v>
      </c>
      <c r="O117" s="106" t="n"/>
      <c r="P117" s="114" t="n"/>
      <c r="Q117" s="114" t="n"/>
      <c r="R117" s="114" t="n">
        <v>671631.14</v>
      </c>
      <c r="S117" s="114" t="n"/>
      <c r="T117" s="106" t="n"/>
      <c r="U117" s="114" t="n">
        <v>396.280464006109</v>
      </c>
      <c r="V117" s="114" t="n">
        <v>396.280464006109</v>
      </c>
      <c r="W117" s="110" t="n">
        <v>2022</v>
      </c>
      <c r="X117" s="9" t="e">
        <f aca="false" ca="false" dt2D="false" dtr="false" t="normal">+#REF!-'[9]Приложение №1'!$P691</f>
        <v>#REF!</v>
      </c>
      <c r="Z117" s="113" t="n">
        <f aca="false" ca="false" dt2D="false" dtr="false" t="normal">SUM(AA117:AO117)</f>
        <v>33480583.039704</v>
      </c>
      <c r="AA117" s="106" t="n">
        <v>4910426.6191344</v>
      </c>
      <c r="AB117" s="106" t="n">
        <v>1749786.87633204</v>
      </c>
      <c r="AC117" s="106" t="n">
        <v>1828137.95042928</v>
      </c>
      <c r="AD117" s="106" t="n">
        <v>1144529.94457704</v>
      </c>
      <c r="AE117" s="106" t="n">
        <v>818458.35</v>
      </c>
      <c r="AF117" s="106" t="n"/>
      <c r="AG117" s="106" t="n">
        <v>188426.5127934</v>
      </c>
      <c r="AH117" s="106" t="n">
        <v>0</v>
      </c>
      <c r="AI117" s="106" t="n">
        <v>8977006.9994346</v>
      </c>
      <c r="AJ117" s="106" t="n">
        <v>0</v>
      </c>
      <c r="AK117" s="106" t="n">
        <v>4660903.59852558</v>
      </c>
      <c r="AL117" s="106" t="n">
        <v>5027330.10252228</v>
      </c>
      <c r="AM117" s="106" t="n">
        <v>3221989.0268</v>
      </c>
      <c r="AN117" s="114" t="n">
        <v>327170.5365</v>
      </c>
      <c r="AO117" s="115" t="n">
        <v>626416.52265538</v>
      </c>
      <c r="AP117" s="112" t="n">
        <f aca="false" ca="false" dt2D="false" dtr="false" t="normal">+N117-'Приложение №2'!E117</f>
        <v>0</v>
      </c>
      <c r="AQ117" s="1" t="n">
        <v>1936703.42</v>
      </c>
      <c r="AR117" s="3" t="n">
        <f aca="false" ca="false" dt2D="false" dtr="false" t="normal">+(K117*10+L117*20)*12*0.85</f>
        <v>388487.39999999997</v>
      </c>
      <c r="AS117" s="3" t="n">
        <f aca="false" ca="false" dt2D="false" dtr="false" t="normal">+(K117*10+L117*20)*12*30</f>
        <v>13711320</v>
      </c>
      <c r="AT117" s="9" t="n">
        <f aca="false" ca="false" dt2D="false" dtr="false" t="normal">+S117-AS117</f>
        <v>-13711320</v>
      </c>
      <c r="AW117" s="113" t="n">
        <f aca="false" ca="true" dt2D="false" dtr="false" t="normal">SUBTOTAL(9, AX117:BL117)</f>
        <v>1151789.168633756</v>
      </c>
      <c r="AX117" s="106" t="n"/>
      <c r="AY117" s="106" t="n"/>
      <c r="AZ117" s="106" t="n">
        <v>655531.02</v>
      </c>
      <c r="BA117" s="106" t="n"/>
      <c r="BB117" s="106" t="n"/>
      <c r="BC117" s="106" t="n"/>
      <c r="BD117" s="106" t="n"/>
      <c r="BE117" s="106" t="n"/>
      <c r="BF117" s="106" t="n"/>
      <c r="BG117" s="106" t="n"/>
      <c r="BH117" s="106" t="n"/>
      <c r="BJ117" s="106" t="n"/>
      <c r="BK117" s="114" t="n"/>
      <c r="BL117" s="115" t="n">
        <v>496258.148633756</v>
      </c>
      <c r="BM117" s="14" t="n">
        <f aca="false" ca="true" dt2D="false" dtr="false" t="normal">SUBTOTAL(9, BN117:CB117)</f>
        <v>1151789.168633756</v>
      </c>
      <c r="BN117" s="106" t="n"/>
      <c r="BO117" s="106" t="n"/>
      <c r="BP117" s="133" t="n">
        <v>655531.02</v>
      </c>
      <c r="BQ117" s="106" t="n"/>
      <c r="BR117" s="106" t="n"/>
      <c r="BS117" s="106" t="n"/>
      <c r="BT117" s="106" t="n"/>
      <c r="BU117" s="106" t="n"/>
      <c r="BV117" s="106" t="n"/>
      <c r="BW117" s="106" t="n"/>
      <c r="BX117" s="106" t="n"/>
      <c r="BZ117" s="106" t="n"/>
      <c r="CA117" s="114" t="n"/>
      <c r="CB117" s="115" t="n">
        <v>496258.148633756</v>
      </c>
      <c r="CD117" s="116" t="n">
        <f aca="false" ca="false" dt2D="false" dtr="false" t="normal">+CD116+1</f>
        <v>100</v>
      </c>
      <c r="CE117" s="117" t="n">
        <f aca="false" ca="false" dt2D="false" dtr="false" t="normal">+CE116+1</f>
        <v>100</v>
      </c>
      <c r="CF117" s="104" t="s">
        <v>111</v>
      </c>
      <c r="CG117" s="104" t="s">
        <v>179</v>
      </c>
      <c r="CH117" s="118" t="n">
        <f aca="false" ca="true" dt2D="false" dtr="false" t="normal">SUBTOTAL(9, CI117:CW117)</f>
        <v>1151789.168633756</v>
      </c>
      <c r="CI117" s="106" t="n"/>
      <c r="CJ117" s="106" t="n"/>
      <c r="CK117" s="133" t="n">
        <v>655531.02</v>
      </c>
      <c r="CL117" s="106" t="n"/>
      <c r="CM117" s="106" t="n"/>
      <c r="CN117" s="106" t="n"/>
      <c r="CO117" s="106" t="n"/>
      <c r="CP117" s="106" t="n"/>
      <c r="CQ117" s="106" t="n"/>
      <c r="CR117" s="106" t="n"/>
      <c r="CS117" s="106" t="n"/>
      <c r="CU117" s="106" t="n"/>
      <c r="CV117" s="114" t="n"/>
      <c r="CW117" s="115" t="n">
        <v>496258.148633756</v>
      </c>
      <c r="CZ117" s="104" t="s">
        <v>179</v>
      </c>
      <c r="DA117" s="119" t="n">
        <f aca="false" ca="true" dt2D="false" dtr="false" t="normal">SUBTOTAL(9, DB117:DP117)</f>
        <v>671631.14</v>
      </c>
      <c r="DB117" s="106" t="n"/>
      <c r="DC117" s="106" t="n"/>
      <c r="DD117" s="133" t="n">
        <v>655531.02</v>
      </c>
      <c r="DE117" s="106" t="n"/>
      <c r="DF117" s="106" t="n"/>
      <c r="DG117" s="106" t="n"/>
      <c r="DH117" s="106" t="n"/>
      <c r="DI117" s="106" t="n"/>
      <c r="DJ117" s="106" t="n"/>
      <c r="DK117" s="106" t="n"/>
      <c r="DL117" s="106" t="n"/>
      <c r="DN117" s="106" t="n"/>
      <c r="DO117" s="114" t="n"/>
      <c r="DP117" s="120" t="n">
        <v>16100.12</v>
      </c>
      <c r="DQ117" s="3" t="n">
        <f aca="false" ca="false" dt2D="false" dtr="false" t="normal">N117-DA117</f>
        <v>0</v>
      </c>
      <c r="DS117" s="9" t="n"/>
    </row>
    <row hidden="false" ht="15" outlineLevel="0" r="118">
      <c r="A118" s="103" t="n">
        <f aca="false" ca="false" dt2D="false" dtr="false" t="normal">+A117+1</f>
        <v>101</v>
      </c>
      <c r="B118" s="104" t="n">
        <f aca="false" ca="false" dt2D="false" dtr="false" t="normal">+B117+1</f>
        <v>101</v>
      </c>
      <c r="C118" s="104" t="s">
        <v>111</v>
      </c>
      <c r="D118" s="104" t="s">
        <v>180</v>
      </c>
      <c r="E118" s="105" t="n">
        <v>1993</v>
      </c>
      <c r="F118" s="105" t="n">
        <v>2013</v>
      </c>
      <c r="G118" s="105" t="s">
        <v>68</v>
      </c>
      <c r="H118" s="105" t="n">
        <v>5</v>
      </c>
      <c r="I118" s="105" t="n">
        <v>2</v>
      </c>
      <c r="J118" s="106" t="n">
        <v>2382.7</v>
      </c>
      <c r="K118" s="106" t="n">
        <v>2177.75</v>
      </c>
      <c r="L118" s="106" t="n">
        <v>0</v>
      </c>
      <c r="M118" s="107" t="n">
        <v>103</v>
      </c>
      <c r="N118" s="108" t="n">
        <f aca="false" ca="false" dt2D="false" dtr="false" t="normal">SUM(P118:T118)</f>
        <v>8384626.2694999995</v>
      </c>
      <c r="O118" s="106" t="n"/>
      <c r="P118" s="114" t="n">
        <v>376305.81</v>
      </c>
      <c r="Q118" s="114" t="n"/>
      <c r="R118" s="114" t="n">
        <v>751589.24</v>
      </c>
      <c r="S118" s="114" t="n">
        <v>7256731.2195</v>
      </c>
      <c r="T118" s="106" t="n"/>
      <c r="U118" s="114" t="n">
        <v>4052.69127386647</v>
      </c>
      <c r="V118" s="114" t="n">
        <v>4052.69127386647</v>
      </c>
      <c r="W118" s="110" t="n">
        <v>2022</v>
      </c>
      <c r="X118" s="9" t="e">
        <f aca="false" ca="false" dt2D="false" dtr="false" t="normal">+#REF!-'[9]Приложение №1'!$P1097</f>
        <v>#REF!</v>
      </c>
      <c r="Z118" s="113" t="n">
        <f aca="false" ca="false" dt2D="false" dtr="false" t="normal">SUM(AA118:AO118)</f>
        <v>22932892.86</v>
      </c>
      <c r="AA118" s="106" t="n">
        <v>5269271.91636846</v>
      </c>
      <c r="AB118" s="106" t="n">
        <v>1877658.20877474</v>
      </c>
      <c r="AC118" s="106" t="n">
        <v>1961735.03898246</v>
      </c>
      <c r="AD118" s="106" t="n">
        <v>1228170.17043756</v>
      </c>
      <c r="AE118" s="106" t="n"/>
      <c r="AF118" s="106" t="n"/>
      <c r="AG118" s="106" t="n">
        <v>202196.39026188</v>
      </c>
      <c r="AH118" s="106" t="n">
        <v>0</v>
      </c>
      <c r="AI118" s="106" t="n">
        <v>9633030.8035122</v>
      </c>
      <c r="AJ118" s="106" t="n">
        <v>0</v>
      </c>
      <c r="AK118" s="106" t="n">
        <v>0</v>
      </c>
      <c r="AL118" s="106" t="n">
        <v>0</v>
      </c>
      <c r="AM118" s="106" t="n">
        <v>2090379.2509</v>
      </c>
      <c r="AN118" s="114" t="n">
        <v>229328.9286</v>
      </c>
      <c r="AO118" s="115" t="n">
        <v>441122.1521627</v>
      </c>
      <c r="AP118" s="112" t="n">
        <f aca="false" ca="false" dt2D="false" dtr="false" t="normal">+N118-'Приложение №2'!E118</f>
        <v>0</v>
      </c>
      <c r="AQ118" s="1" t="n">
        <v>1043569.01</v>
      </c>
      <c r="AR118" s="3" t="n">
        <f aca="false" ca="false" dt2D="false" dtr="false" t="normal">+(K118*10+L118*20)*12*0.85</f>
        <v>222130.5</v>
      </c>
      <c r="AS118" s="3" t="n">
        <f aca="false" ca="false" dt2D="false" dtr="false" t="normal">+(K118*10+L118*20)*12*30</f>
        <v>7839900</v>
      </c>
      <c r="AT118" s="9" t="n">
        <f aca="false" ca="false" dt2D="false" dtr="false" t="normal">+S118-AS118</f>
        <v>-583168.7805000003</v>
      </c>
      <c r="AW118" s="113" t="n">
        <f aca="false" ca="true" dt2D="false" dtr="false" t="normal">SUBTOTAL(9, AX118:BL118)</f>
        <v>8825748.421662701</v>
      </c>
      <c r="AX118" s="106" t="n"/>
      <c r="AY118" s="106" t="n">
        <v>1337737.05</v>
      </c>
      <c r="AZ118" s="106" t="n">
        <v>613148.77</v>
      </c>
      <c r="BA118" s="106" t="n">
        <v>943239.55</v>
      </c>
      <c r="BB118" s="106" t="n"/>
      <c r="BC118" s="106" t="n"/>
      <c r="BD118" s="106" t="n"/>
      <c r="BE118" s="106" t="n">
        <v>0</v>
      </c>
      <c r="BF118" s="106" t="n">
        <v>3170792.72</v>
      </c>
      <c r="BG118" s="106" t="n">
        <v>0</v>
      </c>
      <c r="BH118" s="106" t="n">
        <v>0</v>
      </c>
      <c r="BI118" s="106" t="n">
        <v>0</v>
      </c>
      <c r="BJ118" s="106" t="n">
        <v>2090379.2509</v>
      </c>
      <c r="BK118" s="114" t="n">
        <v>229328.9286</v>
      </c>
      <c r="BL118" s="115" t="n">
        <v>441122.1521627</v>
      </c>
      <c r="BM118" s="14" t="n">
        <f aca="false" ca="true" dt2D="false" dtr="false" t="normal">SUBTOTAL(9, BN118:CB118)</f>
        <v>8825748.421662701</v>
      </c>
      <c r="BN118" s="106" t="n"/>
      <c r="BO118" s="106" t="n">
        <v>1337737.05</v>
      </c>
      <c r="BP118" s="133" t="n">
        <v>613148.77</v>
      </c>
      <c r="BQ118" s="106" t="n">
        <v>943239.55</v>
      </c>
      <c r="BR118" s="106" t="n"/>
      <c r="BS118" s="106" t="n"/>
      <c r="BT118" s="106" t="n"/>
      <c r="BU118" s="106" t="n">
        <v>0</v>
      </c>
      <c r="BV118" s="106" t="n">
        <v>3170792.72</v>
      </c>
      <c r="BW118" s="106" t="n">
        <v>0</v>
      </c>
      <c r="BX118" s="106" t="n">
        <v>0</v>
      </c>
      <c r="BY118" s="106" t="n">
        <v>0</v>
      </c>
      <c r="BZ118" s="106" t="n">
        <v>2090379.2509</v>
      </c>
      <c r="CA118" s="114" t="n">
        <v>229328.9286</v>
      </c>
      <c r="CB118" s="115" t="n">
        <v>441122.1521627</v>
      </c>
      <c r="CD118" s="116" t="n">
        <f aca="false" ca="false" dt2D="false" dtr="false" t="normal">+CD117+1</f>
        <v>101</v>
      </c>
      <c r="CE118" s="117" t="n">
        <f aca="false" ca="false" dt2D="false" dtr="false" t="normal">+CE117+1</f>
        <v>101</v>
      </c>
      <c r="CF118" s="104" t="s">
        <v>111</v>
      </c>
      <c r="CG118" s="104" t="s">
        <v>180</v>
      </c>
      <c r="CH118" s="118" t="n">
        <f aca="false" ca="true" dt2D="false" dtr="false" t="normal">SUBTOTAL(9, CI118:CW118)</f>
        <v>8825748.421662701</v>
      </c>
      <c r="CI118" s="106" t="n"/>
      <c r="CJ118" s="106" t="n">
        <v>1337737.05</v>
      </c>
      <c r="CK118" s="133" t="n">
        <v>613148.77</v>
      </c>
      <c r="CL118" s="106" t="n">
        <v>943239.55</v>
      </c>
      <c r="CM118" s="106" t="n"/>
      <c r="CN118" s="106" t="n"/>
      <c r="CO118" s="106" t="n"/>
      <c r="CP118" s="106" t="n">
        <v>0</v>
      </c>
      <c r="CQ118" s="106" t="n">
        <v>3170792.72</v>
      </c>
      <c r="CR118" s="106" t="n">
        <v>0</v>
      </c>
      <c r="CS118" s="106" t="n">
        <v>0</v>
      </c>
      <c r="CT118" s="106" t="n">
        <v>0</v>
      </c>
      <c r="CU118" s="106" t="n">
        <v>2090379.2509</v>
      </c>
      <c r="CV118" s="114" t="n">
        <v>229328.9286</v>
      </c>
      <c r="CW118" s="115" t="n">
        <v>441122.1521627</v>
      </c>
      <c r="CZ118" s="104" t="s">
        <v>180</v>
      </c>
      <c r="DA118" s="119" t="n">
        <f aca="false" ca="true" dt2D="false" dtr="false" t="normal">SUBTOTAL(9, DB118:DP118)</f>
        <v>8384626.2695</v>
      </c>
      <c r="DB118" s="106" t="n"/>
      <c r="DC118" s="106" t="n">
        <v>1337737.05</v>
      </c>
      <c r="DD118" s="133" t="n">
        <v>613148.77</v>
      </c>
      <c r="DE118" s="106" t="n">
        <v>943239.55</v>
      </c>
      <c r="DF118" s="106" t="n"/>
      <c r="DG118" s="106" t="n"/>
      <c r="DH118" s="106" t="n"/>
      <c r="DI118" s="106" t="n">
        <v>0</v>
      </c>
      <c r="DJ118" s="106" t="n">
        <v>3170792.72</v>
      </c>
      <c r="DK118" s="106" t="n">
        <v>0</v>
      </c>
      <c r="DL118" s="106" t="n">
        <v>0</v>
      </c>
      <c r="DM118" s="106" t="n">
        <v>0</v>
      </c>
      <c r="DN118" s="106" t="n">
        <v>2090379.2509</v>
      </c>
      <c r="DO118" s="114" t="n">
        <v>229328.9286</v>
      </c>
      <c r="DP118" s="122" t="n"/>
      <c r="DQ118" s="3" t="n">
        <f aca="false" ca="false" dt2D="false" dtr="false" t="normal">N118-DA118</f>
        <v>0</v>
      </c>
      <c r="DS118" s="9" t="n"/>
    </row>
    <row hidden="false" ht="15" outlineLevel="0" r="119">
      <c r="A119" s="103" t="n">
        <f aca="false" ca="false" dt2D="false" dtr="false" t="normal">+A118+1</f>
        <v>102</v>
      </c>
      <c r="B119" s="104" t="n">
        <f aca="false" ca="false" dt2D="false" dtr="false" t="normal">+B118+1</f>
        <v>102</v>
      </c>
      <c r="C119" s="104" t="s">
        <v>111</v>
      </c>
      <c r="D119" s="104" t="s">
        <v>181</v>
      </c>
      <c r="E119" s="105" t="n">
        <v>1966</v>
      </c>
      <c r="F119" s="105" t="n">
        <v>2013</v>
      </c>
      <c r="G119" s="105" t="s">
        <v>68</v>
      </c>
      <c r="H119" s="105" t="n">
        <v>4</v>
      </c>
      <c r="I119" s="105" t="n">
        <v>6</v>
      </c>
      <c r="J119" s="106" t="n">
        <v>2829.5</v>
      </c>
      <c r="K119" s="106" t="n">
        <v>2537.8</v>
      </c>
      <c r="L119" s="106" t="n">
        <v>230.6</v>
      </c>
      <c r="M119" s="107" t="n">
        <v>144</v>
      </c>
      <c r="N119" s="108" t="n">
        <f aca="false" ca="false" dt2D="false" dtr="false" t="normal">SUM(P119:T119)</f>
        <v>3582145.82</v>
      </c>
      <c r="O119" s="106" t="n"/>
      <c r="P119" s="114" t="n"/>
      <c r="Q119" s="114" t="n"/>
      <c r="R119" s="114" t="n">
        <v>1506343.88</v>
      </c>
      <c r="S119" s="114" t="n">
        <v>2075801.94</v>
      </c>
      <c r="T119" s="106" t="n">
        <v>0</v>
      </c>
      <c r="U119" s="114" t="n">
        <v>1293.94083947406</v>
      </c>
      <c r="V119" s="114" t="n">
        <v>1293.94083947406</v>
      </c>
      <c r="W119" s="110" t="n">
        <v>2022</v>
      </c>
      <c r="X119" s="9" t="e">
        <f aca="false" ca="false" dt2D="false" dtr="false" t="normal">+#REF!-'[9]Приложение №1'!$P1488</f>
        <v>#REF!</v>
      </c>
      <c r="Z119" s="113" t="n">
        <f aca="false" ca="false" dt2D="false" dtr="false" t="normal">SUM(AA119:AO119)</f>
        <v>15087934.029999997</v>
      </c>
      <c r="AA119" s="106" t="n">
        <v>6065034.64028826</v>
      </c>
      <c r="AB119" s="106" t="n">
        <v>2161221.1824525</v>
      </c>
      <c r="AC119" s="106" t="n">
        <v>2257995.25038738</v>
      </c>
      <c r="AD119" s="106" t="n">
        <v>1413647.79602172</v>
      </c>
      <c r="AE119" s="106" t="n">
        <v>864921.32273358</v>
      </c>
      <c r="AF119" s="106" t="n"/>
      <c r="AG119" s="106" t="n">
        <v>232731.98563608</v>
      </c>
      <c r="AH119" s="106" t="n">
        <v>0</v>
      </c>
      <c r="AI119" s="106" t="n">
        <v>0</v>
      </c>
      <c r="AJ119" s="106" t="n">
        <v>0</v>
      </c>
      <c r="AK119" s="106" t="n">
        <v>0</v>
      </c>
      <c r="AL119" s="106" t="n">
        <v>0</v>
      </c>
      <c r="AM119" s="106" t="n">
        <v>1657316.1065</v>
      </c>
      <c r="AN119" s="114" t="n">
        <v>150879.3403</v>
      </c>
      <c r="AO119" s="115" t="n">
        <v>284186.40568048</v>
      </c>
      <c r="AP119" s="112" t="n">
        <f aca="false" ca="false" dt2D="false" dtr="false" t="normal">+N119-'Приложение №2'!E119</f>
        <v>0</v>
      </c>
      <c r="AQ119" s="1" t="n">
        <v>1303433.04</v>
      </c>
      <c r="AR119" s="3" t="n">
        <f aca="false" ca="false" dt2D="false" dtr="false" t="normal">+(K119*10+L119*20)*12*0.85</f>
        <v>305898</v>
      </c>
      <c r="AS119" s="3" t="n">
        <f aca="false" ca="false" dt2D="false" dtr="false" t="normal">+(K119*10+L119*20)*12*30</f>
        <v>10796400</v>
      </c>
      <c r="AT119" s="9" t="n">
        <f aca="false" ca="false" dt2D="false" dtr="false" t="normal">+S119-AS119</f>
        <v>-8720598.06</v>
      </c>
      <c r="AW119" s="113" t="n">
        <f aca="false" ca="true" dt2D="false" dtr="false" t="normal">SUBTOTAL(9, AX119:BL119)</f>
        <v>3582145.82</v>
      </c>
      <c r="AX119" s="106" t="n">
        <v>2763321.73</v>
      </c>
      <c r="AY119" s="106" t="n"/>
      <c r="AZ119" s="106" t="n"/>
      <c r="BA119" s="106" t="n"/>
      <c r="BB119" s="106" t="n"/>
      <c r="BC119" s="106" t="n">
        <v>0</v>
      </c>
      <c r="BD119" s="106" t="n"/>
      <c r="BE119" s="106" t="n">
        <v>0</v>
      </c>
      <c r="BF119" s="106" t="n">
        <v>0</v>
      </c>
      <c r="BG119" s="106" t="n">
        <v>0</v>
      </c>
      <c r="BH119" s="106" t="n">
        <v>0</v>
      </c>
      <c r="BI119" s="106" t="n">
        <v>0</v>
      </c>
      <c r="BJ119" s="106" t="n">
        <v>788750.73</v>
      </c>
      <c r="BK119" s="114" t="n"/>
      <c r="BL119" s="115" t="n">
        <v>30073.36</v>
      </c>
      <c r="BM119" s="14" t="n">
        <f aca="false" ca="true" dt2D="false" dtr="false" t="normal">SUBTOTAL(9, BN119:CB119)</f>
        <v>3582145.82</v>
      </c>
      <c r="BN119" s="106" t="n">
        <v>2763321.73</v>
      </c>
      <c r="BO119" s="106" t="n"/>
      <c r="BP119" s="133" t="n"/>
      <c r="BQ119" s="106" t="n"/>
      <c r="BR119" s="106" t="n"/>
      <c r="BS119" s="106" t="n">
        <v>0</v>
      </c>
      <c r="BT119" s="106" t="n"/>
      <c r="BU119" s="106" t="n">
        <v>0</v>
      </c>
      <c r="BV119" s="106" t="n">
        <v>0</v>
      </c>
      <c r="BW119" s="106" t="n">
        <v>0</v>
      </c>
      <c r="BX119" s="106" t="n">
        <v>0</v>
      </c>
      <c r="BY119" s="106" t="n">
        <v>0</v>
      </c>
      <c r="BZ119" s="106" t="n">
        <v>788750.73</v>
      </c>
      <c r="CA119" s="114" t="n"/>
      <c r="CB119" s="115" t="n">
        <v>30073.36</v>
      </c>
      <c r="CD119" s="116" t="n">
        <f aca="false" ca="false" dt2D="false" dtr="false" t="normal">+CD118+1</f>
        <v>102</v>
      </c>
      <c r="CE119" s="117" t="n">
        <f aca="false" ca="false" dt2D="false" dtr="false" t="normal">+CE118+1</f>
        <v>102</v>
      </c>
      <c r="CF119" s="104" t="s">
        <v>111</v>
      </c>
      <c r="CG119" s="104" t="s">
        <v>181</v>
      </c>
      <c r="CH119" s="118" t="n">
        <f aca="false" ca="true" dt2D="false" dtr="false" t="normal">SUBTOTAL(9, CI119:CW119)</f>
        <v>3582145.82</v>
      </c>
      <c r="CI119" s="106" t="n">
        <v>2763321.73</v>
      </c>
      <c r="CJ119" s="106" t="n"/>
      <c r="CK119" s="133" t="n"/>
      <c r="CL119" s="106" t="n"/>
      <c r="CM119" s="106" t="n"/>
      <c r="CN119" s="106" t="n">
        <v>0</v>
      </c>
      <c r="CO119" s="106" t="n"/>
      <c r="CP119" s="106" t="n">
        <v>0</v>
      </c>
      <c r="CQ119" s="106" t="n">
        <v>0</v>
      </c>
      <c r="CR119" s="106" t="n">
        <v>0</v>
      </c>
      <c r="CS119" s="106" t="n">
        <v>0</v>
      </c>
      <c r="CT119" s="106" t="n">
        <v>0</v>
      </c>
      <c r="CU119" s="106" t="n">
        <v>788750.73</v>
      </c>
      <c r="CV119" s="114" t="n"/>
      <c r="CW119" s="115" t="n">
        <v>30073.36</v>
      </c>
      <c r="CZ119" s="104" t="s">
        <v>181</v>
      </c>
      <c r="DA119" s="119" t="n">
        <f aca="false" ca="true" dt2D="false" dtr="false" t="normal">SUBTOTAL(9, DB119:DP119)</f>
        <v>3582145.82</v>
      </c>
      <c r="DB119" s="106" t="n">
        <v>2763321.73</v>
      </c>
      <c r="DC119" s="106" t="n"/>
      <c r="DD119" s="133" t="n"/>
      <c r="DE119" s="106" t="n"/>
      <c r="DF119" s="106" t="n"/>
      <c r="DG119" s="106" t="n">
        <v>0</v>
      </c>
      <c r="DH119" s="106" t="n"/>
      <c r="DI119" s="106" t="n">
        <v>0</v>
      </c>
      <c r="DJ119" s="106" t="n">
        <v>0</v>
      </c>
      <c r="DK119" s="106" t="n">
        <v>0</v>
      </c>
      <c r="DL119" s="106" t="n">
        <v>0</v>
      </c>
      <c r="DM119" s="106" t="n">
        <v>0</v>
      </c>
      <c r="DN119" s="106" t="n">
        <v>788750.73</v>
      </c>
      <c r="DO119" s="114" t="n"/>
      <c r="DP119" s="120" t="n">
        <v>30073.36</v>
      </c>
      <c r="DQ119" s="3" t="n">
        <f aca="false" ca="false" dt2D="false" dtr="false" t="normal">N119-DA119</f>
        <v>0</v>
      </c>
      <c r="DS119" s="9" t="n"/>
    </row>
    <row hidden="false" ht="15" outlineLevel="0" r="120">
      <c r="A120" s="103" t="n">
        <f aca="false" ca="false" dt2D="false" dtr="false" t="normal">+A119+1</f>
        <v>103</v>
      </c>
      <c r="B120" s="104" t="n">
        <f aca="false" ca="false" dt2D="false" dtr="false" t="normal">+B119+1</f>
        <v>103</v>
      </c>
      <c r="C120" s="104" t="s">
        <v>111</v>
      </c>
      <c r="D120" s="104" t="s">
        <v>182</v>
      </c>
      <c r="E120" s="105" t="n">
        <v>1973</v>
      </c>
      <c r="F120" s="105" t="n">
        <v>2013</v>
      </c>
      <c r="G120" s="105" t="s">
        <v>68</v>
      </c>
      <c r="H120" s="105" t="n">
        <v>5</v>
      </c>
      <c r="I120" s="105" t="n">
        <v>4</v>
      </c>
      <c r="J120" s="106" t="n">
        <v>3187.3</v>
      </c>
      <c r="K120" s="106" t="n">
        <v>2508.4</v>
      </c>
      <c r="L120" s="106" t="n">
        <v>678.9</v>
      </c>
      <c r="M120" s="107" t="n">
        <v>119</v>
      </c>
      <c r="N120" s="108" t="n">
        <f aca="false" ca="false" dt2D="false" dtr="false" t="normal">SUM(P120:T120)</f>
        <v>1007223.29</v>
      </c>
      <c r="O120" s="106" t="n"/>
      <c r="P120" s="114" t="n"/>
      <c r="Q120" s="114" t="n"/>
      <c r="R120" s="114" t="n">
        <v>1007223.29</v>
      </c>
      <c r="S120" s="114" t="n"/>
      <c r="T120" s="106" t="n"/>
      <c r="U120" s="114" t="n">
        <v>317.841737520786</v>
      </c>
      <c r="V120" s="114" t="n">
        <v>317.841737520786</v>
      </c>
      <c r="W120" s="110" t="n">
        <v>2022</v>
      </c>
      <c r="X120" s="9" t="e">
        <f aca="false" ca="false" dt2D="false" dtr="false" t="normal">+#REF!-'[9]Приложение №1'!$P700</f>
        <v>#REF!</v>
      </c>
      <c r="Z120" s="113" t="n">
        <f aca="false" ca="false" dt2D="false" dtr="false" t="normal">SUM(AA120:AO120)</f>
        <v>1264729.77</v>
      </c>
      <c r="AA120" s="106" t="n">
        <v>0</v>
      </c>
      <c r="AB120" s="106" t="n">
        <v>0</v>
      </c>
      <c r="AC120" s="106" t="n">
        <v>0</v>
      </c>
      <c r="AD120" s="106" t="n">
        <v>0</v>
      </c>
      <c r="AE120" s="106" t="n">
        <v>1007223.29</v>
      </c>
      <c r="AF120" s="106" t="n"/>
      <c r="AG120" s="106" t="n">
        <v>0</v>
      </c>
      <c r="AH120" s="106" t="n">
        <v>0</v>
      </c>
      <c r="AI120" s="106" t="n">
        <v>0</v>
      </c>
      <c r="AJ120" s="106" t="n">
        <v>0</v>
      </c>
      <c r="AK120" s="106" t="n">
        <v>0</v>
      </c>
      <c r="AL120" s="106" t="n">
        <v>0</v>
      </c>
      <c r="AM120" s="106" t="n">
        <v>241672.8</v>
      </c>
      <c r="AN120" s="114" t="n">
        <v>10000</v>
      </c>
      <c r="AO120" s="115" t="n">
        <v>5833.68</v>
      </c>
      <c r="AP120" s="112" t="n">
        <f aca="false" ca="false" dt2D="false" dtr="false" t="normal">+N120-'Приложение №2'!E120</f>
        <v>0</v>
      </c>
      <c r="AQ120" s="1" t="n">
        <v>1840438.6</v>
      </c>
      <c r="AR120" s="3" t="n">
        <f aca="false" ca="false" dt2D="false" dtr="false" t="normal">+(K120*10+L120*20)*12*0.85</f>
        <v>394352.39999999997</v>
      </c>
      <c r="AS120" s="3" t="n">
        <f aca="false" ca="false" dt2D="false" dtr="false" t="normal">+(K120*10+L120*20)*12*30</f>
        <v>13918320</v>
      </c>
      <c r="AT120" s="9" t="n">
        <f aca="false" ca="false" dt2D="false" dtr="false" t="normal">+S120-AS120</f>
        <v>-13918320</v>
      </c>
      <c r="AW120" s="113" t="n">
        <f aca="false" ca="true" dt2D="false" dtr="false" t="normal">SUBTOTAL(9, AX120:BL120)</f>
        <v>1013056.9700000001</v>
      </c>
      <c r="AX120" s="106" t="n">
        <v>0</v>
      </c>
      <c r="AY120" s="106" t="n">
        <v>0</v>
      </c>
      <c r="AZ120" s="106" t="n">
        <v>0</v>
      </c>
      <c r="BA120" s="106" t="n">
        <v>0</v>
      </c>
      <c r="BB120" s="106" t="n">
        <v>1007223.29</v>
      </c>
      <c r="BC120" s="106" t="n"/>
      <c r="BD120" s="106" t="n"/>
      <c r="BE120" s="106" t="n">
        <v>0</v>
      </c>
      <c r="BF120" s="106" t="n">
        <v>0</v>
      </c>
      <c r="BG120" s="106" t="n">
        <v>0</v>
      </c>
      <c r="BH120" s="106" t="n">
        <v>0</v>
      </c>
      <c r="BI120" s="106" t="n">
        <v>0</v>
      </c>
      <c r="BJ120" s="106" t="n"/>
      <c r="BK120" s="114" t="n"/>
      <c r="BL120" s="115" t="n">
        <v>5833.68</v>
      </c>
      <c r="BM120" s="14" t="n">
        <f aca="false" ca="true" dt2D="false" dtr="false" t="normal">SUBTOTAL(9, BN120:CB120)</f>
        <v>1013056.9700000001</v>
      </c>
      <c r="BN120" s="106" t="n">
        <v>0</v>
      </c>
      <c r="BO120" s="106" t="n">
        <v>0</v>
      </c>
      <c r="BP120" s="133" t="n">
        <v>0</v>
      </c>
      <c r="BQ120" s="106" t="n">
        <v>0</v>
      </c>
      <c r="BR120" s="106" t="n">
        <v>1007223.29</v>
      </c>
      <c r="BS120" s="106" t="n"/>
      <c r="BT120" s="106" t="n"/>
      <c r="BU120" s="106" t="n">
        <v>0</v>
      </c>
      <c r="BV120" s="106" t="n">
        <v>0</v>
      </c>
      <c r="BW120" s="106" t="n">
        <v>0</v>
      </c>
      <c r="BX120" s="106" t="n">
        <v>0</v>
      </c>
      <c r="BY120" s="106" t="n">
        <v>0</v>
      </c>
      <c r="BZ120" s="106" t="n"/>
      <c r="CA120" s="114" t="n"/>
      <c r="CB120" s="115" t="n">
        <v>5833.68</v>
      </c>
      <c r="CD120" s="116" t="n">
        <f aca="false" ca="false" dt2D="false" dtr="false" t="normal">+CD119+1</f>
        <v>103</v>
      </c>
      <c r="CE120" s="117" t="n">
        <f aca="false" ca="false" dt2D="false" dtr="false" t="normal">+CE119+1</f>
        <v>103</v>
      </c>
      <c r="CF120" s="104" t="s">
        <v>111</v>
      </c>
      <c r="CG120" s="104" t="s">
        <v>182</v>
      </c>
      <c r="CH120" s="118" t="n">
        <f aca="false" ca="true" dt2D="false" dtr="false" t="normal">SUBTOTAL(9, CI120:CW120)</f>
        <v>1013056.9700000001</v>
      </c>
      <c r="CI120" s="106" t="n">
        <v>0</v>
      </c>
      <c r="CJ120" s="106" t="n">
        <v>0</v>
      </c>
      <c r="CK120" s="133" t="n">
        <v>0</v>
      </c>
      <c r="CL120" s="106" t="n">
        <v>0</v>
      </c>
      <c r="CM120" s="106" t="n">
        <v>1007223.29</v>
      </c>
      <c r="CN120" s="106" t="n"/>
      <c r="CO120" s="106" t="n"/>
      <c r="CP120" s="106" t="n">
        <v>0</v>
      </c>
      <c r="CQ120" s="106" t="n">
        <v>0</v>
      </c>
      <c r="CR120" s="106" t="n">
        <v>0</v>
      </c>
      <c r="CS120" s="106" t="n">
        <v>0</v>
      </c>
      <c r="CT120" s="106" t="n">
        <v>0</v>
      </c>
      <c r="CU120" s="106" t="n"/>
      <c r="CV120" s="114" t="n"/>
      <c r="CW120" s="115" t="n">
        <v>5833.68</v>
      </c>
      <c r="CZ120" s="104" t="s">
        <v>182</v>
      </c>
      <c r="DA120" s="119" t="n">
        <f aca="false" ca="true" dt2D="false" dtr="false" t="normal">SUBTOTAL(9, DB120:DP120)</f>
        <v>1007223.29</v>
      </c>
      <c r="DB120" s="106" t="n">
        <v>0</v>
      </c>
      <c r="DC120" s="106" t="n">
        <v>0</v>
      </c>
      <c r="DD120" s="133" t="n">
        <v>0</v>
      </c>
      <c r="DE120" s="106" t="n">
        <v>0</v>
      </c>
      <c r="DF120" s="106" t="n">
        <v>1007223.29</v>
      </c>
      <c r="DG120" s="106" t="n"/>
      <c r="DH120" s="106" t="n"/>
      <c r="DI120" s="106" t="n">
        <v>0</v>
      </c>
      <c r="DJ120" s="106" t="n">
        <v>0</v>
      </c>
      <c r="DK120" s="106" t="n">
        <v>0</v>
      </c>
      <c r="DL120" s="106" t="n">
        <v>0</v>
      </c>
      <c r="DM120" s="106" t="n">
        <v>0</v>
      </c>
      <c r="DN120" s="106" t="n"/>
      <c r="DO120" s="114" t="n"/>
      <c r="DP120" s="122" t="n"/>
      <c r="DQ120" s="3" t="n">
        <f aca="false" ca="false" dt2D="false" dtr="false" t="normal">N120-DA120</f>
        <v>0</v>
      </c>
      <c r="DS120" s="9" t="n"/>
    </row>
    <row hidden="false" ht="15" outlineLevel="0" r="121">
      <c r="A121" s="103" t="n">
        <f aca="false" ca="false" dt2D="false" dtr="false" t="normal">+A120+1</f>
        <v>104</v>
      </c>
      <c r="B121" s="104" t="n">
        <f aca="false" ca="false" dt2D="false" dtr="false" t="normal">+B120+1</f>
        <v>104</v>
      </c>
      <c r="C121" s="104" t="s">
        <v>111</v>
      </c>
      <c r="D121" s="104" t="s">
        <v>183</v>
      </c>
      <c r="E121" s="105" t="n">
        <v>1995</v>
      </c>
      <c r="F121" s="105" t="n">
        <v>2013</v>
      </c>
      <c r="G121" s="105" t="s">
        <v>68</v>
      </c>
      <c r="H121" s="105" t="n">
        <v>5</v>
      </c>
      <c r="I121" s="105" t="n">
        <v>2</v>
      </c>
      <c r="J121" s="106" t="n">
        <v>2325.7</v>
      </c>
      <c r="K121" s="106" t="n">
        <v>1861.6</v>
      </c>
      <c r="L121" s="106" t="n">
        <v>0</v>
      </c>
      <c r="M121" s="107" t="n">
        <v>45</v>
      </c>
      <c r="N121" s="108" t="n">
        <f aca="false" ca="false" dt2D="false" dtr="false" t="normal">SUM(P121:T121)</f>
        <v>12165659.1444</v>
      </c>
      <c r="O121" s="106" t="n"/>
      <c r="P121" s="114" t="n">
        <v>3166309.31</v>
      </c>
      <c r="Q121" s="114" t="n"/>
      <c r="R121" s="114" t="n">
        <v>801099.03</v>
      </c>
      <c r="S121" s="114" t="n">
        <v>6701760</v>
      </c>
      <c r="T121" s="106" t="n">
        <v>1496490.8044</v>
      </c>
      <c r="U121" s="114" t="n">
        <v>6794.86080302312</v>
      </c>
      <c r="V121" s="114" t="n">
        <v>6794.86080302312</v>
      </c>
      <c r="W121" s="110" t="n">
        <v>2022</v>
      </c>
      <c r="X121" s="9" t="e">
        <f aca="false" ca="false" dt2D="false" dtr="false" t="normal">+#REF!-'[9]Приложение №1'!$P1100</f>
        <v>#REF!</v>
      </c>
      <c r="Z121" s="113" t="n">
        <f aca="false" ca="false" dt2D="false" dtr="false" t="normal">SUM(AA121:AO121)</f>
        <v>24619973.59</v>
      </c>
      <c r="AA121" s="106" t="n">
        <v>4453931.47703322</v>
      </c>
      <c r="AB121" s="106" t="n">
        <v>1587118.89355698</v>
      </c>
      <c r="AC121" s="106" t="n">
        <v>1658186.10096636</v>
      </c>
      <c r="AD121" s="106" t="n">
        <v>1038129.34401372</v>
      </c>
      <c r="AE121" s="106" t="n">
        <v>0</v>
      </c>
      <c r="AF121" s="106" t="n"/>
      <c r="AG121" s="106" t="n">
        <v>170909.54989416</v>
      </c>
      <c r="AH121" s="106" t="n">
        <v>0</v>
      </c>
      <c r="AI121" s="106" t="n">
        <v>8142464.419425</v>
      </c>
      <c r="AJ121" s="106" t="n">
        <v>0</v>
      </c>
      <c r="AK121" s="106" t="n">
        <v>0</v>
      </c>
      <c r="AL121" s="106" t="n">
        <v>4559967.08465298</v>
      </c>
      <c r="AM121" s="106" t="n">
        <v>2290484.5944</v>
      </c>
      <c r="AN121" s="114" t="n">
        <v>246199.7359</v>
      </c>
      <c r="AO121" s="115" t="n">
        <v>472582.39015758</v>
      </c>
      <c r="AP121" s="112" t="n">
        <f aca="false" ca="false" dt2D="false" dtr="false" t="normal">+N121-'Приложение №2'!E121</f>
        <v>0</v>
      </c>
      <c r="AQ121" s="1" t="n">
        <v>717879.06</v>
      </c>
      <c r="AR121" s="3" t="n">
        <f aca="false" ca="false" dt2D="false" dtr="false" t="normal">+(K121*10+L121*20)*12*0.85</f>
        <v>189883.19999999998</v>
      </c>
      <c r="AS121" s="3" t="n">
        <f aca="false" ca="false" dt2D="false" dtr="false" t="normal">+(K121*10+L121*20)*12*30</f>
        <v>6701760</v>
      </c>
      <c r="AT121" s="9" t="n">
        <f aca="false" ca="false" dt2D="false" dtr="false" t="normal">+S121-AS121</f>
        <v>0</v>
      </c>
      <c r="AW121" s="113" t="n">
        <f aca="false" ca="true" dt2D="false" dtr="false" t="normal">SUBTOTAL(9, AX121:BL121)</f>
        <v>12649312.87090784</v>
      </c>
      <c r="AX121" s="106" t="n">
        <v>3644506.14</v>
      </c>
      <c r="AY121" s="106" t="n"/>
      <c r="AZ121" s="106" t="n">
        <v>914465.47</v>
      </c>
      <c r="BA121" s="106" t="n"/>
      <c r="BB121" s="106" t="n">
        <v>0</v>
      </c>
      <c r="BC121" s="106" t="n"/>
      <c r="BD121" s="106" t="n"/>
      <c r="BE121" s="106" t="n">
        <v>0</v>
      </c>
      <c r="BF121" s="106" t="n">
        <v>3794408.23</v>
      </c>
      <c r="BG121" s="106" t="n">
        <v>0</v>
      </c>
      <c r="BH121" s="106" t="n">
        <v>0</v>
      </c>
      <c r="BI121" s="106" t="n">
        <v>3615223.51</v>
      </c>
      <c r="BJ121" s="106" t="n">
        <v>160007.0122</v>
      </c>
      <c r="BK121" s="114" t="n">
        <v>37048.7822</v>
      </c>
      <c r="BL121" s="115" t="n">
        <v>483653.72650784</v>
      </c>
      <c r="BM121" s="14" t="n">
        <f aca="false" ca="true" dt2D="false" dtr="false" t="normal">SUBTOTAL(9, BN121:CB121)</f>
        <v>12649312.87090784</v>
      </c>
      <c r="BN121" s="106" t="n">
        <v>3644506.14</v>
      </c>
      <c r="BO121" s="106" t="n"/>
      <c r="BP121" s="133" t="n">
        <v>914465.47</v>
      </c>
      <c r="BQ121" s="106" t="n"/>
      <c r="BR121" s="106" t="n">
        <v>0</v>
      </c>
      <c r="BS121" s="106" t="n"/>
      <c r="BT121" s="106" t="n"/>
      <c r="BU121" s="106" t="n">
        <v>0</v>
      </c>
      <c r="BV121" s="106" t="n">
        <v>3794408.23</v>
      </c>
      <c r="BW121" s="106" t="n">
        <v>0</v>
      </c>
      <c r="BX121" s="106" t="n">
        <v>0</v>
      </c>
      <c r="BY121" s="106" t="n">
        <v>3615223.51</v>
      </c>
      <c r="BZ121" s="106" t="n">
        <v>160007.0122</v>
      </c>
      <c r="CA121" s="114" t="n">
        <v>37048.7822</v>
      </c>
      <c r="CB121" s="115" t="n">
        <v>483653.72650784</v>
      </c>
      <c r="CD121" s="116" t="n">
        <f aca="false" ca="false" dt2D="false" dtr="false" t="normal">+CD120+1</f>
        <v>104</v>
      </c>
      <c r="CE121" s="117" t="n">
        <f aca="false" ca="false" dt2D="false" dtr="false" t="normal">+CE120+1</f>
        <v>104</v>
      </c>
      <c r="CF121" s="104" t="s">
        <v>111</v>
      </c>
      <c r="CG121" s="104" t="s">
        <v>183</v>
      </c>
      <c r="CH121" s="118" t="n">
        <f aca="false" ca="true" dt2D="false" dtr="false" t="normal">SUBTOTAL(9, CI121:CW121)</f>
        <v>12649312.87090784</v>
      </c>
      <c r="CI121" s="106" t="n">
        <v>3644506.14</v>
      </c>
      <c r="CJ121" s="106" t="n"/>
      <c r="CK121" s="133" t="n">
        <v>914465.47</v>
      </c>
      <c r="CL121" s="106" t="n"/>
      <c r="CM121" s="106" t="n">
        <v>0</v>
      </c>
      <c r="CN121" s="106" t="n"/>
      <c r="CO121" s="106" t="n"/>
      <c r="CP121" s="106" t="n">
        <v>0</v>
      </c>
      <c r="CQ121" s="106" t="n">
        <v>3794408.23</v>
      </c>
      <c r="CR121" s="106" t="n">
        <v>0</v>
      </c>
      <c r="CS121" s="106" t="n">
        <v>0</v>
      </c>
      <c r="CT121" s="106" t="n">
        <v>3615223.51</v>
      </c>
      <c r="CU121" s="106" t="n">
        <v>160007.0122</v>
      </c>
      <c r="CV121" s="114" t="n">
        <v>37048.7822</v>
      </c>
      <c r="CW121" s="115" t="n">
        <v>483653.72650784</v>
      </c>
      <c r="CZ121" s="104" t="s">
        <v>183</v>
      </c>
      <c r="DA121" s="119" t="n">
        <f aca="false" ca="true" dt2D="false" dtr="false" t="normal">SUBTOTAL(9, DB121:DP121)</f>
        <v>12165659.144399999</v>
      </c>
      <c r="DB121" s="106" t="n">
        <v>3644506.14</v>
      </c>
      <c r="DC121" s="106" t="n"/>
      <c r="DD121" s="133" t="n">
        <v>914465.47</v>
      </c>
      <c r="DE121" s="106" t="n"/>
      <c r="DF121" s="106" t="n">
        <v>0</v>
      </c>
      <c r="DG121" s="106" t="n"/>
      <c r="DH121" s="106" t="n"/>
      <c r="DI121" s="106" t="n">
        <v>0</v>
      </c>
      <c r="DJ121" s="106" t="n">
        <v>3794408.23</v>
      </c>
      <c r="DK121" s="106" t="n">
        <v>0</v>
      </c>
      <c r="DL121" s="106" t="n">
        <v>0</v>
      </c>
      <c r="DM121" s="106" t="n">
        <v>3615223.51</v>
      </c>
      <c r="DN121" s="106" t="n">
        <v>160007.0122</v>
      </c>
      <c r="DO121" s="114" t="n">
        <v>37048.7822</v>
      </c>
      <c r="DP121" s="122" t="n"/>
      <c r="DQ121" s="3" t="n">
        <f aca="false" ca="false" dt2D="false" dtr="false" t="normal">N121-DA121</f>
        <v>0</v>
      </c>
      <c r="DS121" s="9" t="n"/>
    </row>
    <row customFormat="true" hidden="false" ht="15" outlineLevel="0" r="122" s="129">
      <c r="A122" s="103" t="n">
        <f aca="false" ca="false" dt2D="false" dtr="false" t="normal">+A121+1</f>
        <v>105</v>
      </c>
      <c r="B122" s="104" t="n">
        <f aca="false" ca="false" dt2D="false" dtr="false" t="normal">+B121+1</f>
        <v>105</v>
      </c>
      <c r="C122" s="104" t="s">
        <v>184</v>
      </c>
      <c r="D122" s="104" t="s">
        <v>185</v>
      </c>
      <c r="E122" s="105" t="s">
        <v>186</v>
      </c>
      <c r="F122" s="105" t="n"/>
      <c r="G122" s="105" t="s">
        <v>68</v>
      </c>
      <c r="H122" s="105" t="s">
        <v>187</v>
      </c>
      <c r="I122" s="105" t="s">
        <v>188</v>
      </c>
      <c r="J122" s="106" t="n">
        <v>5677.5</v>
      </c>
      <c r="K122" s="106" t="n">
        <v>4896.4</v>
      </c>
      <c r="L122" s="106" t="n">
        <v>72</v>
      </c>
      <c r="M122" s="107" t="n">
        <v>216</v>
      </c>
      <c r="N122" s="108" t="n">
        <f aca="false" ca="false" dt2D="false" dtr="false" t="normal">SUM(P122:T122)</f>
        <v>54428541.629999995</v>
      </c>
      <c r="O122" s="106" t="n">
        <v>0</v>
      </c>
      <c r="P122" s="114" t="n">
        <v>13939244.22</v>
      </c>
      <c r="Q122" s="114" t="n">
        <v>0</v>
      </c>
      <c r="R122" s="114" t="n">
        <v>2546224.96</v>
      </c>
      <c r="S122" s="114" t="n">
        <v>18145440</v>
      </c>
      <c r="T122" s="106" t="n">
        <v>19797632.45</v>
      </c>
      <c r="U122" s="114" t="n">
        <v>224.97</v>
      </c>
      <c r="V122" s="114" t="n">
        <v>224.97</v>
      </c>
      <c r="W122" s="110" t="n">
        <v>2022</v>
      </c>
      <c r="X122" s="129" t="n">
        <v>1825680.39</v>
      </c>
      <c r="Y122" s="129" t="n">
        <f aca="false" ca="false" dt2D="false" dtr="false" t="normal">+(K122*9.1+L122*18.19)*12</f>
        <v>550403.04</v>
      </c>
      <c r="AA122" s="130" t="e">
        <f aca="false" ca="false" dt2D="false" dtr="false" t="normal">+N122-'[8]Приложение № 2'!E95</f>
        <v>#REF!</v>
      </c>
      <c r="AD122" s="130" t="e">
        <f aca="false" ca="false" dt2D="false" dtr="false" t="normal">+N122-'[8]Приложение № 2'!E95</f>
        <v>#REF!</v>
      </c>
      <c r="AP122" s="112" t="n">
        <f aca="false" ca="false" dt2D="false" dtr="false" t="normal">+N122-'Приложение №2'!E122</f>
        <v>0</v>
      </c>
      <c r="AQ122" s="129" t="n">
        <v>2265420.6</v>
      </c>
      <c r="AR122" s="3" t="n">
        <f aca="false" ca="false" dt2D="false" dtr="false" t="normal">+(K122*10+L122*20)*12*0.85</f>
        <v>514120.8</v>
      </c>
      <c r="AS122" s="3" t="n">
        <f aca="false" ca="false" dt2D="false" dtr="false" t="normal">+(K122*10+L122*20)*12*30</f>
        <v>18145440</v>
      </c>
      <c r="AT122" s="9" t="n">
        <f aca="false" ca="false" dt2D="false" dtr="false" t="normal">+S122-AS122</f>
        <v>0</v>
      </c>
      <c r="AW122" s="113" t="n">
        <f aca="false" ca="true" dt2D="false" dtr="false" t="normal">SUBTOTAL(9, AX122:BL122)</f>
        <v>56109594.1888781</v>
      </c>
      <c r="AX122" s="106" t="n"/>
      <c r="AY122" s="106" t="n"/>
      <c r="AZ122" s="1" t="n"/>
      <c r="BA122" s="106" t="n"/>
      <c r="BB122" s="106" t="n"/>
      <c r="BC122" s="106" t="n"/>
      <c r="BD122" s="106" t="n"/>
      <c r="BE122" s="106" t="n"/>
      <c r="BF122" s="106" t="n">
        <v>14003938.84</v>
      </c>
      <c r="BG122" s="106" t="n"/>
      <c r="BH122" s="106" t="n">
        <v>32173395.46</v>
      </c>
      <c r="BI122" s="106" t="n">
        <v>8022917.03</v>
      </c>
      <c r="BJ122" s="106" t="n">
        <v>228290.3</v>
      </c>
      <c r="BK122" s="114" t="n"/>
      <c r="BL122" s="115" t="n">
        <v>1681052.5588781</v>
      </c>
      <c r="BM122" s="14" t="n">
        <f aca="false" ca="true" dt2D="false" dtr="false" t="normal">SUBTOTAL(9, BN122:CB122)</f>
        <v>56109594.1888781</v>
      </c>
      <c r="BN122" s="106" t="n"/>
      <c r="BO122" s="106" t="n"/>
      <c r="BP122" s="134" t="n"/>
      <c r="BQ122" s="106" t="n"/>
      <c r="BR122" s="106" t="n"/>
      <c r="BS122" s="106" t="n"/>
      <c r="BT122" s="106" t="n"/>
      <c r="BU122" s="106" t="n"/>
      <c r="BV122" s="106" t="n">
        <v>14003938.84</v>
      </c>
      <c r="BW122" s="106" t="n"/>
      <c r="BX122" s="106" t="n">
        <v>32173395.46</v>
      </c>
      <c r="BY122" s="106" t="n">
        <v>8022917.03</v>
      </c>
      <c r="BZ122" s="106" t="n">
        <v>228290.3</v>
      </c>
      <c r="CA122" s="114" t="n"/>
      <c r="CB122" s="115" t="n">
        <v>1681052.5588781</v>
      </c>
      <c r="CD122" s="116" t="n">
        <f aca="false" ca="false" dt2D="false" dtr="false" t="normal">+CD121+1</f>
        <v>105</v>
      </c>
      <c r="CE122" s="117" t="n">
        <f aca="false" ca="false" dt2D="false" dtr="false" t="normal">+CE121+1</f>
        <v>105</v>
      </c>
      <c r="CF122" s="104" t="s">
        <v>111</v>
      </c>
      <c r="CG122" s="104" t="s">
        <v>185</v>
      </c>
      <c r="CH122" s="118" t="n">
        <f aca="false" ca="true" dt2D="false" dtr="false" t="normal">SUBTOTAL(9, CI122:CW122)</f>
        <v>56109594.1888781</v>
      </c>
      <c r="CI122" s="106" t="n"/>
      <c r="CJ122" s="106" t="n"/>
      <c r="CK122" s="134" t="n"/>
      <c r="CL122" s="106" t="n"/>
      <c r="CM122" s="106" t="n"/>
      <c r="CN122" s="106" t="n"/>
      <c r="CO122" s="106" t="n"/>
      <c r="CP122" s="106" t="n"/>
      <c r="CQ122" s="106" t="n">
        <v>14003938.84</v>
      </c>
      <c r="CR122" s="106" t="n"/>
      <c r="CS122" s="106" t="n">
        <v>32173395.46</v>
      </c>
      <c r="CT122" s="106" t="n">
        <v>8022917.03</v>
      </c>
      <c r="CU122" s="106" t="n">
        <v>228290.3</v>
      </c>
      <c r="CV122" s="114" t="n"/>
      <c r="CW122" s="115" t="n">
        <v>1681052.5588781</v>
      </c>
      <c r="CZ122" s="104" t="s">
        <v>185</v>
      </c>
      <c r="DA122" s="119" t="n">
        <f aca="false" ca="true" dt2D="false" dtr="false" t="normal">SUBTOTAL(9, DB122:DP122)</f>
        <v>54428541.629999995</v>
      </c>
      <c r="DB122" s="106" t="n"/>
      <c r="DC122" s="106" t="n"/>
      <c r="DD122" s="134" t="n"/>
      <c r="DE122" s="106" t="n"/>
      <c r="DF122" s="106" t="n"/>
      <c r="DG122" s="106" t="n"/>
      <c r="DH122" s="106" t="n"/>
      <c r="DI122" s="106" t="n"/>
      <c r="DJ122" s="106" t="n">
        <v>14003938.84</v>
      </c>
      <c r="DK122" s="106" t="n"/>
      <c r="DL122" s="106" t="n">
        <v>32173395.46</v>
      </c>
      <c r="DM122" s="106" t="n">
        <v>8022917.03</v>
      </c>
      <c r="DN122" s="106" t="n">
        <v>228290.3</v>
      </c>
      <c r="DO122" s="114" t="n"/>
      <c r="DP122" s="122" t="n"/>
      <c r="DQ122" s="3" t="n">
        <f aca="false" ca="false" dt2D="false" dtr="false" t="normal">N122-DA122</f>
        <v>0</v>
      </c>
      <c r="DS122" s="9" t="n"/>
    </row>
    <row hidden="false" ht="15" outlineLevel="0" r="123">
      <c r="A123" s="103" t="n">
        <f aca="false" ca="false" dt2D="false" dtr="false" t="normal">+A122+1</f>
        <v>106</v>
      </c>
      <c r="B123" s="104" t="n">
        <f aca="false" ca="false" dt2D="false" dtr="false" t="normal">+B122+1</f>
        <v>106</v>
      </c>
      <c r="C123" s="104" t="s">
        <v>111</v>
      </c>
      <c r="D123" s="104" t="s">
        <v>189</v>
      </c>
      <c r="E123" s="105" t="n">
        <v>1986</v>
      </c>
      <c r="F123" s="105" t="n">
        <v>2013</v>
      </c>
      <c r="G123" s="105" t="s">
        <v>68</v>
      </c>
      <c r="H123" s="105" t="n">
        <v>12</v>
      </c>
      <c r="I123" s="105" t="n">
        <v>1</v>
      </c>
      <c r="J123" s="106" t="n">
        <v>5358.08</v>
      </c>
      <c r="K123" s="106" t="n">
        <v>4351.1</v>
      </c>
      <c r="L123" s="106" t="n">
        <v>75.1</v>
      </c>
      <c r="M123" s="107" t="n">
        <v>175</v>
      </c>
      <c r="N123" s="108" t="n">
        <f aca="false" ca="false" dt2D="false" dtr="false" t="normal">SUM(P123:T123)</f>
        <v>26737671.15</v>
      </c>
      <c r="O123" s="106" t="n"/>
      <c r="P123" s="114" t="n">
        <v>8285257.2</v>
      </c>
      <c r="Q123" s="114" t="n"/>
      <c r="R123" s="114" t="n">
        <v>3249810.1642</v>
      </c>
      <c r="S123" s="114" t="n">
        <v>15202603.7858</v>
      </c>
      <c r="T123" s="106" t="n"/>
      <c r="U123" s="114" t="n">
        <v>6373.58833831059</v>
      </c>
      <c r="V123" s="114" t="n">
        <v>6373.58833831059</v>
      </c>
      <c r="W123" s="110" t="n">
        <v>2022</v>
      </c>
      <c r="X123" s="9" t="e">
        <f aca="false" ca="false" dt2D="false" dtr="false" t="normal">+#REF!-'[9]Приложение №1'!$P1102</f>
        <v>#REF!</v>
      </c>
      <c r="Z123" s="113" t="n">
        <f aca="false" ca="false" dt2D="false" dtr="false" t="normal">SUM(AA123:AO123)</f>
        <v>79559391.95999998</v>
      </c>
      <c r="AA123" s="106" t="n">
        <v>8341354.447335</v>
      </c>
      <c r="AB123" s="106" t="n">
        <v>5553433.12359024</v>
      </c>
      <c r="AC123" s="106" t="n">
        <v>3380551.53059988</v>
      </c>
      <c r="AD123" s="106" t="n">
        <v>3049959.75966864</v>
      </c>
      <c r="AE123" s="106" t="n">
        <v>1113740.92605384</v>
      </c>
      <c r="AF123" s="106" t="n"/>
      <c r="AG123" s="106" t="n">
        <v>465647.1264396</v>
      </c>
      <c r="AH123" s="106" t="n">
        <v>0</v>
      </c>
      <c r="AI123" s="106" t="n">
        <v>3947389.3810512</v>
      </c>
      <c r="AJ123" s="106" t="n">
        <v>0</v>
      </c>
      <c r="AK123" s="106" t="n">
        <v>34269240.7235203</v>
      </c>
      <c r="AL123" s="106" t="n">
        <v>9011986.10993268</v>
      </c>
      <c r="AM123" s="106" t="n">
        <v>8118689.5914</v>
      </c>
      <c r="AN123" s="114" t="n">
        <v>795593.9196</v>
      </c>
      <c r="AO123" s="115" t="n">
        <v>1511805.3208086</v>
      </c>
      <c r="AP123" s="112" t="n">
        <f aca="false" ca="false" dt2D="false" dtr="false" t="normal">+N123-'Приложение №2'!E123</f>
        <v>0</v>
      </c>
      <c r="AQ123" s="1" t="n">
        <v>2642732.98</v>
      </c>
      <c r="AR123" s="3" t="n">
        <f aca="false" ca="false" dt2D="false" dtr="false" t="normal">+(K123*13.29+L123*22.52)*12*0.85</f>
        <v>607077.1842</v>
      </c>
      <c r="AS123" s="3" t="n">
        <f aca="false" ca="false" dt2D="false" dtr="false" t="normal">+(K123*13.29+L123*22.52)*12*30</f>
        <v>21426253.560000002</v>
      </c>
      <c r="AT123" s="9" t="n">
        <f aca="false" ca="false" dt2D="false" dtr="false" t="normal">+S123-AS123</f>
        <v>-6223649.774200002</v>
      </c>
      <c r="AW123" s="113" t="n">
        <f aca="false" ca="true" dt2D="false" dtr="false" t="normal">SUBTOTAL(9, AX123:BL123)</f>
        <v>28210776.703030363</v>
      </c>
      <c r="AX123" s="106" t="n">
        <v>6509238.77</v>
      </c>
      <c r="AY123" s="106" t="n">
        <v>2319400.21</v>
      </c>
      <c r="AZ123" s="106" t="n">
        <v>3775889.5</v>
      </c>
      <c r="BA123" s="106" t="n">
        <v>1790627.54</v>
      </c>
      <c r="BB123" s="106" t="n"/>
      <c r="BC123" s="106" t="n"/>
      <c r="BD123" s="106" t="n"/>
      <c r="BE123" s="106" t="n">
        <v>0</v>
      </c>
      <c r="BF123" s="106" t="n">
        <v>4646956.9</v>
      </c>
      <c r="BG123" s="106" t="n">
        <v>0</v>
      </c>
      <c r="BH123" s="106" t="n">
        <v>5003516.4</v>
      </c>
      <c r="BI123" s="106" t="n">
        <v>2513954.87</v>
      </c>
      <c r="BJ123" s="106" t="n"/>
      <c r="BK123" s="114" t="n"/>
      <c r="BL123" s="115" t="n">
        <v>1651192.51303036</v>
      </c>
      <c r="BM123" s="14" t="n">
        <f aca="false" ca="true" dt2D="false" dtr="false" t="normal">SUBTOTAL(9, BN123:CB123)</f>
        <v>28210776.703030363</v>
      </c>
      <c r="BN123" s="106" t="n">
        <v>6509238.77</v>
      </c>
      <c r="BO123" s="106" t="n">
        <v>2319400.21</v>
      </c>
      <c r="BP123" s="133" t="n">
        <v>3775889.5</v>
      </c>
      <c r="BQ123" s="106" t="n">
        <v>1790627.54</v>
      </c>
      <c r="BR123" s="106" t="n"/>
      <c r="BS123" s="106" t="n"/>
      <c r="BT123" s="106" t="n"/>
      <c r="BU123" s="106" t="n">
        <v>0</v>
      </c>
      <c r="BV123" s="106" t="n">
        <v>4646956.9</v>
      </c>
      <c r="BW123" s="106" t="n">
        <v>0</v>
      </c>
      <c r="BX123" s="106" t="n">
        <v>5003516.4</v>
      </c>
      <c r="BY123" s="106" t="n">
        <v>2513954.87</v>
      </c>
      <c r="BZ123" s="106" t="n"/>
      <c r="CA123" s="114" t="n"/>
      <c r="CB123" s="115" t="n">
        <v>1651192.51303036</v>
      </c>
      <c r="CD123" s="116" t="n">
        <f aca="false" ca="false" dt2D="false" dtr="false" t="normal">+CD122+1</f>
        <v>106</v>
      </c>
      <c r="CE123" s="117" t="n">
        <f aca="false" ca="false" dt2D="false" dtr="false" t="normal">+CE122+1</f>
        <v>106</v>
      </c>
      <c r="CF123" s="104" t="s">
        <v>111</v>
      </c>
      <c r="CG123" s="104" t="s">
        <v>189</v>
      </c>
      <c r="CH123" s="118" t="n">
        <f aca="false" ca="true" dt2D="false" dtr="false" t="normal">SUBTOTAL(9, CI123:CW123)</f>
        <v>28210776.703030363</v>
      </c>
      <c r="CI123" s="106" t="n">
        <v>6509238.77</v>
      </c>
      <c r="CJ123" s="106" t="n">
        <v>2319400.21</v>
      </c>
      <c r="CK123" s="133" t="n">
        <v>3775889.5</v>
      </c>
      <c r="CL123" s="106" t="n">
        <v>1790627.54</v>
      </c>
      <c r="CM123" s="106" t="n"/>
      <c r="CN123" s="106" t="n"/>
      <c r="CO123" s="106" t="n"/>
      <c r="CP123" s="106" t="n">
        <v>0</v>
      </c>
      <c r="CQ123" s="106" t="n">
        <v>4646956.9</v>
      </c>
      <c r="CR123" s="106" t="n">
        <v>0</v>
      </c>
      <c r="CS123" s="106" t="n">
        <v>5003516.4</v>
      </c>
      <c r="CT123" s="106" t="n">
        <v>2513954.87</v>
      </c>
      <c r="CU123" s="106" t="n"/>
      <c r="CV123" s="114" t="n"/>
      <c r="CW123" s="115" t="n">
        <v>1651192.51303036</v>
      </c>
      <c r="CZ123" s="104" t="s">
        <v>189</v>
      </c>
      <c r="DA123" s="119" t="n">
        <f aca="false" ca="true" dt2D="false" dtr="false" t="normal">SUBTOTAL(9, DB123:DP123)</f>
        <v>26737671.150000002</v>
      </c>
      <c r="DB123" s="106" t="n">
        <v>6509238.77</v>
      </c>
      <c r="DC123" s="106" t="n">
        <v>2319400.21</v>
      </c>
      <c r="DD123" s="133" t="n">
        <v>3775889.5</v>
      </c>
      <c r="DE123" s="106" t="n">
        <v>1790627.54</v>
      </c>
      <c r="DF123" s="106" t="n"/>
      <c r="DG123" s="106" t="n"/>
      <c r="DH123" s="106" t="n"/>
      <c r="DI123" s="106" t="n">
        <v>0</v>
      </c>
      <c r="DJ123" s="106" t="n">
        <v>4646956.9</v>
      </c>
      <c r="DK123" s="106" t="n">
        <v>0</v>
      </c>
      <c r="DL123" s="106" t="n">
        <v>5003516.4</v>
      </c>
      <c r="DM123" s="106" t="n">
        <v>2513954.87</v>
      </c>
      <c r="DN123" s="106" t="n"/>
      <c r="DO123" s="114" t="n"/>
      <c r="DP123" s="120" t="n">
        <f aca="false" ca="false" dt2D="false" dtr="false" t="normal">54318.24+26212.3+17900.83+13102.42+28632.26+18587.41+19333.5</f>
        <v>178086.96</v>
      </c>
      <c r="DQ123" s="3" t="n">
        <f aca="false" ca="false" dt2D="false" dtr="false" t="normal">N123-DA123</f>
        <v>0</v>
      </c>
      <c r="DS123" s="9" t="n"/>
    </row>
    <row hidden="false" ht="15" outlineLevel="0" r="124">
      <c r="A124" s="103" t="n">
        <f aca="false" ca="false" dt2D="false" dtr="false" t="normal">+A123+1</f>
        <v>107</v>
      </c>
      <c r="B124" s="104" t="n">
        <f aca="false" ca="false" dt2D="false" dtr="false" t="normal">+B123+1</f>
        <v>107</v>
      </c>
      <c r="C124" s="104" t="s">
        <v>111</v>
      </c>
      <c r="D124" s="104" t="s">
        <v>190</v>
      </c>
      <c r="E124" s="105" t="n">
        <v>1974</v>
      </c>
      <c r="F124" s="105" t="n">
        <v>2013</v>
      </c>
      <c r="G124" s="105" t="s">
        <v>68</v>
      </c>
      <c r="H124" s="105" t="n">
        <v>4</v>
      </c>
      <c r="I124" s="105" t="n">
        <v>6</v>
      </c>
      <c r="J124" s="106" t="n">
        <v>5678.2</v>
      </c>
      <c r="K124" s="106" t="n">
        <v>4923.8</v>
      </c>
      <c r="L124" s="106" t="n">
        <v>69.9</v>
      </c>
      <c r="M124" s="107" t="n">
        <v>205</v>
      </c>
      <c r="N124" s="108" t="n">
        <f aca="false" ca="false" dt2D="false" dtr="false" t="normal">SUM(P124:T124)</f>
        <v>8153307.6</v>
      </c>
      <c r="O124" s="106" t="n"/>
      <c r="P124" s="114" t="n"/>
      <c r="Q124" s="114" t="n"/>
      <c r="R124" s="114" t="n">
        <v>2055008.88</v>
      </c>
      <c r="S124" s="114" t="n">
        <v>6098298.72</v>
      </c>
      <c r="T124" s="106" t="n"/>
      <c r="U124" s="114" t="n">
        <v>1676.78652807606</v>
      </c>
      <c r="V124" s="114" t="n">
        <v>1676.78652807606</v>
      </c>
      <c r="W124" s="110" t="n">
        <v>2022</v>
      </c>
      <c r="X124" s="9" t="e">
        <f aca="false" ca="false" dt2D="false" dtr="false" t="normal">+#REF!-'[9]Приложение №1'!$P1492</f>
        <v>#REF!</v>
      </c>
      <c r="Z124" s="113" t="n">
        <f aca="false" ca="false" dt2D="false" dtr="false" t="normal">SUM(AA124:AO124)</f>
        <v>16666252.090000002</v>
      </c>
      <c r="AA124" s="106" t="n">
        <v>0</v>
      </c>
      <c r="AB124" s="106" t="n">
        <v>0</v>
      </c>
      <c r="AC124" s="106" t="n">
        <v>0</v>
      </c>
      <c r="AD124" s="106" t="n">
        <v>0</v>
      </c>
      <c r="AE124" s="106" t="n">
        <v>0</v>
      </c>
      <c r="AF124" s="106" t="n"/>
      <c r="AG124" s="106" t="n">
        <v>0</v>
      </c>
      <c r="AH124" s="106" t="n">
        <v>0</v>
      </c>
      <c r="AI124" s="106" t="n">
        <v>14678634.8657466</v>
      </c>
      <c r="AJ124" s="106" t="n">
        <v>0</v>
      </c>
      <c r="AK124" s="106" t="n">
        <v>0</v>
      </c>
      <c r="AL124" s="106" t="n">
        <v>0</v>
      </c>
      <c r="AM124" s="106" t="n">
        <v>1499962.6881</v>
      </c>
      <c r="AN124" s="114" t="n">
        <v>166662.5209</v>
      </c>
      <c r="AO124" s="115" t="n">
        <v>320992.0152534</v>
      </c>
      <c r="AP124" s="112" t="n">
        <f aca="false" ca="false" dt2D="false" dtr="false" t="normal">+N124-'Приложение №2'!E124</f>
        <v>0</v>
      </c>
      <c r="AQ124" s="1" t="n">
        <v>2280888.52</v>
      </c>
      <c r="AR124" s="3" t="n">
        <f aca="false" ca="false" dt2D="false" dtr="false" t="normal">+(K124*10+L124*20)*12*0.85</f>
        <v>516487.2</v>
      </c>
      <c r="AS124" s="3" t="n">
        <f aca="false" ca="false" dt2D="false" dtr="false" t="normal">+(K124*10+L124*20)*12*30</f>
        <v>18228960</v>
      </c>
      <c r="AT124" s="9" t="n">
        <f aca="false" ca="false" dt2D="false" dtr="false" t="normal">+S124-AS124</f>
        <v>-12130661.280000001</v>
      </c>
      <c r="AW124" s="113" t="n">
        <f aca="false" ca="true" dt2D="false" dtr="false" t="normal">SUBTOTAL(9, AX124:BL124)</f>
        <v>8373368.885253401</v>
      </c>
      <c r="AX124" s="106" t="n">
        <v>0</v>
      </c>
      <c r="AY124" s="106" t="n">
        <v>0</v>
      </c>
      <c r="AZ124" s="106" t="n">
        <v>0</v>
      </c>
      <c r="BA124" s="106" t="n">
        <v>0</v>
      </c>
      <c r="BB124" s="106" t="n">
        <v>0</v>
      </c>
      <c r="BC124" s="106" t="n"/>
      <c r="BD124" s="106" t="n"/>
      <c r="BE124" s="106" t="n">
        <v>0</v>
      </c>
      <c r="BF124" s="106" t="n">
        <v>6528558.99</v>
      </c>
      <c r="BG124" s="106" t="n">
        <v>0</v>
      </c>
      <c r="BH124" s="106" t="n">
        <v>0</v>
      </c>
      <c r="BI124" s="106" t="n">
        <v>0</v>
      </c>
      <c r="BJ124" s="106" t="n">
        <v>1523817.88</v>
      </c>
      <c r="BK124" s="114" t="n"/>
      <c r="BL124" s="115" t="n">
        <v>320992.0152534</v>
      </c>
      <c r="BM124" s="14" t="n">
        <f aca="false" ca="true" dt2D="false" dtr="false" t="normal">SUBTOTAL(9, BN124:CB124)</f>
        <v>8373368.885253401</v>
      </c>
      <c r="BN124" s="106" t="n">
        <v>0</v>
      </c>
      <c r="BO124" s="106" t="n">
        <v>0</v>
      </c>
      <c r="BP124" s="133" t="n">
        <v>0</v>
      </c>
      <c r="BQ124" s="106" t="n">
        <v>0</v>
      </c>
      <c r="BR124" s="106" t="n">
        <v>0</v>
      </c>
      <c r="BS124" s="106" t="n"/>
      <c r="BT124" s="106" t="n"/>
      <c r="BU124" s="106" t="n">
        <v>0</v>
      </c>
      <c r="BV124" s="106" t="n">
        <v>6528558.99</v>
      </c>
      <c r="BW124" s="106" t="n">
        <v>0</v>
      </c>
      <c r="BX124" s="106" t="n">
        <v>0</v>
      </c>
      <c r="BY124" s="106" t="n">
        <v>0</v>
      </c>
      <c r="BZ124" s="106" t="n">
        <v>1523817.88</v>
      </c>
      <c r="CA124" s="114" t="n"/>
      <c r="CB124" s="115" t="n">
        <v>320992.0152534</v>
      </c>
      <c r="CD124" s="116" t="n">
        <f aca="false" ca="false" dt2D="false" dtr="false" t="normal">+CD123+1</f>
        <v>107</v>
      </c>
      <c r="CE124" s="117" t="n">
        <f aca="false" ca="false" dt2D="false" dtr="false" t="normal">+CE123+1</f>
        <v>107</v>
      </c>
      <c r="CF124" s="104" t="s">
        <v>111</v>
      </c>
      <c r="CG124" s="104" t="s">
        <v>190</v>
      </c>
      <c r="CH124" s="118" t="n">
        <f aca="false" ca="true" dt2D="false" dtr="false" t="normal">SUBTOTAL(9, CI124:CW124)</f>
        <v>8373368.885253401</v>
      </c>
      <c r="CI124" s="106" t="n">
        <v>0</v>
      </c>
      <c r="CJ124" s="106" t="n">
        <v>0</v>
      </c>
      <c r="CK124" s="133" t="n">
        <v>0</v>
      </c>
      <c r="CL124" s="106" t="n">
        <v>0</v>
      </c>
      <c r="CM124" s="106" t="n">
        <v>0</v>
      </c>
      <c r="CN124" s="106" t="n"/>
      <c r="CO124" s="106" t="n"/>
      <c r="CP124" s="106" t="n">
        <v>0</v>
      </c>
      <c r="CQ124" s="106" t="n">
        <v>6528558.99</v>
      </c>
      <c r="CR124" s="106" t="n">
        <v>0</v>
      </c>
      <c r="CS124" s="106" t="n">
        <v>0</v>
      </c>
      <c r="CT124" s="106" t="n">
        <v>0</v>
      </c>
      <c r="CU124" s="106" t="n">
        <v>1523817.88</v>
      </c>
      <c r="CV124" s="114" t="n"/>
      <c r="CW124" s="115" t="n">
        <v>320992.0152534</v>
      </c>
      <c r="CZ124" s="104" t="s">
        <v>190</v>
      </c>
      <c r="DA124" s="119" t="n">
        <f aca="false" ca="true" dt2D="false" dtr="false" t="normal">SUBTOTAL(9, DB124:DP124)</f>
        <v>8153307.600000001</v>
      </c>
      <c r="DB124" s="106" t="n">
        <v>0</v>
      </c>
      <c r="DC124" s="106" t="n">
        <v>0</v>
      </c>
      <c r="DD124" s="133" t="n">
        <v>0</v>
      </c>
      <c r="DE124" s="106" t="n">
        <v>0</v>
      </c>
      <c r="DF124" s="106" t="n">
        <v>0</v>
      </c>
      <c r="DG124" s="106" t="n"/>
      <c r="DH124" s="106" t="n"/>
      <c r="DI124" s="106" t="n">
        <v>0</v>
      </c>
      <c r="DJ124" s="106" t="n">
        <v>6528558.99</v>
      </c>
      <c r="DK124" s="106" t="n">
        <v>0</v>
      </c>
      <c r="DL124" s="106" t="n">
        <v>0</v>
      </c>
      <c r="DM124" s="106" t="n">
        <v>0</v>
      </c>
      <c r="DN124" s="106" t="n">
        <v>1523817.88</v>
      </c>
      <c r="DO124" s="114" t="n"/>
      <c r="DP124" s="120" t="n">
        <v>100930.73</v>
      </c>
      <c r="DQ124" s="3" t="n">
        <f aca="false" ca="false" dt2D="false" dtr="false" t="normal">N124-DA124</f>
        <v>0</v>
      </c>
      <c r="DS124" s="9" t="n"/>
    </row>
    <row hidden="false" ht="15" outlineLevel="0" r="125">
      <c r="A125" s="103" t="n">
        <f aca="false" ca="false" dt2D="false" dtr="false" t="normal">+A124+1</f>
        <v>108</v>
      </c>
      <c r="B125" s="104" t="n">
        <f aca="false" ca="false" dt2D="false" dtr="false" t="normal">+B124+1</f>
        <v>108</v>
      </c>
      <c r="C125" s="104" t="s">
        <v>111</v>
      </c>
      <c r="D125" s="104" t="s">
        <v>191</v>
      </c>
      <c r="E125" s="105" t="n">
        <v>1974</v>
      </c>
      <c r="F125" s="105" t="n">
        <v>2013</v>
      </c>
      <c r="G125" s="105" t="s">
        <v>68</v>
      </c>
      <c r="H125" s="105" t="n">
        <v>4</v>
      </c>
      <c r="I125" s="105" t="n">
        <v>6</v>
      </c>
      <c r="J125" s="106" t="n">
        <v>5563.5</v>
      </c>
      <c r="K125" s="106" t="n">
        <v>4878.9</v>
      </c>
      <c r="L125" s="106" t="n">
        <v>141.3</v>
      </c>
      <c r="M125" s="107" t="n">
        <v>202</v>
      </c>
      <c r="N125" s="108" t="n">
        <f aca="false" ca="false" dt2D="false" dtr="false" t="normal">SUM(P125:T125)</f>
        <v>7908665.25</v>
      </c>
      <c r="O125" s="106" t="n"/>
      <c r="P125" s="13" t="n"/>
      <c r="Q125" s="114" t="n"/>
      <c r="R125" s="114" t="n">
        <v>2007826.6</v>
      </c>
      <c r="S125" s="114" t="n">
        <v>5900838.65</v>
      </c>
      <c r="T125" s="106" t="n"/>
      <c r="U125" s="114" t="n">
        <v>1618.54929313733</v>
      </c>
      <c r="V125" s="114" t="n">
        <v>1618.54929313733</v>
      </c>
      <c r="W125" s="110" t="n">
        <v>2022</v>
      </c>
      <c r="X125" s="9" t="e">
        <f aca="false" ca="false" dt2D="false" dtr="false" t="normal">+#REF!-'[9]Приложение №1'!$P1493</f>
        <v>#REF!</v>
      </c>
      <c r="Z125" s="113" t="n">
        <f aca="false" ca="false" dt2D="false" dtr="false" t="normal">SUM(AA125:AO125)</f>
        <v>16283600.8</v>
      </c>
      <c r="AA125" s="106" t="n">
        <v>0</v>
      </c>
      <c r="AB125" s="106" t="n">
        <v>0</v>
      </c>
      <c r="AC125" s="106" t="n">
        <v>0</v>
      </c>
      <c r="AD125" s="106" t="n">
        <v>0</v>
      </c>
      <c r="AE125" s="106" t="n">
        <v>0</v>
      </c>
      <c r="AF125" s="106" t="n"/>
      <c r="AG125" s="106" t="n">
        <v>0</v>
      </c>
      <c r="AH125" s="106" t="n">
        <v>0</v>
      </c>
      <c r="AI125" s="106" t="n">
        <v>14341618.568592</v>
      </c>
      <c r="AJ125" s="106" t="n">
        <v>0</v>
      </c>
      <c r="AK125" s="106" t="n">
        <v>0</v>
      </c>
      <c r="AL125" s="106" t="n">
        <v>0</v>
      </c>
      <c r="AM125" s="106" t="n">
        <v>1465524.072</v>
      </c>
      <c r="AN125" s="114" t="n">
        <v>162836.008</v>
      </c>
      <c r="AO125" s="115" t="n">
        <v>313622.151408</v>
      </c>
      <c r="AP125" s="112" t="n">
        <f aca="false" ca="false" dt2D="false" dtr="false" t="normal">+N125-'Приложение №2'!E125</f>
        <v>0</v>
      </c>
      <c r="AQ125" s="1" t="n">
        <v>2384583.81</v>
      </c>
      <c r="AR125" s="3" t="n">
        <f aca="false" ca="false" dt2D="false" dtr="false" t="normal">+(K125*10+L125*20)*12*0.85</f>
        <v>526473</v>
      </c>
      <c r="AS125" s="3" t="n">
        <f aca="false" ca="false" dt2D="false" dtr="false" t="normal">+(K125*10+L125*20)*12*30</f>
        <v>18581400</v>
      </c>
      <c r="AT125" s="9" t="n">
        <f aca="false" ca="false" dt2D="false" dtr="false" t="normal">+S125-AS125</f>
        <v>-12680561.35</v>
      </c>
      <c r="AW125" s="113" t="n">
        <f aca="false" ca="true" dt2D="false" dtr="false" t="normal">SUBTOTAL(9, AX125:BL125)</f>
        <v>8125441.161408</v>
      </c>
      <c r="AX125" s="106" t="n">
        <v>0</v>
      </c>
      <c r="AY125" s="106" t="n">
        <v>0</v>
      </c>
      <c r="AZ125" s="106" t="n">
        <v>0</v>
      </c>
      <c r="BA125" s="106" t="n">
        <v>0</v>
      </c>
      <c r="BB125" s="106" t="n">
        <v>0</v>
      </c>
      <c r="BC125" s="106" t="n"/>
      <c r="BD125" s="106" t="n"/>
      <c r="BE125" s="106" t="n">
        <v>0</v>
      </c>
      <c r="BF125" s="106" t="n">
        <v>6264359.76</v>
      </c>
      <c r="BG125" s="106" t="n">
        <v>0</v>
      </c>
      <c r="BH125" s="106" t="n">
        <v>0</v>
      </c>
      <c r="BI125" s="106" t="n">
        <v>0</v>
      </c>
      <c r="BJ125" s="106" t="n">
        <v>1547459.25</v>
      </c>
      <c r="BK125" s="114" t="n"/>
      <c r="BL125" s="115" t="n">
        <v>313622.151408</v>
      </c>
      <c r="BM125" s="14" t="n">
        <f aca="false" ca="true" dt2D="false" dtr="false" t="normal">SUBTOTAL(9, BN125:CB125)</f>
        <v>8125441.161408</v>
      </c>
      <c r="BN125" s="106" t="n">
        <v>0</v>
      </c>
      <c r="BO125" s="106" t="n">
        <v>0</v>
      </c>
      <c r="BP125" s="133" t="n">
        <v>0</v>
      </c>
      <c r="BQ125" s="106" t="n">
        <v>0</v>
      </c>
      <c r="BR125" s="106" t="n">
        <v>0</v>
      </c>
      <c r="BS125" s="106" t="n"/>
      <c r="BT125" s="106" t="n"/>
      <c r="BU125" s="106" t="n">
        <v>0</v>
      </c>
      <c r="BV125" s="106" t="n">
        <v>6264359.76</v>
      </c>
      <c r="BW125" s="106" t="n">
        <v>0</v>
      </c>
      <c r="BX125" s="106" t="n">
        <v>0</v>
      </c>
      <c r="BY125" s="106" t="n">
        <v>0</v>
      </c>
      <c r="BZ125" s="106" t="n">
        <v>1547459.25</v>
      </c>
      <c r="CA125" s="114" t="n"/>
      <c r="CB125" s="115" t="n">
        <v>313622.151408</v>
      </c>
      <c r="CD125" s="116" t="n">
        <f aca="false" ca="false" dt2D="false" dtr="false" t="normal">+CD124+1</f>
        <v>108</v>
      </c>
      <c r="CE125" s="117" t="n">
        <f aca="false" ca="false" dt2D="false" dtr="false" t="normal">+CE124+1</f>
        <v>108</v>
      </c>
      <c r="CF125" s="104" t="s">
        <v>111</v>
      </c>
      <c r="CG125" s="104" t="s">
        <v>191</v>
      </c>
      <c r="CH125" s="118" t="n">
        <f aca="false" ca="true" dt2D="false" dtr="false" t="normal">SUBTOTAL(9, CI125:CW125)</f>
        <v>8125441.161408</v>
      </c>
      <c r="CI125" s="106" t="n">
        <v>0</v>
      </c>
      <c r="CJ125" s="106" t="n">
        <v>0</v>
      </c>
      <c r="CK125" s="133" t="n">
        <v>0</v>
      </c>
      <c r="CL125" s="106" t="n">
        <v>0</v>
      </c>
      <c r="CM125" s="106" t="n">
        <v>0</v>
      </c>
      <c r="CN125" s="106" t="n"/>
      <c r="CO125" s="106" t="n"/>
      <c r="CP125" s="106" t="n">
        <v>0</v>
      </c>
      <c r="CQ125" s="106" t="n">
        <v>6264359.76</v>
      </c>
      <c r="CR125" s="106" t="n">
        <v>0</v>
      </c>
      <c r="CS125" s="106" t="n">
        <v>0</v>
      </c>
      <c r="CT125" s="106" t="n">
        <v>0</v>
      </c>
      <c r="CU125" s="106" t="n">
        <v>1547459.25</v>
      </c>
      <c r="CV125" s="114" t="n"/>
      <c r="CW125" s="115" t="n">
        <v>313622.151408</v>
      </c>
      <c r="CZ125" s="104" t="s">
        <v>191</v>
      </c>
      <c r="DA125" s="119" t="n">
        <f aca="false" ca="true" dt2D="false" dtr="false" t="normal">SUBTOTAL(9, DB125:DP125)</f>
        <v>7908665.25</v>
      </c>
      <c r="DB125" s="106" t="n">
        <v>0</v>
      </c>
      <c r="DC125" s="106" t="n">
        <v>0</v>
      </c>
      <c r="DD125" s="133" t="n">
        <v>0</v>
      </c>
      <c r="DE125" s="106" t="n">
        <v>0</v>
      </c>
      <c r="DF125" s="106" t="n">
        <v>0</v>
      </c>
      <c r="DG125" s="106" t="n"/>
      <c r="DH125" s="106" t="n"/>
      <c r="DI125" s="106" t="n">
        <v>0</v>
      </c>
      <c r="DJ125" s="106" t="n">
        <v>6264359.76</v>
      </c>
      <c r="DK125" s="106" t="n">
        <v>0</v>
      </c>
      <c r="DL125" s="106" t="n">
        <v>0</v>
      </c>
      <c r="DM125" s="106" t="n">
        <v>0</v>
      </c>
      <c r="DN125" s="106" t="n">
        <v>1547459.25</v>
      </c>
      <c r="DO125" s="114" t="n"/>
      <c r="DP125" s="120" t="n">
        <v>96846.24</v>
      </c>
      <c r="DQ125" s="3" t="n">
        <f aca="false" ca="false" dt2D="false" dtr="false" t="normal">N125-DA125</f>
        <v>0</v>
      </c>
      <c r="DS125" s="9" t="n"/>
    </row>
    <row hidden="false" ht="15" outlineLevel="0" r="126">
      <c r="A126" s="103" t="n">
        <f aca="false" ca="false" dt2D="false" dtr="false" t="normal">+A125+1</f>
        <v>109</v>
      </c>
      <c r="B126" s="104" t="n">
        <f aca="false" ca="false" dt2D="false" dtr="false" t="normal">+B125+1</f>
        <v>109</v>
      </c>
      <c r="C126" s="104" t="s">
        <v>111</v>
      </c>
      <c r="D126" s="104" t="s">
        <v>192</v>
      </c>
      <c r="E126" s="105" t="n">
        <v>1968</v>
      </c>
      <c r="F126" s="105" t="n">
        <v>2013</v>
      </c>
      <c r="G126" s="105" t="s">
        <v>68</v>
      </c>
      <c r="H126" s="105" t="n">
        <v>4</v>
      </c>
      <c r="I126" s="105" t="n">
        <v>4</v>
      </c>
      <c r="J126" s="106" t="n">
        <v>1991.8</v>
      </c>
      <c r="K126" s="106" t="n">
        <v>1480.5</v>
      </c>
      <c r="L126" s="106" t="n">
        <v>509.2</v>
      </c>
      <c r="M126" s="107" t="n">
        <v>80</v>
      </c>
      <c r="N126" s="108" t="n">
        <f aca="false" ca="false" dt2D="false" dtr="false" t="normal">SUM(P126:T126)</f>
        <v>435458</v>
      </c>
      <c r="O126" s="106" t="n"/>
      <c r="P126" s="114" t="n">
        <v>185262.05</v>
      </c>
      <c r="Q126" s="114" t="n"/>
      <c r="R126" s="114" t="n">
        <v>250195.95</v>
      </c>
      <c r="S126" s="114" t="n">
        <v>0</v>
      </c>
      <c r="T126" s="106" t="n">
        <v>0</v>
      </c>
      <c r="U126" s="114" t="n">
        <v>218.85610896115</v>
      </c>
      <c r="V126" s="114" t="n">
        <v>218.85610896115</v>
      </c>
      <c r="W126" s="110" t="n">
        <v>2022</v>
      </c>
      <c r="X126" s="9" t="e">
        <f aca="false" ca="false" dt2D="false" dtr="false" t="normal">+#REF!-'[9]Приложение №1'!$P716</f>
        <v>#REF!</v>
      </c>
      <c r="Z126" s="113" t="n">
        <f aca="false" ca="false" dt2D="false" dtr="false" t="normal">SUM(AA126:AO126)</f>
        <v>670440.25</v>
      </c>
      <c r="AA126" s="106" t="n">
        <v>0</v>
      </c>
      <c r="AB126" s="106" t="n">
        <v>0</v>
      </c>
      <c r="AC126" s="106" t="n">
        <v>0</v>
      </c>
      <c r="AD126" s="106" t="n">
        <v>0</v>
      </c>
      <c r="AE126" s="106" t="n">
        <v>475262.77</v>
      </c>
      <c r="AF126" s="106" t="n"/>
      <c r="AG126" s="106" t="n">
        <v>0</v>
      </c>
      <c r="AH126" s="106" t="n">
        <v>0</v>
      </c>
      <c r="AI126" s="106" t="n">
        <v>0</v>
      </c>
      <c r="AJ126" s="106" t="n">
        <v>0</v>
      </c>
      <c r="AK126" s="106" t="n">
        <v>0</v>
      </c>
      <c r="AL126" s="106" t="n">
        <v>0</v>
      </c>
      <c r="AM126" s="106" t="n">
        <v>178933.79</v>
      </c>
      <c r="AN126" s="114" t="n">
        <v>10000</v>
      </c>
      <c r="AO126" s="115" t="n">
        <v>6243.69</v>
      </c>
      <c r="AP126" s="112" t="n">
        <f aca="false" ca="false" dt2D="false" dtr="false" t="normal">+N126-'Приложение №2'!E126</f>
        <v>0</v>
      </c>
      <c r="AQ126" s="1" t="n">
        <v>1179424.97</v>
      </c>
      <c r="AR126" s="3" t="n">
        <f aca="false" ca="false" dt2D="false" dtr="false" t="normal">+(K126*10+L126*20)*12*0.85</f>
        <v>254887.8</v>
      </c>
      <c r="AS126" s="3" t="n">
        <f aca="false" ca="false" dt2D="false" dtr="false" t="normal">+(K126*10+L126*20)*12*30</f>
        <v>8996040</v>
      </c>
      <c r="AT126" s="9" t="n">
        <f aca="false" ca="false" dt2D="false" dtr="false" t="normal">+S126-AS126</f>
        <v>-8996040</v>
      </c>
      <c r="AW126" s="113" t="n">
        <f aca="false" ca="true" dt2D="false" dtr="false" t="normal">SUBTOTAL(9, AX126:BL126)</f>
        <v>435458</v>
      </c>
      <c r="AX126" s="106" t="n">
        <v>0</v>
      </c>
      <c r="AY126" s="106" t="n">
        <v>0</v>
      </c>
      <c r="AZ126" s="106" t="n">
        <v>0</v>
      </c>
      <c r="BA126" s="106" t="n">
        <v>0</v>
      </c>
      <c r="BB126" s="106" t="n">
        <v>435458</v>
      </c>
      <c r="BC126" s="106" t="n"/>
      <c r="BD126" s="106" t="n"/>
      <c r="BE126" s="106" t="n">
        <v>0</v>
      </c>
      <c r="BF126" s="106" t="n">
        <v>0</v>
      </c>
      <c r="BG126" s="106" t="n">
        <v>0</v>
      </c>
      <c r="BH126" s="106" t="n">
        <v>0</v>
      </c>
      <c r="BI126" s="106" t="n">
        <v>0</v>
      </c>
      <c r="BJ126" s="106" t="n"/>
      <c r="BK126" s="114" t="n"/>
      <c r="BL126" s="115" t="n"/>
      <c r="BM126" s="14" t="n">
        <f aca="false" ca="true" dt2D="false" dtr="false" t="normal">SUBTOTAL(9, BN126:CB126)</f>
        <v>435458</v>
      </c>
      <c r="BN126" s="106" t="n">
        <v>0</v>
      </c>
      <c r="BO126" s="106" t="n">
        <v>0</v>
      </c>
      <c r="BP126" s="133" t="n">
        <v>0</v>
      </c>
      <c r="BQ126" s="106" t="n">
        <v>0</v>
      </c>
      <c r="BR126" s="106" t="n">
        <v>435458</v>
      </c>
      <c r="BS126" s="106" t="n"/>
      <c r="BT126" s="106" t="n"/>
      <c r="BU126" s="106" t="n">
        <v>0</v>
      </c>
      <c r="BV126" s="106" t="n">
        <v>0</v>
      </c>
      <c r="BW126" s="106" t="n">
        <v>0</v>
      </c>
      <c r="BX126" s="106" t="n">
        <v>0</v>
      </c>
      <c r="BY126" s="106" t="n">
        <v>0</v>
      </c>
      <c r="BZ126" s="106" t="n"/>
      <c r="CA126" s="114" t="n"/>
      <c r="CB126" s="115" t="n"/>
      <c r="CD126" s="116" t="n">
        <f aca="false" ca="false" dt2D="false" dtr="false" t="normal">+CD125+1</f>
        <v>109</v>
      </c>
      <c r="CE126" s="117" t="n">
        <f aca="false" ca="false" dt2D="false" dtr="false" t="normal">+CE125+1</f>
        <v>109</v>
      </c>
      <c r="CF126" s="104" t="s">
        <v>111</v>
      </c>
      <c r="CG126" s="104" t="s">
        <v>192</v>
      </c>
      <c r="CH126" s="118" t="n">
        <f aca="false" ca="true" dt2D="false" dtr="false" t="normal">SUBTOTAL(9, CI126:CW126)</f>
        <v>435458</v>
      </c>
      <c r="CI126" s="106" t="n">
        <v>0</v>
      </c>
      <c r="CJ126" s="106" t="n">
        <v>0</v>
      </c>
      <c r="CK126" s="133" t="n">
        <v>0</v>
      </c>
      <c r="CL126" s="106" t="n">
        <v>0</v>
      </c>
      <c r="CM126" s="106" t="n">
        <v>435458</v>
      </c>
      <c r="CN126" s="106" t="n"/>
      <c r="CO126" s="106" t="n"/>
      <c r="CP126" s="106" t="n">
        <v>0</v>
      </c>
      <c r="CQ126" s="106" t="n">
        <v>0</v>
      </c>
      <c r="CR126" s="106" t="n">
        <v>0</v>
      </c>
      <c r="CS126" s="106" t="n">
        <v>0</v>
      </c>
      <c r="CT126" s="106" t="n">
        <v>0</v>
      </c>
      <c r="CU126" s="106" t="n"/>
      <c r="CV126" s="114" t="n"/>
      <c r="CW126" s="115" t="n"/>
      <c r="CZ126" s="104" t="s">
        <v>192</v>
      </c>
      <c r="DA126" s="119" t="n">
        <f aca="false" ca="true" dt2D="false" dtr="false" t="normal">SUBTOTAL(9, DB126:DP126)</f>
        <v>435458</v>
      </c>
      <c r="DB126" s="106" t="n">
        <v>0</v>
      </c>
      <c r="DC126" s="106" t="n">
        <v>0</v>
      </c>
      <c r="DD126" s="133" t="n">
        <v>0</v>
      </c>
      <c r="DE126" s="106" t="n">
        <v>0</v>
      </c>
      <c r="DF126" s="106" t="n">
        <v>435458</v>
      </c>
      <c r="DG126" s="106" t="n"/>
      <c r="DH126" s="106" t="n"/>
      <c r="DI126" s="106" t="n">
        <v>0</v>
      </c>
      <c r="DJ126" s="106" t="n">
        <v>0</v>
      </c>
      <c r="DK126" s="106" t="n">
        <v>0</v>
      </c>
      <c r="DL126" s="106" t="n">
        <v>0</v>
      </c>
      <c r="DM126" s="106" t="n">
        <v>0</v>
      </c>
      <c r="DN126" s="106" t="n"/>
      <c r="DO126" s="114" t="n"/>
      <c r="DP126" s="115" t="n"/>
      <c r="DQ126" s="3" t="n">
        <f aca="false" ca="false" dt2D="false" dtr="false" t="normal">N126-DA126</f>
        <v>0</v>
      </c>
      <c r="DS126" s="9" t="n"/>
    </row>
    <row customFormat="true" hidden="false" ht="15" outlineLevel="0" r="127" s="129">
      <c r="A127" s="103" t="n">
        <f aca="false" ca="false" dt2D="false" dtr="false" t="normal">+A126+1</f>
        <v>110</v>
      </c>
      <c r="B127" s="104" t="n">
        <f aca="false" ca="false" dt2D="false" dtr="false" t="normal">+B126+1</f>
        <v>110</v>
      </c>
      <c r="C127" s="104" t="s">
        <v>111</v>
      </c>
      <c r="D127" s="104" t="s">
        <v>193</v>
      </c>
      <c r="E127" s="105" t="n">
        <v>1973</v>
      </c>
      <c r="F127" s="105" t="n"/>
      <c r="G127" s="105" t="s">
        <v>68</v>
      </c>
      <c r="H127" s="105" t="n">
        <v>4</v>
      </c>
      <c r="I127" s="105" t="n">
        <v>4</v>
      </c>
      <c r="J127" s="106" t="n">
        <v>2965.1</v>
      </c>
      <c r="K127" s="106" t="n">
        <v>2671.7</v>
      </c>
      <c r="L127" s="106" t="n">
        <v>61.9</v>
      </c>
      <c r="M127" s="107" t="n">
        <v>112</v>
      </c>
      <c r="N127" s="108" t="n">
        <f aca="false" ca="false" dt2D="false" dtr="false" t="normal">SUM(P127:T127)</f>
        <v>1097504.5</v>
      </c>
      <c r="O127" s="106" t="n"/>
      <c r="P127" s="114" t="n"/>
      <c r="Q127" s="114" t="n"/>
      <c r="R127" s="114" t="n">
        <v>1097504.5</v>
      </c>
      <c r="S127" s="114" t="n">
        <v>0</v>
      </c>
      <c r="T127" s="106" t="n">
        <v>0</v>
      </c>
      <c r="U127" s="114" t="n">
        <v>401.486867134914</v>
      </c>
      <c r="V127" s="114" t="n">
        <v>401.486867134914</v>
      </c>
      <c r="W127" s="110" t="n">
        <v>2022</v>
      </c>
      <c r="AA127" s="130" t="n"/>
      <c r="AD127" s="130" t="n"/>
      <c r="AP127" s="112" t="n">
        <f aca="false" ca="false" dt2D="false" dtr="false" t="normal">+N127-'Приложение №2'!E127</f>
        <v>0</v>
      </c>
      <c r="AQ127" s="135" t="n">
        <v>1534449.43</v>
      </c>
      <c r="AR127" s="3" t="n">
        <f aca="false" ca="false" dt2D="false" dtr="false" t="normal">+(K127*10+L127*20)*12*0.85</f>
        <v>285141</v>
      </c>
      <c r="AS127" s="3" t="n">
        <f aca="false" ca="false" dt2D="false" dtr="false" t="normal">+(K127*10+L127*20)*12*30</f>
        <v>10063800</v>
      </c>
      <c r="AT127" s="9" t="n">
        <f aca="false" ca="false" dt2D="false" dtr="false" t="normal">+S127-AS127</f>
        <v>-10063800</v>
      </c>
      <c r="AW127" s="113" t="n">
        <f aca="false" ca="true" dt2D="false" dtr="false" t="normal">SUBTOTAL(9, AX127:BL127)</f>
        <v>1097504.5</v>
      </c>
      <c r="AX127" s="106" t="n">
        <v>0</v>
      </c>
      <c r="AY127" s="106" t="n"/>
      <c r="AZ127" s="106" t="n">
        <v>0</v>
      </c>
      <c r="BA127" s="1" t="n"/>
      <c r="BB127" s="106" t="n">
        <v>1097504.5</v>
      </c>
      <c r="BC127" s="106" t="n"/>
      <c r="BD127" s="106" t="n"/>
      <c r="BE127" s="106" t="n">
        <v>0</v>
      </c>
      <c r="BF127" s="106" t="n">
        <v>0</v>
      </c>
      <c r="BG127" s="106" t="n">
        <v>0</v>
      </c>
      <c r="BH127" s="106" t="n">
        <v>0</v>
      </c>
      <c r="BI127" s="106" t="n">
        <v>0</v>
      </c>
      <c r="BJ127" s="106" t="n"/>
      <c r="BK127" s="106" t="n"/>
      <c r="BL127" s="115" t="n"/>
      <c r="BM127" s="14" t="n">
        <f aca="false" ca="true" dt2D="false" dtr="false" t="normal">SUBTOTAL(9, BN127:CB127)</f>
        <v>1097504.5</v>
      </c>
      <c r="BN127" s="106" t="n">
        <v>0</v>
      </c>
      <c r="BO127" s="106" t="n"/>
      <c r="BP127" s="133" t="n">
        <v>0</v>
      </c>
      <c r="BQ127" s="1" t="n"/>
      <c r="BR127" s="106" t="n">
        <v>1097504.5</v>
      </c>
      <c r="BS127" s="106" t="n"/>
      <c r="BT127" s="106" t="n"/>
      <c r="BU127" s="106" t="n">
        <v>0</v>
      </c>
      <c r="BV127" s="106" t="n">
        <v>0</v>
      </c>
      <c r="BW127" s="106" t="n">
        <v>0</v>
      </c>
      <c r="BX127" s="106" t="n">
        <v>0</v>
      </c>
      <c r="BY127" s="106" t="n">
        <v>0</v>
      </c>
      <c r="BZ127" s="106" t="n"/>
      <c r="CA127" s="106" t="n"/>
      <c r="CB127" s="115" t="n"/>
      <c r="CD127" s="116" t="n">
        <f aca="false" ca="false" dt2D="false" dtr="false" t="normal">+CD126+1</f>
        <v>110</v>
      </c>
      <c r="CE127" s="117" t="n">
        <f aca="false" ca="false" dt2D="false" dtr="false" t="normal">+CE126+1</f>
        <v>110</v>
      </c>
      <c r="CF127" s="104" t="s">
        <v>111</v>
      </c>
      <c r="CG127" s="104" t="s">
        <v>193</v>
      </c>
      <c r="CH127" s="118" t="n">
        <f aca="false" ca="true" dt2D="false" dtr="false" t="normal">SUBTOTAL(9, CI127:CW127)</f>
        <v>1097504.5</v>
      </c>
      <c r="CI127" s="106" t="n">
        <v>0</v>
      </c>
      <c r="CJ127" s="106" t="n"/>
      <c r="CK127" s="133" t="n">
        <v>0</v>
      </c>
      <c r="CL127" s="1" t="n"/>
      <c r="CM127" s="106" t="n">
        <v>1097504.5</v>
      </c>
      <c r="CN127" s="106" t="n"/>
      <c r="CO127" s="106" t="n"/>
      <c r="CP127" s="106" t="n">
        <v>0</v>
      </c>
      <c r="CQ127" s="106" t="n">
        <v>0</v>
      </c>
      <c r="CR127" s="106" t="n">
        <v>0</v>
      </c>
      <c r="CS127" s="106" t="n">
        <v>0</v>
      </c>
      <c r="CT127" s="106" t="n">
        <v>0</v>
      </c>
      <c r="CU127" s="106" t="n"/>
      <c r="CV127" s="106" t="n"/>
      <c r="CW127" s="115" t="n"/>
      <c r="CZ127" s="104" t="s">
        <v>193</v>
      </c>
      <c r="DA127" s="119" t="n">
        <f aca="false" ca="true" dt2D="false" dtr="false" t="normal">SUBTOTAL(9, DB127:DP127)</f>
        <v>1097504.5</v>
      </c>
      <c r="DB127" s="106" t="n">
        <v>0</v>
      </c>
      <c r="DC127" s="106" t="n"/>
      <c r="DD127" s="133" t="n">
        <v>0</v>
      </c>
      <c r="DE127" s="1" t="n"/>
      <c r="DF127" s="106" t="n">
        <v>1097504.5</v>
      </c>
      <c r="DG127" s="106" t="n"/>
      <c r="DH127" s="106" t="n"/>
      <c r="DI127" s="106" t="n">
        <v>0</v>
      </c>
      <c r="DJ127" s="106" t="n">
        <v>0</v>
      </c>
      <c r="DK127" s="106" t="n">
        <v>0</v>
      </c>
      <c r="DL127" s="106" t="n">
        <v>0</v>
      </c>
      <c r="DM127" s="106" t="n">
        <v>0</v>
      </c>
      <c r="DN127" s="106" t="n"/>
      <c r="DO127" s="106" t="n"/>
      <c r="DP127" s="115" t="n"/>
      <c r="DQ127" s="3" t="n">
        <f aca="false" ca="false" dt2D="false" dtr="false" t="normal">N127-DA127</f>
        <v>0</v>
      </c>
      <c r="DS127" s="9" t="n"/>
    </row>
    <row hidden="false" ht="15" outlineLevel="0" r="128">
      <c r="A128" s="103" t="n">
        <f aca="false" ca="false" dt2D="false" dtr="false" t="normal">+A127+1</f>
        <v>111</v>
      </c>
      <c r="B128" s="104" t="n">
        <f aca="false" ca="false" dt2D="false" dtr="false" t="normal">+B127+1</f>
        <v>111</v>
      </c>
      <c r="C128" s="104" t="s">
        <v>111</v>
      </c>
      <c r="D128" s="104" t="s">
        <v>194</v>
      </c>
      <c r="E128" s="105" t="n">
        <v>1977</v>
      </c>
      <c r="F128" s="105" t="n">
        <v>2013</v>
      </c>
      <c r="G128" s="105" t="s">
        <v>68</v>
      </c>
      <c r="H128" s="105" t="n">
        <v>9</v>
      </c>
      <c r="I128" s="105" t="n">
        <v>1</v>
      </c>
      <c r="J128" s="106" t="n">
        <v>2365.99</v>
      </c>
      <c r="K128" s="106" t="n">
        <v>1903.5</v>
      </c>
      <c r="L128" s="106" t="n">
        <v>136</v>
      </c>
      <c r="M128" s="107" t="n">
        <v>70</v>
      </c>
      <c r="N128" s="108" t="n">
        <f aca="false" ca="false" dt2D="false" dtr="false" t="normal">SUM(P128:T128)</f>
        <v>500183.41</v>
      </c>
      <c r="O128" s="106" t="n"/>
      <c r="P128" s="114" t="n"/>
      <c r="Q128" s="114" t="n"/>
      <c r="R128" s="114" t="n">
        <v>178776.52939558</v>
      </c>
      <c r="S128" s="114" t="n">
        <v>321406.88060442</v>
      </c>
      <c r="T128" s="106" t="n"/>
      <c r="U128" s="114" t="n">
        <v>332.905094089522</v>
      </c>
      <c r="V128" s="114" t="n">
        <v>332.905094089522</v>
      </c>
      <c r="W128" s="110" t="n">
        <v>2022</v>
      </c>
      <c r="X128" s="9" t="e">
        <f aca="false" ca="false" dt2D="false" dtr="false" t="normal">+#REF!-'[9]Приложение №1'!$P721</f>
        <v>#REF!</v>
      </c>
      <c r="Z128" s="113" t="n">
        <f aca="false" ca="false" dt2D="false" dtr="false" t="normal">SUM(AA128:AO128)</f>
        <v>26854433.35999996</v>
      </c>
      <c r="AA128" s="106" t="n">
        <v>3681294.56455488</v>
      </c>
      <c r="AB128" s="106" t="n">
        <v>2450899.70770344</v>
      </c>
      <c r="AC128" s="106" t="n">
        <v>0</v>
      </c>
      <c r="AD128" s="106" t="n">
        <v>1346040.42000708</v>
      </c>
      <c r="AE128" s="106" t="n">
        <v>491527.90003842</v>
      </c>
      <c r="AF128" s="106" t="n"/>
      <c r="AG128" s="106" t="n">
        <v>205504.3080006</v>
      </c>
      <c r="AH128" s="106" t="n">
        <v>0</v>
      </c>
      <c r="AI128" s="106" t="n">
        <v>0</v>
      </c>
      <c r="AJ128" s="106" t="n">
        <v>0</v>
      </c>
      <c r="AK128" s="106" t="n">
        <v>15124062.9163247</v>
      </c>
      <c r="AL128" s="106" t="n">
        <v>0</v>
      </c>
      <c r="AM128" s="106" t="n">
        <v>2777050.0558</v>
      </c>
      <c r="AN128" s="114" t="n">
        <v>268544.3336</v>
      </c>
      <c r="AO128" s="115" t="n">
        <v>509509.15397084</v>
      </c>
      <c r="AP128" s="112" t="n">
        <f aca="false" ca="false" dt2D="false" dtr="false" t="normal">+N128-'Приложение №2'!E128</f>
        <v>0</v>
      </c>
      <c r="AQ128" s="1" t="n">
        <f aca="false" ca="false" dt2D="false" dtr="false" t="normal">1333569.91-680973.2372-75663.69</f>
        <v>576932.9827999999</v>
      </c>
      <c r="AR128" s="3" t="n">
        <f aca="false" ca="false" dt2D="false" dtr="false" t="normal">+(K128*13.29+L128*22.52)*12*0.85</f>
        <v>289274.397</v>
      </c>
      <c r="AS128" s="3" t="n">
        <f aca="false" ca="false" dt2D="false" dtr="false" t="normal">+(K128*13.29+L128*22.52)*12*30-6485.14-39928.49</f>
        <v>10163270.969999999</v>
      </c>
      <c r="AT128" s="9" t="n">
        <f aca="false" ca="false" dt2D="false" dtr="false" t="normal">+S128-AS128</f>
        <v>-9841864.089395579</v>
      </c>
      <c r="AW128" s="113" t="n">
        <f aca="false" ca="true" dt2D="false" dtr="false" t="normal">SUBTOTAL(9, AX128:BL128)</f>
        <v>678959.93939558</v>
      </c>
      <c r="AX128" s="106" t="n"/>
      <c r="AY128" s="106" t="n"/>
      <c r="AZ128" s="106" t="n"/>
      <c r="BA128" s="106" t="n"/>
      <c r="BB128" s="106" t="n">
        <v>500183.41</v>
      </c>
      <c r="BC128" s="106" t="n"/>
      <c r="BD128" s="106" t="n"/>
      <c r="BE128" s="106" t="n">
        <v>0</v>
      </c>
      <c r="BF128" s="106" t="n">
        <v>0</v>
      </c>
      <c r="BG128" s="106" t="n">
        <v>0</v>
      </c>
      <c r="BH128" s="106" t="n"/>
      <c r="BI128" s="106" t="n">
        <v>0</v>
      </c>
      <c r="BJ128" s="106" t="n"/>
      <c r="BK128" s="114" t="n"/>
      <c r="BL128" s="115" t="n">
        <v>178776.52939558</v>
      </c>
      <c r="BM128" s="14" t="n">
        <f aca="false" ca="true" dt2D="false" dtr="false" t="normal">SUBTOTAL(9, BN128:CB128)</f>
        <v>678959.93939558</v>
      </c>
      <c r="BN128" s="106" t="n"/>
      <c r="BO128" s="106" t="n"/>
      <c r="BP128" s="133" t="n"/>
      <c r="BQ128" s="106" t="n"/>
      <c r="BR128" s="106" t="n">
        <v>500183.41</v>
      </c>
      <c r="BS128" s="106" t="n"/>
      <c r="BT128" s="106" t="n"/>
      <c r="BU128" s="106" t="n">
        <v>0</v>
      </c>
      <c r="BV128" s="106" t="n">
        <v>0</v>
      </c>
      <c r="BW128" s="106" t="n">
        <v>0</v>
      </c>
      <c r="BX128" s="106" t="n"/>
      <c r="BY128" s="106" t="n">
        <v>0</v>
      </c>
      <c r="BZ128" s="106" t="n"/>
      <c r="CA128" s="114" t="n"/>
      <c r="CB128" s="115" t="n">
        <v>178776.52939558</v>
      </c>
      <c r="CD128" s="116" t="n">
        <f aca="false" ca="false" dt2D="false" dtr="false" t="normal">+CD127+1</f>
        <v>111</v>
      </c>
      <c r="CE128" s="117" t="n">
        <f aca="false" ca="false" dt2D="false" dtr="false" t="normal">+CE127+1</f>
        <v>111</v>
      </c>
      <c r="CF128" s="104" t="s">
        <v>111</v>
      </c>
      <c r="CG128" s="104" t="s">
        <v>194</v>
      </c>
      <c r="CH128" s="118" t="n">
        <f aca="false" ca="true" dt2D="false" dtr="false" t="normal">SUBTOTAL(9, CI128:CW128)</f>
        <v>678959.93939558</v>
      </c>
      <c r="CI128" s="106" t="n"/>
      <c r="CJ128" s="106" t="n"/>
      <c r="CK128" s="133" t="n"/>
      <c r="CL128" s="106" t="n"/>
      <c r="CM128" s="106" t="n">
        <v>500183.41</v>
      </c>
      <c r="CN128" s="106" t="n"/>
      <c r="CO128" s="106" t="n"/>
      <c r="CP128" s="106" t="n">
        <v>0</v>
      </c>
      <c r="CQ128" s="106" t="n">
        <v>0</v>
      </c>
      <c r="CR128" s="106" t="n">
        <v>0</v>
      </c>
      <c r="CS128" s="106" t="n"/>
      <c r="CT128" s="106" t="n">
        <v>0</v>
      </c>
      <c r="CU128" s="106" t="n"/>
      <c r="CV128" s="114" t="n"/>
      <c r="CW128" s="115" t="n">
        <v>178776.52939558</v>
      </c>
      <c r="CZ128" s="104" t="s">
        <v>194</v>
      </c>
      <c r="DA128" s="119" t="n">
        <f aca="false" ca="true" dt2D="false" dtr="false" t="normal">SUBTOTAL(9, DB128:DP128)</f>
        <v>500183.41</v>
      </c>
      <c r="DB128" s="106" t="n"/>
      <c r="DC128" s="106" t="n"/>
      <c r="DD128" s="133" t="n"/>
      <c r="DE128" s="106" t="n"/>
      <c r="DF128" s="106" t="n">
        <v>500183.41</v>
      </c>
      <c r="DG128" s="106" t="n"/>
      <c r="DH128" s="106" t="n"/>
      <c r="DI128" s="106" t="n">
        <v>0</v>
      </c>
      <c r="DJ128" s="106" t="n">
        <v>0</v>
      </c>
      <c r="DK128" s="106" t="n">
        <v>0</v>
      </c>
      <c r="DL128" s="106" t="n"/>
      <c r="DM128" s="106" t="n">
        <v>0</v>
      </c>
      <c r="DN128" s="106" t="n"/>
      <c r="DO128" s="114" t="n"/>
      <c r="DP128" s="122" t="n"/>
      <c r="DQ128" s="3" t="n">
        <f aca="false" ca="false" dt2D="false" dtr="false" t="normal">N128-DA128</f>
        <v>0</v>
      </c>
      <c r="DS128" s="9" t="n"/>
    </row>
    <row hidden="false" ht="15" outlineLevel="0" r="129">
      <c r="A129" s="103" t="n">
        <f aca="false" ca="false" dt2D="false" dtr="false" t="normal">+A128+1</f>
        <v>112</v>
      </c>
      <c r="B129" s="104" t="n">
        <f aca="false" ca="false" dt2D="false" dtr="false" t="normal">+B128+1</f>
        <v>112</v>
      </c>
      <c r="C129" s="104" t="s">
        <v>111</v>
      </c>
      <c r="D129" s="104" t="s">
        <v>195</v>
      </c>
      <c r="E129" s="105" t="n">
        <v>1964</v>
      </c>
      <c r="F129" s="105" t="n">
        <v>2016</v>
      </c>
      <c r="G129" s="105" t="s">
        <v>68</v>
      </c>
      <c r="H129" s="105" t="n">
        <v>4</v>
      </c>
      <c r="I129" s="105" t="n">
        <v>4</v>
      </c>
      <c r="J129" s="106" t="n">
        <v>2622.1</v>
      </c>
      <c r="K129" s="106" t="n">
        <v>2204.5</v>
      </c>
      <c r="L129" s="106" t="n">
        <v>225.2</v>
      </c>
      <c r="M129" s="107" t="n">
        <v>107</v>
      </c>
      <c r="N129" s="108" t="n">
        <f aca="false" ca="false" dt2D="false" dtr="false" t="normal">SUM(P129:T129)</f>
        <v>994811.65</v>
      </c>
      <c r="O129" s="106" t="n"/>
      <c r="P129" s="114" t="n">
        <v>613613.93</v>
      </c>
      <c r="Q129" s="114" t="n"/>
      <c r="R129" s="114" t="n">
        <v>381197.72</v>
      </c>
      <c r="S129" s="114" t="n">
        <v>0</v>
      </c>
      <c r="T129" s="106" t="n"/>
      <c r="U129" s="114" t="n">
        <v>409.438058196485</v>
      </c>
      <c r="V129" s="114" t="n">
        <v>409.438058196485</v>
      </c>
      <c r="W129" s="110" t="n">
        <v>2022</v>
      </c>
      <c r="X129" s="9" t="e">
        <f aca="false" ca="false" dt2D="false" dtr="false" t="normal">+#REF!-'[9]Приложение №1'!$P723</f>
        <v>#REF!</v>
      </c>
      <c r="Z129" s="113" t="n">
        <f aca="false" ca="false" dt2D="false" dtr="false" t="normal">SUM(AA129:AO129)</f>
        <v>1186752.2</v>
      </c>
      <c r="AA129" s="106" t="n">
        <v>0</v>
      </c>
      <c r="AB129" s="106" t="n">
        <v>0</v>
      </c>
      <c r="AC129" s="106" t="n">
        <v>0</v>
      </c>
      <c r="AD129" s="106" t="n">
        <v>0</v>
      </c>
      <c r="AE129" s="106" t="n">
        <v>994811.73</v>
      </c>
      <c r="AF129" s="106" t="n"/>
      <c r="AG129" s="106" t="n">
        <v>0</v>
      </c>
      <c r="AH129" s="106" t="n">
        <v>0</v>
      </c>
      <c r="AI129" s="106" t="n">
        <v>0</v>
      </c>
      <c r="AJ129" s="106" t="n">
        <v>0</v>
      </c>
      <c r="AK129" s="106" t="n">
        <v>0</v>
      </c>
      <c r="AL129" s="106" t="n">
        <v>0</v>
      </c>
      <c r="AM129" s="106" t="n">
        <v>176245.47</v>
      </c>
      <c r="AN129" s="114" t="n">
        <v>10000</v>
      </c>
      <c r="AO129" s="115" t="n">
        <v>5695</v>
      </c>
      <c r="AP129" s="112" t="n">
        <f aca="false" ca="false" dt2D="false" dtr="false" t="normal">+N129-'Приложение №2'!E129</f>
        <v>0</v>
      </c>
      <c r="AQ129" s="1" t="n">
        <v>1171903.85</v>
      </c>
      <c r="AR129" s="3" t="n">
        <f aca="false" ca="false" dt2D="false" dtr="false" t="normal">+(K129*10+L129*20)*12*0.85</f>
        <v>270799.8</v>
      </c>
      <c r="AS129" s="3" t="n">
        <f aca="false" ca="false" dt2D="false" dtr="false" t="normal">+(K129*10+L129*20)*12*30</f>
        <v>9557640</v>
      </c>
      <c r="AT129" s="9" t="n">
        <f aca="false" ca="false" dt2D="false" dtr="false" t="normal">+S129-AS129</f>
        <v>-9557640</v>
      </c>
      <c r="AW129" s="113" t="n">
        <f aca="false" ca="true" dt2D="false" dtr="false" t="normal">SUBTOTAL(9, AX129:BL129)</f>
        <v>994811.65</v>
      </c>
      <c r="AX129" s="106" t="n">
        <v>0</v>
      </c>
      <c r="AY129" s="106" t="n">
        <v>0</v>
      </c>
      <c r="AZ129" s="106" t="n">
        <v>0</v>
      </c>
      <c r="BA129" s="106" t="n">
        <v>0</v>
      </c>
      <c r="BB129" s="106" t="n">
        <v>994811.65</v>
      </c>
      <c r="BC129" s="106" t="n"/>
      <c r="BD129" s="106" t="n"/>
      <c r="BE129" s="106" t="n">
        <v>0</v>
      </c>
      <c r="BF129" s="106" t="n">
        <v>0</v>
      </c>
      <c r="BG129" s="106" t="n">
        <v>0</v>
      </c>
      <c r="BH129" s="106" t="n">
        <v>0</v>
      </c>
      <c r="BI129" s="106" t="n">
        <v>0</v>
      </c>
      <c r="BJ129" s="106" t="n"/>
      <c r="BK129" s="114" t="n"/>
      <c r="BL129" s="115" t="n"/>
      <c r="BM129" s="14" t="n">
        <f aca="false" ca="true" dt2D="false" dtr="false" t="normal">SUBTOTAL(9, BN129:CB129)</f>
        <v>994811.65</v>
      </c>
      <c r="BN129" s="106" t="n">
        <v>0</v>
      </c>
      <c r="BO129" s="106" t="n">
        <v>0</v>
      </c>
      <c r="BP129" s="133" t="n">
        <v>0</v>
      </c>
      <c r="BQ129" s="106" t="n">
        <v>0</v>
      </c>
      <c r="BR129" s="106" t="n">
        <v>994811.65</v>
      </c>
      <c r="BS129" s="106" t="n"/>
      <c r="BT129" s="106" t="n"/>
      <c r="BU129" s="106" t="n">
        <v>0</v>
      </c>
      <c r="BV129" s="106" t="n">
        <v>0</v>
      </c>
      <c r="BW129" s="106" t="n">
        <v>0</v>
      </c>
      <c r="BX129" s="106" t="n">
        <v>0</v>
      </c>
      <c r="BY129" s="106" t="n">
        <v>0</v>
      </c>
      <c r="BZ129" s="106" t="n"/>
      <c r="CA129" s="114" t="n"/>
      <c r="CB129" s="115" t="n"/>
      <c r="CD129" s="116" t="n">
        <f aca="false" ca="false" dt2D="false" dtr="false" t="normal">+CD128+1</f>
        <v>112</v>
      </c>
      <c r="CE129" s="117" t="n">
        <f aca="false" ca="false" dt2D="false" dtr="false" t="normal">+CE128+1</f>
        <v>112</v>
      </c>
      <c r="CF129" s="104" t="s">
        <v>111</v>
      </c>
      <c r="CG129" s="104" t="s">
        <v>195</v>
      </c>
      <c r="CH129" s="118" t="n">
        <f aca="false" ca="true" dt2D="false" dtr="false" t="normal">SUBTOTAL(9, CI129:CW129)</f>
        <v>994811.65</v>
      </c>
      <c r="CI129" s="106" t="n">
        <v>0</v>
      </c>
      <c r="CJ129" s="106" t="n">
        <v>0</v>
      </c>
      <c r="CK129" s="133" t="n">
        <v>0</v>
      </c>
      <c r="CL129" s="106" t="n">
        <v>0</v>
      </c>
      <c r="CM129" s="106" t="n">
        <v>994811.65</v>
      </c>
      <c r="CN129" s="106" t="n"/>
      <c r="CO129" s="106" t="n"/>
      <c r="CP129" s="106" t="n">
        <v>0</v>
      </c>
      <c r="CQ129" s="106" t="n">
        <v>0</v>
      </c>
      <c r="CR129" s="106" t="n">
        <v>0</v>
      </c>
      <c r="CS129" s="106" t="n">
        <v>0</v>
      </c>
      <c r="CT129" s="106" t="n">
        <v>0</v>
      </c>
      <c r="CU129" s="106" t="n"/>
      <c r="CV129" s="114" t="n"/>
      <c r="CW129" s="115" t="n"/>
      <c r="CZ129" s="104" t="s">
        <v>195</v>
      </c>
      <c r="DA129" s="119" t="n">
        <f aca="false" ca="true" dt2D="false" dtr="false" t="normal">SUBTOTAL(9, DB129:DP129)</f>
        <v>994811.65</v>
      </c>
      <c r="DB129" s="106" t="n">
        <v>0</v>
      </c>
      <c r="DC129" s="106" t="n">
        <v>0</v>
      </c>
      <c r="DD129" s="133" t="n">
        <v>0</v>
      </c>
      <c r="DE129" s="106" t="n">
        <v>0</v>
      </c>
      <c r="DF129" s="106" t="n">
        <v>994811.65</v>
      </c>
      <c r="DG129" s="106" t="n"/>
      <c r="DH129" s="106" t="n"/>
      <c r="DI129" s="106" t="n">
        <v>0</v>
      </c>
      <c r="DJ129" s="106" t="n">
        <v>0</v>
      </c>
      <c r="DK129" s="106" t="n">
        <v>0</v>
      </c>
      <c r="DL129" s="106" t="n">
        <v>0</v>
      </c>
      <c r="DM129" s="106" t="n">
        <v>0</v>
      </c>
      <c r="DN129" s="106" t="n"/>
      <c r="DO129" s="114" t="n"/>
      <c r="DP129" s="115" t="n"/>
      <c r="DQ129" s="3" t="n">
        <f aca="false" ca="false" dt2D="false" dtr="false" t="normal">N129-DA129</f>
        <v>0</v>
      </c>
      <c r="DS129" s="9" t="n"/>
    </row>
    <row hidden="false" ht="15" outlineLevel="0" r="130">
      <c r="A130" s="103" t="n">
        <f aca="false" ca="false" dt2D="false" dtr="false" t="normal">+A129+1</f>
        <v>113</v>
      </c>
      <c r="B130" s="104" t="n">
        <f aca="false" ca="false" dt2D="false" dtr="false" t="normal">+B129+1</f>
        <v>113</v>
      </c>
      <c r="C130" s="104" t="s">
        <v>111</v>
      </c>
      <c r="D130" s="104" t="s">
        <v>196</v>
      </c>
      <c r="E130" s="105" t="n">
        <v>1973</v>
      </c>
      <c r="F130" s="105" t="n">
        <v>2013</v>
      </c>
      <c r="G130" s="105" t="s">
        <v>68</v>
      </c>
      <c r="H130" s="105" t="n">
        <v>5</v>
      </c>
      <c r="I130" s="105" t="n">
        <v>8</v>
      </c>
      <c r="J130" s="106" t="n">
        <v>6624.9</v>
      </c>
      <c r="K130" s="106" t="n">
        <v>5826</v>
      </c>
      <c r="L130" s="106" t="n">
        <v>239.3</v>
      </c>
      <c r="M130" s="107" t="n">
        <v>272</v>
      </c>
      <c r="N130" s="108" t="n">
        <f aca="false" ca="false" dt2D="false" dtr="false" t="normal">SUM(P130:T130)</f>
        <v>2131641.82</v>
      </c>
      <c r="O130" s="106" t="n"/>
      <c r="P130" s="114" t="n"/>
      <c r="Q130" s="114" t="n"/>
      <c r="R130" s="114" t="n">
        <v>2131641.82</v>
      </c>
      <c r="S130" s="114" t="n"/>
      <c r="T130" s="106" t="n"/>
      <c r="U130" s="114" t="n">
        <v>362.149661556724</v>
      </c>
      <c r="V130" s="114" t="n">
        <v>362.149661556724</v>
      </c>
      <c r="W130" s="110" t="n">
        <v>2022</v>
      </c>
      <c r="X130" s="9" t="e">
        <f aca="false" ca="false" dt2D="false" dtr="false" t="normal">+#REF!-'[9]Приложение №1'!$P433</f>
        <v>#REF!</v>
      </c>
      <c r="Z130" s="113" t="n">
        <f aca="false" ca="false" dt2D="false" dtr="false" t="normal">SUM(AA130:AO130)</f>
        <v>68280809.79000002</v>
      </c>
      <c r="AA130" s="106" t="n">
        <v>14487752.1113816</v>
      </c>
      <c r="AB130" s="106" t="n">
        <v>5162581.68142248</v>
      </c>
      <c r="AC130" s="106" t="n">
        <v>5393749.15986228</v>
      </c>
      <c r="AD130" s="106" t="n">
        <v>3376828.00437696</v>
      </c>
      <c r="AE130" s="106" t="n">
        <v>2066066.63772516</v>
      </c>
      <c r="AF130" s="106" t="n"/>
      <c r="AG130" s="106" t="n">
        <v>0</v>
      </c>
      <c r="AH130" s="106" t="n">
        <v>0</v>
      </c>
      <c r="AI130" s="106" t="n">
        <v>0</v>
      </c>
      <c r="AJ130" s="106" t="n">
        <v>0</v>
      </c>
      <c r="AK130" s="106" t="n">
        <v>13751557.8881974</v>
      </c>
      <c r="AL130" s="106" t="n">
        <v>14832664.840463</v>
      </c>
      <c r="AM130" s="106" t="n">
        <v>7235033.857</v>
      </c>
      <c r="AN130" s="114" t="n">
        <v>682808.0979</v>
      </c>
      <c r="AO130" s="115" t="n">
        <v>1291767.51167114</v>
      </c>
      <c r="AP130" s="112" t="n">
        <f aca="false" ca="false" dt2D="false" dtr="false" t="normal">+N130-'Приложение №2'!E130</f>
        <v>0</v>
      </c>
      <c r="AQ130" s="1" t="n">
        <f aca="false" ca="false" dt2D="false" dtr="false" t="normal">3058321.2-217412.18</f>
        <v>2840909.02</v>
      </c>
      <c r="AR130" s="3" t="n">
        <f aca="false" ca="false" dt2D="false" dtr="false" t="normal">+(K130*10+L130*20)*12*0.85</f>
        <v>643069.2</v>
      </c>
      <c r="AS130" s="3" t="n">
        <f aca="false" ca="false" dt2D="false" dtr="false" t="normal">+(K130*10+L130*20)*12*30-1066942.82</f>
        <v>21629617.18</v>
      </c>
      <c r="AT130" s="9" t="n">
        <f aca="false" ca="false" dt2D="false" dtr="false" t="normal">+S130-AS130</f>
        <v>-21629617.18</v>
      </c>
      <c r="AW130" s="113" t="n">
        <f aca="false" ca="true" dt2D="false" dtr="false" t="normal">SUBTOTAL(9, AX130:BL130)</f>
        <v>2196546.34224</v>
      </c>
      <c r="AX130" s="106" t="n"/>
      <c r="AY130" s="106" t="n"/>
      <c r="AZ130" s="106" t="n"/>
      <c r="BA130" s="106" t="n"/>
      <c r="BB130" s="106" t="n">
        <v>2104784.68</v>
      </c>
      <c r="BC130" s="106" t="n"/>
      <c r="BD130" s="106" t="n"/>
      <c r="BE130" s="106" t="n">
        <v>0</v>
      </c>
      <c r="BF130" s="106" t="n">
        <v>0</v>
      </c>
      <c r="BG130" s="106" t="n"/>
      <c r="BH130" s="106" t="n"/>
      <c r="BI130" s="106" t="n"/>
      <c r="BJ130" s="106" t="n">
        <v>2857.14</v>
      </c>
      <c r="BK130" s="114" t="n">
        <v>24000</v>
      </c>
      <c r="BL130" s="115" t="n">
        <v>64904.52224</v>
      </c>
      <c r="BM130" s="14" t="n">
        <f aca="false" ca="true" dt2D="false" dtr="false" t="normal">SUBTOTAL(9, BN130:CB130)</f>
        <v>2196546.34224</v>
      </c>
      <c r="BN130" s="106" t="n"/>
      <c r="BO130" s="106" t="n"/>
      <c r="BP130" s="133" t="n"/>
      <c r="BQ130" s="106" t="n"/>
      <c r="BR130" s="106" t="n">
        <v>2104784.68</v>
      </c>
      <c r="BS130" s="106" t="n"/>
      <c r="BT130" s="106" t="n"/>
      <c r="BU130" s="106" t="n">
        <v>0</v>
      </c>
      <c r="BV130" s="106" t="n">
        <v>0</v>
      </c>
      <c r="BW130" s="106" t="n"/>
      <c r="BX130" s="106" t="n"/>
      <c r="BY130" s="106" t="n"/>
      <c r="BZ130" s="106" t="n">
        <v>2857.14</v>
      </c>
      <c r="CA130" s="114" t="n">
        <v>24000</v>
      </c>
      <c r="CB130" s="115" t="n">
        <v>64904.52224</v>
      </c>
      <c r="CD130" s="116" t="n">
        <f aca="false" ca="false" dt2D="false" dtr="false" t="normal">+CD129+1</f>
        <v>113</v>
      </c>
      <c r="CE130" s="117" t="n">
        <f aca="false" ca="false" dt2D="false" dtr="false" t="normal">+CE129+1</f>
        <v>113</v>
      </c>
      <c r="CF130" s="104" t="s">
        <v>111</v>
      </c>
      <c r="CG130" s="104" t="s">
        <v>196</v>
      </c>
      <c r="CH130" s="118" t="n">
        <f aca="false" ca="true" dt2D="false" dtr="false" t="normal">SUBTOTAL(9, CI130:CW130)</f>
        <v>2196546.34224</v>
      </c>
      <c r="CI130" s="106" t="n"/>
      <c r="CJ130" s="106" t="n"/>
      <c r="CK130" s="133" t="n"/>
      <c r="CL130" s="106" t="n"/>
      <c r="CM130" s="106" t="n">
        <v>2104784.68</v>
      </c>
      <c r="CN130" s="106" t="n"/>
      <c r="CO130" s="106" t="n"/>
      <c r="CP130" s="106" t="n">
        <v>0</v>
      </c>
      <c r="CQ130" s="106" t="n">
        <v>0</v>
      </c>
      <c r="CR130" s="106" t="n"/>
      <c r="CS130" s="106" t="n"/>
      <c r="CT130" s="106" t="n"/>
      <c r="CU130" s="106" t="n">
        <v>2857.14</v>
      </c>
      <c r="CV130" s="114" t="n">
        <v>24000</v>
      </c>
      <c r="CW130" s="115" t="n">
        <v>64904.52224</v>
      </c>
      <c r="CZ130" s="104" t="s">
        <v>196</v>
      </c>
      <c r="DA130" s="119" t="n">
        <f aca="false" ca="true" dt2D="false" dtr="false" t="normal">SUBTOTAL(9, DB130:DP130)</f>
        <v>2131641.8200000003</v>
      </c>
      <c r="DB130" s="106" t="n"/>
      <c r="DC130" s="106" t="n"/>
      <c r="DD130" s="133" t="n"/>
      <c r="DE130" s="106" t="n"/>
      <c r="DF130" s="106" t="n">
        <v>2104784.68</v>
      </c>
      <c r="DG130" s="106" t="n"/>
      <c r="DH130" s="106" t="n"/>
      <c r="DI130" s="106" t="n">
        <v>0</v>
      </c>
      <c r="DJ130" s="106" t="n">
        <v>0</v>
      </c>
      <c r="DK130" s="106" t="n"/>
      <c r="DL130" s="106" t="n"/>
      <c r="DM130" s="106" t="n"/>
      <c r="DN130" s="106" t="n">
        <v>2857.14</v>
      </c>
      <c r="DO130" s="114" t="n">
        <v>24000</v>
      </c>
      <c r="DP130" s="122" t="n"/>
      <c r="DQ130" s="3" t="n">
        <f aca="false" ca="false" dt2D="false" dtr="false" t="normal">N130-DA130</f>
        <v>0</v>
      </c>
      <c r="DS130" s="9" t="n"/>
    </row>
    <row hidden="false" ht="15" outlineLevel="0" r="131">
      <c r="A131" s="103" t="n">
        <f aca="false" ca="false" dt2D="false" dtr="false" t="normal">+A130+1</f>
        <v>114</v>
      </c>
      <c r="B131" s="104" t="n">
        <f aca="false" ca="false" dt2D="false" dtr="false" t="normal">+B130+1</f>
        <v>114</v>
      </c>
      <c r="C131" s="104" t="s">
        <v>111</v>
      </c>
      <c r="D131" s="104" t="s">
        <v>197</v>
      </c>
      <c r="E131" s="105" t="n">
        <v>1975</v>
      </c>
      <c r="F131" s="105" t="n">
        <v>2013</v>
      </c>
      <c r="G131" s="105" t="s">
        <v>68</v>
      </c>
      <c r="H131" s="105" t="n">
        <v>4</v>
      </c>
      <c r="I131" s="105" t="n">
        <v>6</v>
      </c>
      <c r="J131" s="106" t="n">
        <v>5531.3</v>
      </c>
      <c r="K131" s="106" t="n">
        <v>4842.7</v>
      </c>
      <c r="L131" s="106" t="n">
        <v>189.7</v>
      </c>
      <c r="M131" s="107" t="n">
        <v>224</v>
      </c>
      <c r="N131" s="108" t="n">
        <f aca="false" ca="false" dt2D="false" dtr="false" t="normal">SUM(P131:T131)</f>
        <v>21811970.419999998</v>
      </c>
      <c r="O131" s="106" t="n"/>
      <c r="P131" s="114" t="n"/>
      <c r="Q131" s="114" t="n"/>
      <c r="R131" s="114" t="n">
        <v>2307202.7</v>
      </c>
      <c r="S131" s="114" t="n">
        <v>14401951.72984</v>
      </c>
      <c r="T131" s="114" t="n">
        <v>5102815.99016</v>
      </c>
      <c r="U131" s="114" t="n">
        <v>4594.96112227229</v>
      </c>
      <c r="V131" s="114" t="n">
        <v>1339.283020064</v>
      </c>
      <c r="W131" s="110" t="n">
        <v>2022</v>
      </c>
      <c r="X131" s="9" t="e">
        <f aca="false" ca="false" dt2D="false" dtr="false" t="normal">+#REF!-'[9]Приложение №1'!$P1452</f>
        <v>#REF!</v>
      </c>
      <c r="Z131" s="113" t="n">
        <f aca="false" ca="false" dt2D="false" dtr="false" t="normal">SUM(AA131:AO131)</f>
        <v>87511152</v>
      </c>
      <c r="AA131" s="106" t="n">
        <v>8013494.387808</v>
      </c>
      <c r="AB131" s="106" t="n">
        <v>4634422.877952</v>
      </c>
      <c r="AC131" s="106" t="n">
        <v>4898928.123936</v>
      </c>
      <c r="AD131" s="106" t="n">
        <v>3735474.34176</v>
      </c>
      <c r="AE131" s="106" t="n">
        <v>1492245.532512</v>
      </c>
      <c r="AF131" s="106" t="n"/>
      <c r="AG131" s="106" t="n">
        <v>398188.4256</v>
      </c>
      <c r="AH131" s="106" t="n">
        <v>0</v>
      </c>
      <c r="AI131" s="106" t="n">
        <v>14265240.0912</v>
      </c>
      <c r="AJ131" s="106" t="n">
        <v>0</v>
      </c>
      <c r="AK131" s="106" t="n">
        <v>27696044.559456</v>
      </c>
      <c r="AL131" s="106" t="n">
        <v>10892499.1056</v>
      </c>
      <c r="AM131" s="106" t="n">
        <v>8946956.64</v>
      </c>
      <c r="AN131" s="114" t="n">
        <v>875111.52</v>
      </c>
      <c r="AO131" s="115" t="n">
        <v>1662546.394176</v>
      </c>
      <c r="AP131" s="112" t="n">
        <f aca="false" ca="false" dt2D="false" dtr="false" t="normal">+N131-'Приложение №2'!E131</f>
        <v>0</v>
      </c>
      <c r="AQ131" s="9" t="n">
        <f aca="false" ca="false" dt2D="false" dtr="false" t="normal">2505054.36-R317</f>
        <v>2262054.71</v>
      </c>
      <c r="AR131" s="3" t="n">
        <f aca="false" ca="false" dt2D="false" dtr="false" t="normal">+(K131*10+L131*20)*12*0.85</f>
        <v>532654.2</v>
      </c>
      <c r="AS131" s="3" t="n">
        <f aca="false" ca="false" dt2D="false" dtr="false" t="normal">+(K131*10+L131*20)*12*30-S317</f>
        <v>15300626.1</v>
      </c>
      <c r="AT131" s="9" t="n">
        <f aca="false" ca="false" dt2D="false" dtr="false" t="normal">+S131-AS131</f>
        <v>-898674.3701600004</v>
      </c>
      <c r="AW131" s="113" t="n">
        <f aca="false" ca="true" dt2D="false" dtr="false" t="normal">SUBTOTAL(9, AX131:BL131)</f>
        <v>22252018.226827998</v>
      </c>
      <c r="AX131" s="106" t="n"/>
      <c r="AY131" s="106" t="n"/>
      <c r="AZ131" s="106" t="n"/>
      <c r="BA131" s="106" t="n"/>
      <c r="BB131" s="106" t="n"/>
      <c r="BC131" s="106" t="n"/>
      <c r="BD131" s="106" t="n"/>
      <c r="BE131" s="106" t="n">
        <v>0</v>
      </c>
      <c r="BF131" s="106" t="n"/>
      <c r="BG131" s="106" t="n">
        <v>0</v>
      </c>
      <c r="BH131" s="106" t="n">
        <v>21575728.45</v>
      </c>
      <c r="BI131" s="106" t="n"/>
      <c r="BJ131" s="106" t="n"/>
      <c r="BK131" s="114" t="n"/>
      <c r="BL131" s="115" t="n">
        <v>676289.776828</v>
      </c>
      <c r="BM131" s="14" t="n">
        <f aca="false" ca="true" dt2D="false" dtr="false" t="normal">SUBTOTAL(9, BN131:CB131)</f>
        <v>22252018.226827998</v>
      </c>
      <c r="BN131" s="106" t="n"/>
      <c r="BO131" s="106" t="n"/>
      <c r="BP131" s="133" t="n"/>
      <c r="BQ131" s="106" t="n"/>
      <c r="BR131" s="106" t="n"/>
      <c r="BS131" s="106" t="n"/>
      <c r="BT131" s="106" t="n"/>
      <c r="BU131" s="106" t="n">
        <v>0</v>
      </c>
      <c r="BV131" s="106" t="n"/>
      <c r="BW131" s="106" t="n">
        <v>0</v>
      </c>
      <c r="BX131" s="106" t="n">
        <v>21575728.45</v>
      </c>
      <c r="BY131" s="106" t="n"/>
      <c r="BZ131" s="106" t="n"/>
      <c r="CA131" s="114" t="n"/>
      <c r="CB131" s="115" t="n">
        <v>676289.776828</v>
      </c>
      <c r="CD131" s="116" t="n">
        <f aca="false" ca="false" dt2D="false" dtr="false" t="normal">+CD130+1</f>
        <v>114</v>
      </c>
      <c r="CE131" s="117" t="n">
        <f aca="false" ca="false" dt2D="false" dtr="false" t="normal">+CE130+1</f>
        <v>114</v>
      </c>
      <c r="CF131" s="104" t="s">
        <v>111</v>
      </c>
      <c r="CG131" s="104" t="s">
        <v>197</v>
      </c>
      <c r="CH131" s="118" t="n">
        <f aca="false" ca="true" dt2D="false" dtr="false" t="normal">SUBTOTAL(9, CI131:CW131)</f>
        <v>22252018.226827998</v>
      </c>
      <c r="CI131" s="106" t="n"/>
      <c r="CJ131" s="106" t="n"/>
      <c r="CK131" s="133" t="n"/>
      <c r="CL131" s="106" t="n"/>
      <c r="CM131" s="106" t="n"/>
      <c r="CN131" s="106" t="n"/>
      <c r="CO131" s="106" t="n"/>
      <c r="CP131" s="106" t="n">
        <v>0</v>
      </c>
      <c r="CQ131" s="106" t="n"/>
      <c r="CR131" s="106" t="n">
        <v>0</v>
      </c>
      <c r="CS131" s="106" t="n">
        <v>21575728.45</v>
      </c>
      <c r="CT131" s="106" t="n"/>
      <c r="CU131" s="106" t="n"/>
      <c r="CV131" s="114" t="n"/>
      <c r="CW131" s="115" t="n">
        <v>676289.776828</v>
      </c>
      <c r="CZ131" s="104" t="s">
        <v>197</v>
      </c>
      <c r="DA131" s="119" t="n">
        <f aca="false" ca="true" dt2D="false" dtr="false" t="normal">SUBTOTAL(9, DB131:DP131)</f>
        <v>21811970.419999998</v>
      </c>
      <c r="DB131" s="106" t="n"/>
      <c r="DC131" s="106" t="n"/>
      <c r="DD131" s="133" t="n"/>
      <c r="DE131" s="106" t="n"/>
      <c r="DF131" s="106" t="n"/>
      <c r="DG131" s="106" t="n"/>
      <c r="DH131" s="106" t="n"/>
      <c r="DI131" s="106" t="n">
        <v>0</v>
      </c>
      <c r="DJ131" s="106" t="n"/>
      <c r="DK131" s="106" t="n">
        <v>0</v>
      </c>
      <c r="DL131" s="106" t="n">
        <v>21575728.45</v>
      </c>
      <c r="DM131" s="106" t="n"/>
      <c r="DN131" s="106" t="n"/>
      <c r="DO131" s="114" t="n"/>
      <c r="DP131" s="120" t="n">
        <v>236241.97</v>
      </c>
      <c r="DQ131" s="3" t="n">
        <f aca="false" ca="false" dt2D="false" dtr="false" t="normal">N131-DA131</f>
        <v>0</v>
      </c>
      <c r="DS131" s="9" t="n"/>
    </row>
    <row hidden="false" ht="15" outlineLevel="0" r="132">
      <c r="A132" s="103" t="n">
        <f aca="false" ca="false" dt2D="false" dtr="false" t="normal">+A131+1</f>
        <v>115</v>
      </c>
      <c r="B132" s="104" t="n">
        <f aca="false" ca="false" dt2D="false" dtr="false" t="normal">+B131+1</f>
        <v>115</v>
      </c>
      <c r="C132" s="104" t="s">
        <v>111</v>
      </c>
      <c r="D132" s="104" t="s">
        <v>198</v>
      </c>
      <c r="E132" s="105" t="n">
        <v>1974</v>
      </c>
      <c r="F132" s="105" t="n">
        <v>2013</v>
      </c>
      <c r="G132" s="105" t="s">
        <v>68</v>
      </c>
      <c r="H132" s="105" t="n">
        <v>4</v>
      </c>
      <c r="I132" s="105" t="n">
        <v>4</v>
      </c>
      <c r="J132" s="106" t="n">
        <v>3940.9</v>
      </c>
      <c r="K132" s="106" t="n">
        <v>3373.8</v>
      </c>
      <c r="L132" s="106" t="n">
        <v>212.7</v>
      </c>
      <c r="M132" s="107" t="n">
        <v>140</v>
      </c>
      <c r="N132" s="108" t="n">
        <f aca="false" ca="false" dt2D="false" dtr="false" t="normal">SUM(P132:T132)</f>
        <v>23119997.939999998</v>
      </c>
      <c r="O132" s="106" t="n"/>
      <c r="Q132" s="114" t="n"/>
      <c r="R132" s="114" t="n">
        <v>1982331.96</v>
      </c>
      <c r="S132" s="114" t="n">
        <v>10542328.3462407</v>
      </c>
      <c r="T132" s="106" t="n">
        <v>10595337.6337593</v>
      </c>
      <c r="U132" s="114" t="n">
        <v>6741.50626690108</v>
      </c>
      <c r="V132" s="114" t="n">
        <v>6741.50626690108</v>
      </c>
      <c r="W132" s="110" t="n">
        <v>2022</v>
      </c>
      <c r="X132" s="9" t="e">
        <f aca="false" ca="false" dt2D="false" dtr="false" t="normal">+#REF!-'[9]Приложение №1'!$P1108</f>
        <v>#REF!</v>
      </c>
      <c r="Z132" s="113" t="n">
        <f aca="false" ca="false" dt2D="false" dtr="false" t="normal">SUM(AA132:AO132)</f>
        <v>62533714.20789399</v>
      </c>
      <c r="AA132" s="106" t="n">
        <v>6056878.33</v>
      </c>
      <c r="AB132" s="106" t="n">
        <v>3324136.35620388</v>
      </c>
      <c r="AC132" s="106" t="n">
        <v>3513858.26050854</v>
      </c>
      <c r="AD132" s="106" t="n">
        <v>2679346.79400948</v>
      </c>
      <c r="AE132" s="106" t="n">
        <v>1070344.19731806</v>
      </c>
      <c r="AF132" s="106" t="n"/>
      <c r="AG132" s="106" t="n">
        <v>285608.9438538</v>
      </c>
      <c r="AH132" s="106" t="n">
        <v>0</v>
      </c>
      <c r="AI132" s="106" t="n">
        <v>10232040.6523188</v>
      </c>
      <c r="AJ132" s="106" t="n">
        <v>0</v>
      </c>
      <c r="AK132" s="106" t="n">
        <v>19865564.963811</v>
      </c>
      <c r="AL132" s="106" t="n">
        <v>7812871.9105563</v>
      </c>
      <c r="AM132" s="106" t="n">
        <v>5963728.8812</v>
      </c>
      <c r="AN132" s="114" t="n">
        <v>570673.4087</v>
      </c>
      <c r="AO132" s="115" t="n">
        <v>1158661.50941414</v>
      </c>
      <c r="AP132" s="112" t="n">
        <f aca="false" ca="false" dt2D="false" dtr="false" t="normal">+N132-'Приложение №2'!E132</f>
        <v>0</v>
      </c>
      <c r="AQ132" s="1" t="n">
        <f aca="false" ca="false" dt2D="false" dtr="false" t="normal">1707386.79-112573.23</f>
        <v>1594813.56</v>
      </c>
      <c r="AR132" s="3" t="n">
        <f aca="false" ca="false" dt2D="false" dtr="false" t="normal">+(K132*10+L132*20)*12*0.85</f>
        <v>387518.39999999997</v>
      </c>
      <c r="AS132" s="3" t="n">
        <f aca="false" ca="false" dt2D="false" dtr="false" t="normal">+(K132*10+L132*20)*12*30-810211.65</f>
        <v>12866908.35</v>
      </c>
      <c r="AT132" s="9" t="n">
        <f aca="false" ca="false" dt2D="false" dtr="false" t="normal">+S132-AS132</f>
        <v>-2324580.0037593003</v>
      </c>
      <c r="AW132" s="113" t="n">
        <f aca="false" ca="true" dt2D="false" dtr="false" t="normal">SUBTOTAL(9, AX132:BL132)</f>
        <v>24178412.22624074</v>
      </c>
      <c r="AX132" s="106" t="n">
        <v>5305996.59</v>
      </c>
      <c r="BB132" s="106" t="n"/>
      <c r="BC132" s="106" t="n"/>
      <c r="BD132" s="106" t="n"/>
      <c r="BE132" s="106" t="n">
        <v>0</v>
      </c>
      <c r="BF132" s="106" t="n">
        <v>4125438.85</v>
      </c>
      <c r="BG132" s="106" t="n">
        <v>0</v>
      </c>
      <c r="BH132" s="106" t="n">
        <v>13688562.5</v>
      </c>
      <c r="BI132" s="106" t="n"/>
      <c r="BJ132" s="106" t="n"/>
      <c r="BK132" s="114" t="n"/>
      <c r="BL132" s="115" t="n">
        <v>1058414.28624074</v>
      </c>
      <c r="BM132" s="14" t="n">
        <f aca="false" ca="true" dt2D="false" dtr="false" t="normal">SUBTOTAL(9, BN132:CB132)</f>
        <v>24178412.22624074</v>
      </c>
      <c r="BN132" s="106" t="n">
        <v>5305996.59</v>
      </c>
      <c r="BP132" s="134" t="n"/>
      <c r="BR132" s="106" t="n"/>
      <c r="BS132" s="106" t="n"/>
      <c r="BT132" s="106" t="n"/>
      <c r="BU132" s="106" t="n">
        <v>0</v>
      </c>
      <c r="BV132" s="106" t="n">
        <v>4125438.85</v>
      </c>
      <c r="BW132" s="106" t="n">
        <v>0</v>
      </c>
      <c r="BX132" s="106" t="n">
        <v>13688562.5</v>
      </c>
      <c r="BY132" s="106" t="n"/>
      <c r="BZ132" s="106" t="n"/>
      <c r="CA132" s="114" t="n"/>
      <c r="CB132" s="115" t="n">
        <v>1058414.28624074</v>
      </c>
      <c r="CD132" s="116" t="n">
        <f aca="false" ca="false" dt2D="false" dtr="false" t="normal">+CD131+1</f>
        <v>115</v>
      </c>
      <c r="CE132" s="117" t="n">
        <f aca="false" ca="false" dt2D="false" dtr="false" t="normal">+CE131+1</f>
        <v>115</v>
      </c>
      <c r="CF132" s="104" t="s">
        <v>111</v>
      </c>
      <c r="CG132" s="104" t="s">
        <v>198</v>
      </c>
      <c r="CH132" s="118" t="n">
        <f aca="false" ca="true" dt2D="false" dtr="false" t="normal">SUBTOTAL(9, CI132:CW132)</f>
        <v>24178412.22624074</v>
      </c>
      <c r="CI132" s="106" t="n">
        <v>5305996.59</v>
      </c>
      <c r="CK132" s="134" t="n"/>
      <c r="CM132" s="106" t="n"/>
      <c r="CN132" s="106" t="n"/>
      <c r="CO132" s="106" t="n"/>
      <c r="CP132" s="106" t="n">
        <v>0</v>
      </c>
      <c r="CQ132" s="106" t="n">
        <v>4125438.85</v>
      </c>
      <c r="CR132" s="106" t="n">
        <v>0</v>
      </c>
      <c r="CS132" s="106" t="n">
        <v>13688562.5</v>
      </c>
      <c r="CT132" s="106" t="n"/>
      <c r="CU132" s="106" t="n"/>
      <c r="CV132" s="114" t="n"/>
      <c r="CW132" s="115" t="n">
        <v>1058414.28624074</v>
      </c>
      <c r="CZ132" s="104" t="s">
        <v>198</v>
      </c>
      <c r="DA132" s="119" t="n">
        <f aca="false" ca="true" dt2D="false" dtr="false" t="normal">SUBTOTAL(9, DB132:DP132)</f>
        <v>23119997.939999998</v>
      </c>
      <c r="DB132" s="106" t="n">
        <v>5305996.59</v>
      </c>
      <c r="DD132" s="134" t="n"/>
      <c r="DF132" s="106" t="n"/>
      <c r="DG132" s="106" t="n"/>
      <c r="DH132" s="106" t="n"/>
      <c r="DI132" s="106" t="n">
        <v>0</v>
      </c>
      <c r="DJ132" s="106" t="n">
        <v>4125438.85</v>
      </c>
      <c r="DK132" s="106" t="n">
        <v>0</v>
      </c>
      <c r="DL132" s="106" t="n">
        <v>13688562.5</v>
      </c>
      <c r="DM132" s="106" t="n"/>
      <c r="DN132" s="106" t="n"/>
      <c r="DO132" s="114" t="n"/>
      <c r="DP132" s="122" t="n"/>
      <c r="DQ132" s="3" t="n">
        <f aca="false" ca="false" dt2D="false" dtr="false" t="normal">N132-DA132</f>
        <v>0</v>
      </c>
      <c r="DS132" s="9" t="n"/>
    </row>
    <row hidden="false" ht="15" outlineLevel="0" r="133">
      <c r="A133" s="103" t="n">
        <f aca="false" ca="false" dt2D="false" dtr="false" t="normal">+A132+1</f>
        <v>116</v>
      </c>
      <c r="B133" s="104" t="n">
        <f aca="false" ca="false" dt2D="false" dtr="false" t="normal">+B132+1</f>
        <v>116</v>
      </c>
      <c r="C133" s="104" t="s">
        <v>111</v>
      </c>
      <c r="D133" s="104" t="s">
        <v>199</v>
      </c>
      <c r="E133" s="105" t="n">
        <v>1977</v>
      </c>
      <c r="F133" s="105" t="n">
        <v>2013</v>
      </c>
      <c r="G133" s="105" t="s">
        <v>68</v>
      </c>
      <c r="H133" s="105" t="n">
        <v>9</v>
      </c>
      <c r="I133" s="105" t="n">
        <v>1</v>
      </c>
      <c r="J133" s="106" t="n">
        <v>2362.6</v>
      </c>
      <c r="K133" s="106" t="n">
        <v>1902.4</v>
      </c>
      <c r="L133" s="106" t="n">
        <v>195.5</v>
      </c>
      <c r="M133" s="107" t="n">
        <v>72</v>
      </c>
      <c r="N133" s="108" t="n">
        <f aca="false" ca="false" dt2D="false" dtr="false" t="normal">SUM(P133:T133)</f>
        <v>1661665.99</v>
      </c>
      <c r="O133" s="106" t="n"/>
      <c r="P133" s="114" t="n"/>
      <c r="Q133" s="114" t="n"/>
      <c r="R133" s="114" t="n"/>
      <c r="S133" s="114" t="n">
        <v>1661665.99</v>
      </c>
      <c r="T133" s="106" t="n"/>
      <c r="U133" s="114" t="n">
        <v>866.285550555289</v>
      </c>
      <c r="V133" s="114" t="n">
        <v>866.285550555289</v>
      </c>
      <c r="W133" s="110" t="n">
        <v>2022</v>
      </c>
      <c r="X133" s="9" t="e">
        <f aca="false" ca="false" dt2D="false" dtr="false" t="normal">+#REF!-'[9]Приложение №1'!$P725</f>
        <v>#REF!</v>
      </c>
      <c r="Z133" s="113" t="n">
        <f aca="false" ca="false" dt2D="false" dtr="false" t="normal">SUM(AA133:AO133)</f>
        <v>28501175.670388</v>
      </c>
      <c r="AA133" s="106" t="n">
        <v>3719699.05</v>
      </c>
      <c r="AB133" s="106" t="n">
        <v>2447938.89958044</v>
      </c>
      <c r="AC133" s="106" t="n">
        <v>1490138.33984778</v>
      </c>
      <c r="AD133" s="106" t="n">
        <v>1344414.3471276</v>
      </c>
      <c r="AE133" s="106" t="n">
        <v>490934.10601116</v>
      </c>
      <c r="AF133" s="106" t="n"/>
      <c r="AG133" s="106" t="n">
        <v>205256.04442224</v>
      </c>
      <c r="AH133" s="106" t="n">
        <v>0</v>
      </c>
      <c r="AI133" s="106" t="n">
        <v>0</v>
      </c>
      <c r="AJ133" s="106" t="n">
        <v>0</v>
      </c>
      <c r="AK133" s="106" t="n">
        <v>15105792.3394371</v>
      </c>
      <c r="AL133" s="106" t="n">
        <v>0</v>
      </c>
      <c r="AM133" s="106" t="n">
        <v>2953956.3438</v>
      </c>
      <c r="AN133" s="114" t="n">
        <v>246262.915</v>
      </c>
      <c r="AO133" s="115" t="n">
        <v>496783.28516168</v>
      </c>
      <c r="AP133" s="112" t="n">
        <f aca="false" ca="false" dt2D="false" dtr="false" t="normal">+N133-'Приложение №2'!E133</f>
        <v>0</v>
      </c>
      <c r="AQ133" s="1" t="n">
        <f aca="false" ca="false" dt2D="false" dtr="false" t="normal">1288619.08-658887.88</f>
        <v>629731.2000000001</v>
      </c>
      <c r="AR133" s="3" t="n">
        <f aca="false" ca="false" dt2D="false" dtr="false" t="normal">+(K133*13.29+L133*22.52)*12*0.85</f>
        <v>302792.6712</v>
      </c>
      <c r="AS133" s="3" t="n">
        <f aca="false" ca="false" dt2D="false" dtr="false" t="normal">+(K133*13.29+L133*22.52)*12*30-8648.871</f>
        <v>10678151.289</v>
      </c>
      <c r="AT133" s="9" t="n">
        <f aca="false" ca="false" dt2D="false" dtr="false" t="normal">+S133-AS133</f>
        <v>-9016485.299</v>
      </c>
      <c r="AW133" s="113" t="n">
        <f aca="false" ca="true" dt2D="false" dtr="false" t="normal">SUBTOTAL(9, AX133:BL133)</f>
        <v>1817380.4565099399</v>
      </c>
      <c r="AX133" s="106" t="n"/>
      <c r="AY133" s="106" t="n"/>
      <c r="AZ133" s="106" t="n">
        <v>707768.48</v>
      </c>
      <c r="BA133" s="106" t="n">
        <v>953897.51</v>
      </c>
      <c r="BB133" s="106" t="n"/>
      <c r="BC133" s="106" t="n"/>
      <c r="BD133" s="106" t="n"/>
      <c r="BE133" s="106" t="n">
        <v>0</v>
      </c>
      <c r="BF133" s="106" t="n">
        <v>0</v>
      </c>
      <c r="BG133" s="106" t="n">
        <v>0</v>
      </c>
      <c r="BH133" s="106" t="n"/>
      <c r="BI133" s="106" t="n">
        <v>0</v>
      </c>
      <c r="BJ133" s="106" t="n"/>
      <c r="BK133" s="114" t="n"/>
      <c r="BL133" s="115" t="n">
        <v>155714.46650994</v>
      </c>
      <c r="BM133" s="14" t="n">
        <f aca="false" ca="true" dt2D="false" dtr="false" t="normal">SUBTOTAL(9, BN133:CB133)</f>
        <v>1817380.4565099399</v>
      </c>
      <c r="BN133" s="106" t="n"/>
      <c r="BO133" s="106" t="n"/>
      <c r="BP133" s="133" t="n">
        <v>707768.48</v>
      </c>
      <c r="BQ133" s="106" t="n">
        <v>953897.51</v>
      </c>
      <c r="BR133" s="106" t="n"/>
      <c r="BS133" s="106" t="n"/>
      <c r="BT133" s="106" t="n"/>
      <c r="BU133" s="106" t="n">
        <v>0</v>
      </c>
      <c r="BV133" s="106" t="n">
        <v>0</v>
      </c>
      <c r="BW133" s="106" t="n">
        <v>0</v>
      </c>
      <c r="BX133" s="106" t="n"/>
      <c r="BY133" s="106" t="n">
        <v>0</v>
      </c>
      <c r="BZ133" s="106" t="n"/>
      <c r="CA133" s="114" t="n"/>
      <c r="CB133" s="115" t="n">
        <v>155714.46650994</v>
      </c>
      <c r="CD133" s="116" t="n">
        <f aca="false" ca="false" dt2D="false" dtr="false" t="normal">+CD132+1</f>
        <v>116</v>
      </c>
      <c r="CE133" s="117" t="n">
        <f aca="false" ca="false" dt2D="false" dtr="false" t="normal">+CE132+1</f>
        <v>116</v>
      </c>
      <c r="CF133" s="104" t="s">
        <v>111</v>
      </c>
      <c r="CG133" s="104" t="s">
        <v>199</v>
      </c>
      <c r="CH133" s="118" t="n">
        <f aca="false" ca="true" dt2D="false" dtr="false" t="normal">SUBTOTAL(9, CI133:CW133)</f>
        <v>1817380.4565099399</v>
      </c>
      <c r="CI133" s="106" t="n"/>
      <c r="CJ133" s="106" t="n"/>
      <c r="CK133" s="133" t="n">
        <v>707768.48</v>
      </c>
      <c r="CL133" s="106" t="n">
        <v>953897.51</v>
      </c>
      <c r="CM133" s="106" t="n"/>
      <c r="CN133" s="106" t="n"/>
      <c r="CO133" s="106" t="n"/>
      <c r="CP133" s="106" t="n">
        <v>0</v>
      </c>
      <c r="CQ133" s="106" t="n">
        <v>0</v>
      </c>
      <c r="CR133" s="106" t="n">
        <v>0</v>
      </c>
      <c r="CS133" s="106" t="n"/>
      <c r="CT133" s="106" t="n">
        <v>0</v>
      </c>
      <c r="CU133" s="106" t="n"/>
      <c r="CV133" s="114" t="n"/>
      <c r="CW133" s="115" t="n">
        <v>155714.46650994</v>
      </c>
      <c r="CZ133" s="104" t="s">
        <v>199</v>
      </c>
      <c r="DA133" s="119" t="n">
        <f aca="false" ca="true" dt2D="false" dtr="false" t="normal">SUBTOTAL(9, DB133:DP133)</f>
        <v>1661665.99</v>
      </c>
      <c r="DB133" s="106" t="n"/>
      <c r="DC133" s="106" t="n"/>
      <c r="DD133" s="133" t="n">
        <v>707768.48</v>
      </c>
      <c r="DE133" s="106" t="n">
        <v>953897.51</v>
      </c>
      <c r="DF133" s="106" t="n"/>
      <c r="DG133" s="106" t="n"/>
      <c r="DH133" s="106" t="n"/>
      <c r="DI133" s="106" t="n">
        <v>0</v>
      </c>
      <c r="DJ133" s="106" t="n">
        <v>0</v>
      </c>
      <c r="DK133" s="106" t="n">
        <v>0</v>
      </c>
      <c r="DL133" s="106" t="n"/>
      <c r="DM133" s="106" t="n">
        <v>0</v>
      </c>
      <c r="DN133" s="106" t="n"/>
      <c r="DO133" s="114" t="n"/>
      <c r="DP133" s="122" t="n"/>
      <c r="DQ133" s="3" t="n">
        <f aca="false" ca="false" dt2D="false" dtr="false" t="normal">N133-DA133</f>
        <v>0</v>
      </c>
      <c r="DS133" s="9" t="n"/>
    </row>
    <row hidden="false" ht="15" outlineLevel="0" r="134">
      <c r="A134" s="103" t="n">
        <f aca="false" ca="false" dt2D="false" dtr="false" t="normal">+A133+1</f>
        <v>117</v>
      </c>
      <c r="B134" s="104" t="n">
        <f aca="false" ca="false" dt2D="false" dtr="false" t="normal">+B133+1</f>
        <v>117</v>
      </c>
      <c r="C134" s="104" t="s">
        <v>200</v>
      </c>
      <c r="D134" s="104" t="s">
        <v>201</v>
      </c>
      <c r="E134" s="105" t="n">
        <v>1979</v>
      </c>
      <c r="F134" s="105" t="n">
        <v>1979</v>
      </c>
      <c r="G134" s="105" t="s">
        <v>68</v>
      </c>
      <c r="H134" s="105" t="n">
        <v>4</v>
      </c>
      <c r="I134" s="105" t="n">
        <v>6</v>
      </c>
      <c r="J134" s="106" t="n">
        <v>3867.8</v>
      </c>
      <c r="K134" s="106" t="n">
        <v>3539.7</v>
      </c>
      <c r="L134" s="106" t="n">
        <v>0</v>
      </c>
      <c r="M134" s="107" t="n">
        <v>193</v>
      </c>
      <c r="N134" s="108" t="n">
        <f aca="false" ca="false" dt2D="false" dtr="false" t="normal">SUM(P134:T134)</f>
        <v>9447493.219999999</v>
      </c>
      <c r="O134" s="106" t="n"/>
      <c r="P134" s="114" t="n">
        <v>7358449.51</v>
      </c>
      <c r="Q134" s="114" t="n"/>
      <c r="R134" s="114" t="n"/>
      <c r="S134" s="114" t="n">
        <v>2089043.71</v>
      </c>
      <c r="T134" s="106" t="n"/>
      <c r="U134" s="114" t="n">
        <v>2764.42034694963</v>
      </c>
      <c r="V134" s="114" t="n">
        <v>2764.42034694963</v>
      </c>
      <c r="W134" s="110" t="n">
        <v>2022</v>
      </c>
      <c r="X134" s="9" t="e">
        <f aca="false" ca="false" dt2D="false" dtr="false" t="normal">+#REF!-'[9]Приложение №1'!$P1498</f>
        <v>#REF!</v>
      </c>
      <c r="Z134" s="113" t="n">
        <f aca="false" ca="false" dt2D="false" dtr="false" t="normal">SUM(AA134:AO134)</f>
        <v>36672038.07</v>
      </c>
      <c r="AA134" s="106" t="n">
        <v>0</v>
      </c>
      <c r="AB134" s="106" t="n">
        <v>0</v>
      </c>
      <c r="AC134" s="106" t="n">
        <v>0</v>
      </c>
      <c r="AD134" s="106" t="n">
        <v>0</v>
      </c>
      <c r="AE134" s="106" t="n">
        <v>0</v>
      </c>
      <c r="AF134" s="106" t="n"/>
      <c r="AG134" s="106" t="n">
        <v>0</v>
      </c>
      <c r="AH134" s="106" t="n">
        <v>0</v>
      </c>
      <c r="AI134" s="106" t="n">
        <v>15443839.1019024</v>
      </c>
      <c r="AJ134" s="106" t="n">
        <v>0</v>
      </c>
      <c r="AK134" s="106" t="n">
        <v>8018512.75498182</v>
      </c>
      <c r="AL134" s="106" t="n">
        <v>8648904.60057792</v>
      </c>
      <c r="AM134" s="106" t="n">
        <v>3491853.0894</v>
      </c>
      <c r="AN134" s="114" t="n">
        <v>366720.3807</v>
      </c>
      <c r="AO134" s="115" t="n">
        <v>702208.14243786</v>
      </c>
      <c r="AP134" s="112" t="n">
        <f aca="false" ca="false" dt2D="false" dtr="false" t="normal">+N134-'Приложение №2'!E134</f>
        <v>0</v>
      </c>
      <c r="AQ134" s="1" t="n">
        <v>1735682.5</v>
      </c>
      <c r="AR134" s="3" t="n">
        <f aca="false" ca="false" dt2D="false" dtr="false" t="normal">+(K134*10+L134*20)*12*0.85</f>
        <v>361049.39999999997</v>
      </c>
      <c r="AS134" s="3" t="n">
        <f aca="false" ca="false" dt2D="false" dtr="false" t="normal">+(K134*10+L134*20)*12*30</f>
        <v>12742920</v>
      </c>
      <c r="AT134" s="9" t="n">
        <f aca="false" ca="false" dt2D="false" dtr="false" t="normal">+S134-AS134</f>
        <v>-10653876.29</v>
      </c>
      <c r="AW134" s="113" t="n">
        <f aca="false" ca="true" dt2D="false" dtr="false" t="normal">SUBTOTAL(9, AX134:BL134)</f>
        <v>9785218.7020976</v>
      </c>
      <c r="AX134" s="106" t="n">
        <v>0</v>
      </c>
      <c r="AY134" s="106" t="n">
        <v>0</v>
      </c>
      <c r="AZ134" s="106" t="n">
        <v>0</v>
      </c>
      <c r="BA134" s="106" t="n">
        <v>0</v>
      </c>
      <c r="BB134" s="106" t="n">
        <v>0</v>
      </c>
      <c r="BC134" s="106" t="n"/>
      <c r="BD134" s="106" t="n"/>
      <c r="BE134" s="106" t="n">
        <v>0</v>
      </c>
      <c r="BF134" s="106" t="n">
        <v>9447493.22</v>
      </c>
      <c r="BG134" s="106" t="n">
        <v>0</v>
      </c>
      <c r="BH134" s="106" t="n"/>
      <c r="BI134" s="106" t="n"/>
      <c r="BJ134" s="106" t="n"/>
      <c r="BK134" s="114" t="n"/>
      <c r="BL134" s="115" t="n">
        <v>337725.4820976</v>
      </c>
      <c r="BM134" s="14" t="n">
        <f aca="false" ca="true" dt2D="false" dtr="false" t="normal">SUBTOTAL(9, BN134:CB134)</f>
        <v>9785218.7020976</v>
      </c>
      <c r="BN134" s="106" t="n">
        <v>0</v>
      </c>
      <c r="BO134" s="106" t="n">
        <v>0</v>
      </c>
      <c r="BP134" s="133" t="n">
        <v>0</v>
      </c>
      <c r="BQ134" s="106" t="n">
        <v>0</v>
      </c>
      <c r="BR134" s="106" t="n">
        <v>0</v>
      </c>
      <c r="BS134" s="106" t="n"/>
      <c r="BT134" s="106" t="n"/>
      <c r="BU134" s="106" t="n">
        <v>0</v>
      </c>
      <c r="BV134" s="106" t="n">
        <v>9447493.22</v>
      </c>
      <c r="BW134" s="106" t="n">
        <v>0</v>
      </c>
      <c r="BX134" s="106" t="n"/>
      <c r="BY134" s="106" t="n"/>
      <c r="BZ134" s="106" t="n"/>
      <c r="CA134" s="114" t="n"/>
      <c r="CB134" s="115" t="n">
        <v>337725.4820976</v>
      </c>
      <c r="CD134" s="116" t="n">
        <f aca="false" ca="false" dt2D="false" dtr="false" t="normal">+CD133+1</f>
        <v>117</v>
      </c>
      <c r="CE134" s="117" t="n">
        <f aca="false" ca="false" dt2D="false" dtr="false" t="normal">+CE133+1</f>
        <v>117</v>
      </c>
      <c r="CF134" s="104" t="s">
        <v>200</v>
      </c>
      <c r="CG134" s="104" t="s">
        <v>201</v>
      </c>
      <c r="CH134" s="118" t="n">
        <f aca="false" ca="true" dt2D="false" dtr="false" t="normal">SUBTOTAL(9, CI134:CW134)</f>
        <v>9785218.7020976</v>
      </c>
      <c r="CI134" s="106" t="n">
        <v>0</v>
      </c>
      <c r="CJ134" s="106" t="n">
        <v>0</v>
      </c>
      <c r="CK134" s="133" t="n">
        <v>0</v>
      </c>
      <c r="CL134" s="106" t="n">
        <v>0</v>
      </c>
      <c r="CM134" s="106" t="n">
        <v>0</v>
      </c>
      <c r="CN134" s="106" t="n"/>
      <c r="CO134" s="106" t="n"/>
      <c r="CP134" s="106" t="n">
        <v>0</v>
      </c>
      <c r="CQ134" s="106" t="n">
        <v>9447493.22</v>
      </c>
      <c r="CR134" s="106" t="n">
        <v>0</v>
      </c>
      <c r="CS134" s="106" t="n"/>
      <c r="CT134" s="106" t="n"/>
      <c r="CU134" s="106" t="n"/>
      <c r="CV134" s="114" t="n"/>
      <c r="CW134" s="115" t="n">
        <v>337725.4820976</v>
      </c>
      <c r="CZ134" s="104" t="s">
        <v>201</v>
      </c>
      <c r="DA134" s="119" t="n">
        <f aca="false" ca="true" dt2D="false" dtr="false" t="normal">SUBTOTAL(9, DB134:DP134)</f>
        <v>9447493.22</v>
      </c>
      <c r="DB134" s="106" t="n">
        <v>0</v>
      </c>
      <c r="DC134" s="106" t="n">
        <v>0</v>
      </c>
      <c r="DD134" s="133" t="n">
        <v>0</v>
      </c>
      <c r="DE134" s="106" t="n">
        <v>0</v>
      </c>
      <c r="DF134" s="106" t="n">
        <v>0</v>
      </c>
      <c r="DG134" s="106" t="n"/>
      <c r="DH134" s="106" t="n"/>
      <c r="DI134" s="106" t="n">
        <v>0</v>
      </c>
      <c r="DJ134" s="106" t="n">
        <v>9447493.22</v>
      </c>
      <c r="DK134" s="106" t="n">
        <v>0</v>
      </c>
      <c r="DL134" s="106" t="n"/>
      <c r="DM134" s="106" t="n"/>
      <c r="DN134" s="106" t="n"/>
      <c r="DO134" s="114" t="n"/>
      <c r="DP134" s="122" t="n"/>
      <c r="DQ134" s="3" t="n">
        <f aca="false" ca="false" dt2D="false" dtr="false" t="normal">N134-DA134</f>
        <v>0</v>
      </c>
      <c r="DS134" s="9" t="n"/>
    </row>
    <row hidden="false" ht="15" outlineLevel="0" r="135">
      <c r="A135" s="103" t="n">
        <f aca="false" ca="false" dt2D="false" dtr="false" t="normal">+A134+1</f>
        <v>118</v>
      </c>
      <c r="B135" s="104" t="n">
        <f aca="false" ca="false" dt2D="false" dtr="false" t="normal">+B134+1</f>
        <v>118</v>
      </c>
      <c r="C135" s="104" t="s">
        <v>200</v>
      </c>
      <c r="D135" s="104" t="s">
        <v>202</v>
      </c>
      <c r="E135" s="105" t="n">
        <v>1966</v>
      </c>
      <c r="F135" s="105" t="n">
        <v>1966</v>
      </c>
      <c r="G135" s="105" t="s">
        <v>68</v>
      </c>
      <c r="H135" s="105" t="n">
        <v>4</v>
      </c>
      <c r="I135" s="105" t="n">
        <v>2</v>
      </c>
      <c r="J135" s="106" t="n">
        <v>1327.2</v>
      </c>
      <c r="K135" s="106" t="n">
        <v>1234.6</v>
      </c>
      <c r="L135" s="106" t="n">
        <v>0</v>
      </c>
      <c r="M135" s="107" t="n">
        <v>61</v>
      </c>
      <c r="N135" s="108" t="n">
        <f aca="false" ca="false" dt2D="false" dtr="false" t="normal">SUM(P135:T135)</f>
        <v>459932.9699999999</v>
      </c>
      <c r="O135" s="106" t="n"/>
      <c r="P135" s="114" t="n">
        <v>226913.39</v>
      </c>
      <c r="Q135" s="114" t="n"/>
      <c r="R135" s="114" t="n">
        <v>192796.3</v>
      </c>
      <c r="S135" s="114" t="n">
        <v>40223.2799999999</v>
      </c>
      <c r="T135" s="106" t="n">
        <v>0</v>
      </c>
      <c r="U135" s="114" t="n">
        <v>372.536019763486</v>
      </c>
      <c r="V135" s="114" t="n">
        <v>372.536019763486</v>
      </c>
      <c r="W135" s="110" t="n">
        <v>2022</v>
      </c>
      <c r="X135" s="9" t="e">
        <f aca="false" ca="false" dt2D="false" dtr="false" t="normal">+#REF!-'[9]Приложение №1'!$P727</f>
        <v>#REF!</v>
      </c>
      <c r="Z135" s="113" t="n">
        <f aca="false" ca="false" dt2D="false" dtr="false" t="normal">SUM(AA135:AO135)</f>
        <v>621576.65</v>
      </c>
      <c r="AA135" s="106" t="n">
        <v>0</v>
      </c>
      <c r="AB135" s="106" t="n">
        <v>0</v>
      </c>
      <c r="AC135" s="106" t="n">
        <v>0</v>
      </c>
      <c r="AD135" s="106" t="n">
        <v>0</v>
      </c>
      <c r="AE135" s="106" t="n">
        <v>419709.6876861</v>
      </c>
      <c r="AF135" s="106" t="n"/>
      <c r="AG135" s="106" t="n">
        <v>0</v>
      </c>
      <c r="AH135" s="106" t="n">
        <v>0</v>
      </c>
      <c r="AI135" s="106" t="n">
        <v>0</v>
      </c>
      <c r="AJ135" s="106" t="n">
        <v>0</v>
      </c>
      <c r="AK135" s="106" t="n">
        <v>0</v>
      </c>
      <c r="AL135" s="106" t="n">
        <v>0</v>
      </c>
      <c r="AM135" s="106" t="n">
        <v>186472.995</v>
      </c>
      <c r="AN135" s="114" t="n">
        <v>6215.7665</v>
      </c>
      <c r="AO135" s="115" t="n">
        <v>9178.2008139</v>
      </c>
      <c r="AP135" s="112" t="n">
        <f aca="false" ca="false" dt2D="false" dtr="false" t="normal">+N135-'Приложение №2'!E135</f>
        <v>0</v>
      </c>
      <c r="AQ135" s="1" t="n">
        <v>512184.69</v>
      </c>
      <c r="AR135" s="3" t="n">
        <f aca="false" ca="false" dt2D="false" dtr="false" t="normal">+(K135*10+L135*20)*12*0.85</f>
        <v>125929.2</v>
      </c>
      <c r="AS135" s="3" t="n">
        <f aca="false" ca="false" dt2D="false" dtr="false" t="normal">+(K135*10+L135*20)*12*30</f>
        <v>4444560</v>
      </c>
      <c r="AT135" s="9" t="n">
        <f aca="false" ca="false" dt2D="false" dtr="false" t="normal">+S135-AS135</f>
        <v>-4404336.72</v>
      </c>
      <c r="AW135" s="113" t="n">
        <f aca="false" ca="true" dt2D="false" dtr="false" t="normal">SUBTOTAL(9, AX135:BL135)</f>
        <v>459932.97</v>
      </c>
      <c r="AX135" s="106" t="n">
        <v>0</v>
      </c>
      <c r="AY135" s="106" t="n">
        <v>0</v>
      </c>
      <c r="AZ135" s="106" t="n">
        <v>0</v>
      </c>
      <c r="BA135" s="106" t="n">
        <v>0</v>
      </c>
      <c r="BB135" s="106" t="n">
        <v>459932.97</v>
      </c>
      <c r="BC135" s="106" t="n"/>
      <c r="BD135" s="106" t="n"/>
      <c r="BE135" s="106" t="n">
        <v>0</v>
      </c>
      <c r="BF135" s="106" t="n">
        <v>0</v>
      </c>
      <c r="BG135" s="106" t="n">
        <v>0</v>
      </c>
      <c r="BH135" s="106" t="n">
        <v>0</v>
      </c>
      <c r="BI135" s="106" t="n">
        <v>0</v>
      </c>
      <c r="BJ135" s="106" t="n"/>
      <c r="BK135" s="114" t="n"/>
      <c r="BL135" s="115" t="n"/>
      <c r="BM135" s="14" t="n">
        <f aca="false" ca="true" dt2D="false" dtr="false" t="normal">SUBTOTAL(9, BN135:CB135)</f>
        <v>459932.97</v>
      </c>
      <c r="BN135" s="106" t="n">
        <v>0</v>
      </c>
      <c r="BO135" s="106" t="n">
        <v>0</v>
      </c>
      <c r="BP135" s="133" t="n">
        <v>0</v>
      </c>
      <c r="BQ135" s="106" t="n">
        <v>0</v>
      </c>
      <c r="BR135" s="106" t="n">
        <v>459932.97</v>
      </c>
      <c r="BS135" s="106" t="n"/>
      <c r="BT135" s="106" t="n"/>
      <c r="BU135" s="106" t="n">
        <v>0</v>
      </c>
      <c r="BV135" s="106" t="n">
        <v>0</v>
      </c>
      <c r="BW135" s="106" t="n">
        <v>0</v>
      </c>
      <c r="BX135" s="106" t="n">
        <v>0</v>
      </c>
      <c r="BY135" s="106" t="n">
        <v>0</v>
      </c>
      <c r="BZ135" s="106" t="n"/>
      <c r="CA135" s="114" t="n"/>
      <c r="CB135" s="115" t="n"/>
      <c r="CD135" s="116" t="n">
        <f aca="false" ca="false" dt2D="false" dtr="false" t="normal">+CD134+1</f>
        <v>118</v>
      </c>
      <c r="CE135" s="117" t="n">
        <f aca="false" ca="false" dt2D="false" dtr="false" t="normal">+CE134+1</f>
        <v>118</v>
      </c>
      <c r="CF135" s="104" t="s">
        <v>200</v>
      </c>
      <c r="CG135" s="104" t="s">
        <v>202</v>
      </c>
      <c r="CH135" s="118" t="n">
        <f aca="false" ca="true" dt2D="false" dtr="false" t="normal">SUBTOTAL(9, CI135:CW135)</f>
        <v>459932.97</v>
      </c>
      <c r="CI135" s="106" t="n">
        <v>0</v>
      </c>
      <c r="CJ135" s="106" t="n">
        <v>0</v>
      </c>
      <c r="CK135" s="133" t="n">
        <v>0</v>
      </c>
      <c r="CL135" s="106" t="n">
        <v>0</v>
      </c>
      <c r="CM135" s="106" t="n">
        <v>459932.97</v>
      </c>
      <c r="CN135" s="106" t="n"/>
      <c r="CO135" s="106" t="n"/>
      <c r="CP135" s="106" t="n">
        <v>0</v>
      </c>
      <c r="CQ135" s="106" t="n">
        <v>0</v>
      </c>
      <c r="CR135" s="106" t="n">
        <v>0</v>
      </c>
      <c r="CS135" s="106" t="n">
        <v>0</v>
      </c>
      <c r="CT135" s="106" t="n">
        <v>0</v>
      </c>
      <c r="CU135" s="106" t="n"/>
      <c r="CV135" s="114" t="n"/>
      <c r="CW135" s="115" t="n"/>
      <c r="CZ135" s="104" t="s">
        <v>202</v>
      </c>
      <c r="DA135" s="119" t="n">
        <f aca="false" ca="true" dt2D="false" dtr="false" t="normal">SUBTOTAL(9, DB135:DP135)</f>
        <v>459932.97</v>
      </c>
      <c r="DB135" s="106" t="n">
        <v>0</v>
      </c>
      <c r="DC135" s="106" t="n">
        <v>0</v>
      </c>
      <c r="DD135" s="133" t="n">
        <v>0</v>
      </c>
      <c r="DE135" s="106" t="n">
        <v>0</v>
      </c>
      <c r="DF135" s="106" t="n">
        <v>459932.97</v>
      </c>
      <c r="DG135" s="106" t="n"/>
      <c r="DH135" s="106" t="n"/>
      <c r="DI135" s="106" t="n">
        <v>0</v>
      </c>
      <c r="DJ135" s="106" t="n">
        <v>0</v>
      </c>
      <c r="DK135" s="106" t="n">
        <v>0</v>
      </c>
      <c r="DL135" s="106" t="n">
        <v>0</v>
      </c>
      <c r="DM135" s="106" t="n">
        <v>0</v>
      </c>
      <c r="DN135" s="106" t="n"/>
      <c r="DO135" s="114" t="n"/>
      <c r="DP135" s="115" t="n"/>
      <c r="DQ135" s="3" t="n">
        <f aca="false" ca="false" dt2D="false" dtr="false" t="normal">N135-DA135</f>
        <v>0</v>
      </c>
      <c r="DS135" s="9" t="n"/>
    </row>
    <row customHeight="true" hidden="false" ht="14.25" outlineLevel="0" r="136">
      <c r="A136" s="103" t="n">
        <f aca="false" ca="false" dt2D="false" dtr="false" t="normal">+A135+1</f>
        <v>119</v>
      </c>
      <c r="B136" s="104" t="n">
        <f aca="false" ca="false" dt2D="false" dtr="false" t="normal">+B135+1</f>
        <v>119</v>
      </c>
      <c r="C136" s="104" t="s">
        <v>200</v>
      </c>
      <c r="D136" s="104" t="s">
        <v>203</v>
      </c>
      <c r="E136" s="105" t="n">
        <v>1969</v>
      </c>
      <c r="F136" s="105" t="n">
        <v>2013</v>
      </c>
      <c r="G136" s="105" t="s">
        <v>68</v>
      </c>
      <c r="H136" s="105" t="n">
        <v>4</v>
      </c>
      <c r="I136" s="105" t="n">
        <v>4</v>
      </c>
      <c r="J136" s="106" t="n">
        <v>3016.9</v>
      </c>
      <c r="K136" s="106" t="n">
        <v>2778.3</v>
      </c>
      <c r="L136" s="106" t="n">
        <v>0</v>
      </c>
      <c r="M136" s="107" t="n">
        <v>148</v>
      </c>
      <c r="N136" s="108" t="n">
        <f aca="false" ca="false" dt2D="false" dtr="false" t="normal">SUM(P136:T136)</f>
        <v>7262692.2311</v>
      </c>
      <c r="O136" s="106" t="n"/>
      <c r="P136" s="114" t="n">
        <v>1196060.52</v>
      </c>
      <c r="Q136" s="114" t="n"/>
      <c r="R136" s="114" t="n">
        <v>847797.2</v>
      </c>
      <c r="S136" s="114" t="n">
        <v>2164833.53</v>
      </c>
      <c r="T136" s="114" t="n">
        <v>3054000.9811</v>
      </c>
      <c r="U136" s="106" t="n">
        <v>2667.5426612009</v>
      </c>
      <c r="V136" s="106" t="n">
        <v>2667.5426612009</v>
      </c>
      <c r="W136" s="110" t="n">
        <v>2022</v>
      </c>
      <c r="X136" s="9" t="e">
        <f aca="false" ca="false" dt2D="false" dtr="false" t="normal">+#REF!-'[9]Приложение №1'!$P1314</f>
        <v>#REF!</v>
      </c>
      <c r="Y136" s="1" t="s">
        <v>204</v>
      </c>
      <c r="Z136" s="113" t="n">
        <f aca="false" ca="false" dt2D="false" dtr="false" t="normal">SUM(AA136:AO136)</f>
        <v>43468971.050000004</v>
      </c>
      <c r="AA136" s="106" t="n">
        <v>6634698.56560602</v>
      </c>
      <c r="AB136" s="106" t="n">
        <v>2364215.85959706</v>
      </c>
      <c r="AC136" s="106" t="n">
        <v>2470079.51701938</v>
      </c>
      <c r="AD136" s="106" t="n">
        <v>0</v>
      </c>
      <c r="AE136" s="106" t="n">
        <v>946159.85291436</v>
      </c>
      <c r="AF136" s="106" t="n"/>
      <c r="AG136" s="106" t="n">
        <v>254591.55199296</v>
      </c>
      <c r="AH136" s="106" t="n">
        <v>0</v>
      </c>
      <c r="AI136" s="106" t="n">
        <v>12129238.4675742</v>
      </c>
      <c r="AJ136" s="106" t="n">
        <v>0</v>
      </c>
      <c r="AK136" s="106" t="n">
        <v>6297556.76407788</v>
      </c>
      <c r="AL136" s="106" t="n">
        <v>6792652.12438554</v>
      </c>
      <c r="AM136" s="106" t="n">
        <v>4316528.7305</v>
      </c>
      <c r="AN136" s="114" t="n">
        <v>434689.7105</v>
      </c>
      <c r="AO136" s="115" t="n">
        <v>828559.9058326</v>
      </c>
      <c r="AP136" s="112" t="n">
        <f aca="false" ca="false" dt2D="false" dtr="false" t="normal">+N136-'Приложение №2'!E136</f>
        <v>0</v>
      </c>
      <c r="AQ136" s="1" t="n">
        <f aca="false" ca="false" dt2D="false" dtr="false" t="normal">1200544.79-636134.19</f>
        <v>564410.6000000001</v>
      </c>
      <c r="AR136" s="3" t="n">
        <f aca="false" ca="false" dt2D="false" dtr="false" t="normal">+(K136*10+L136*20)*12*0.85</f>
        <v>283386.6</v>
      </c>
      <c r="AS136" s="3" t="n">
        <f aca="false" ca="false" dt2D="false" dtr="false" t="normal">+(K136*10+L136*20)*12*30-7837046.47</f>
        <v>2164833.5300000003</v>
      </c>
      <c r="AT136" s="9" t="n">
        <f aca="false" ca="false" dt2D="false" dtr="false" t="normal">+S136-AS136</f>
        <v>0</v>
      </c>
      <c r="AW136" s="113" t="n">
        <f aca="false" ca="true" dt2D="false" dtr="false" t="normal">SUBTOTAL(9, AX136:BL136)</f>
        <v>7411233.775614459</v>
      </c>
      <c r="AX136" s="106" t="n"/>
      <c r="AY136" s="106" t="n"/>
      <c r="AZ136" s="106" t="n"/>
      <c r="BA136" s="106" t="n"/>
      <c r="BB136" s="106" t="n"/>
      <c r="BC136" s="106" t="n"/>
      <c r="BD136" s="106" t="n"/>
      <c r="BE136" s="106" t="n"/>
      <c r="BF136" s="106" t="n"/>
      <c r="BG136" s="106" t="n"/>
      <c r="BH136" s="106" t="n"/>
      <c r="BI136" s="106" t="n">
        <v>6404791.89</v>
      </c>
      <c r="BJ136" s="106" t="n">
        <v>779909.401</v>
      </c>
      <c r="BK136" s="114" t="n">
        <v>77990.9401</v>
      </c>
      <c r="BL136" s="115" t="n">
        <v>148541.54451446</v>
      </c>
      <c r="BM136" s="14" t="n">
        <f aca="false" ca="true" dt2D="false" dtr="false" t="normal">SUBTOTAL(9, BN136:CB136)</f>
        <v>7411233.775614459</v>
      </c>
      <c r="BN136" s="106" t="n"/>
      <c r="BO136" s="106" t="n"/>
      <c r="BP136" s="133" t="n"/>
      <c r="BQ136" s="106" t="n"/>
      <c r="BR136" s="106" t="n"/>
      <c r="BS136" s="106" t="n"/>
      <c r="BT136" s="106" t="n"/>
      <c r="BU136" s="106" t="n"/>
      <c r="BV136" s="106" t="n"/>
      <c r="BW136" s="106" t="n"/>
      <c r="BX136" s="106" t="n"/>
      <c r="BY136" s="106" t="n">
        <v>6404791.89</v>
      </c>
      <c r="BZ136" s="106" t="n">
        <v>779909.401</v>
      </c>
      <c r="CA136" s="114" t="n">
        <v>77990.9401</v>
      </c>
      <c r="CB136" s="115" t="n">
        <v>148541.54451446</v>
      </c>
      <c r="CD136" s="116" t="n">
        <f aca="false" ca="false" dt2D="false" dtr="false" t="normal">+CD135+1</f>
        <v>119</v>
      </c>
      <c r="CE136" s="117" t="n">
        <f aca="false" ca="false" dt2D="false" dtr="false" t="normal">+CE135+1</f>
        <v>119</v>
      </c>
      <c r="CF136" s="104" t="s">
        <v>200</v>
      </c>
      <c r="CG136" s="104" t="s">
        <v>203</v>
      </c>
      <c r="CH136" s="118" t="n">
        <f aca="false" ca="true" dt2D="false" dtr="false" t="normal">SUBTOTAL(9, CI136:CW136)</f>
        <v>7411233.775614459</v>
      </c>
      <c r="CI136" s="106" t="n"/>
      <c r="CJ136" s="106" t="n"/>
      <c r="CK136" s="133" t="n"/>
      <c r="CL136" s="106" t="n"/>
      <c r="CM136" s="106" t="n"/>
      <c r="CN136" s="106" t="n"/>
      <c r="CO136" s="106" t="n"/>
      <c r="CP136" s="106" t="n"/>
      <c r="CQ136" s="106" t="n"/>
      <c r="CR136" s="106" t="n"/>
      <c r="CS136" s="106" t="n"/>
      <c r="CT136" s="106" t="n">
        <v>6404791.89</v>
      </c>
      <c r="CU136" s="106" t="n">
        <v>779909.401</v>
      </c>
      <c r="CV136" s="114" t="n">
        <v>77990.9401</v>
      </c>
      <c r="CW136" s="115" t="n">
        <v>148541.54451446</v>
      </c>
      <c r="CZ136" s="104" t="s">
        <v>203</v>
      </c>
      <c r="DA136" s="119" t="n">
        <f aca="false" ca="true" dt2D="false" dtr="false" t="normal">SUBTOTAL(9, DB136:DP136)</f>
        <v>7262692.2310999995</v>
      </c>
      <c r="DB136" s="106" t="n"/>
      <c r="DC136" s="106" t="n"/>
      <c r="DD136" s="133" t="n"/>
      <c r="DE136" s="106" t="n"/>
      <c r="DF136" s="106" t="n"/>
      <c r="DG136" s="106" t="n"/>
      <c r="DH136" s="106" t="n"/>
      <c r="DI136" s="106" t="n"/>
      <c r="DJ136" s="106" t="n"/>
      <c r="DK136" s="106" t="n"/>
      <c r="DL136" s="106" t="n"/>
      <c r="DM136" s="106" t="n">
        <v>6404791.89</v>
      </c>
      <c r="DN136" s="106" t="n">
        <v>779909.401</v>
      </c>
      <c r="DO136" s="114" t="n">
        <v>77990.9401</v>
      </c>
      <c r="DP136" s="122" t="n"/>
      <c r="DQ136" s="3" t="n">
        <f aca="false" ca="false" dt2D="false" dtr="false" t="normal">N136-DA136</f>
        <v>0</v>
      </c>
      <c r="DS136" s="9" t="n"/>
    </row>
    <row hidden="false" ht="15" outlineLevel="0" r="137">
      <c r="A137" s="103" t="n">
        <f aca="false" ca="false" dt2D="false" dtr="false" t="normal">+A136+1</f>
        <v>120</v>
      </c>
      <c r="B137" s="104" t="n">
        <f aca="false" ca="false" dt2D="false" dtr="false" t="normal">+B136+1</f>
        <v>120</v>
      </c>
      <c r="C137" s="104" t="s">
        <v>200</v>
      </c>
      <c r="D137" s="104" t="s">
        <v>205</v>
      </c>
      <c r="E137" s="105" t="n">
        <v>1971</v>
      </c>
      <c r="F137" s="105" t="n">
        <v>1971</v>
      </c>
      <c r="G137" s="105" t="s">
        <v>68</v>
      </c>
      <c r="H137" s="105" t="n">
        <v>4</v>
      </c>
      <c r="I137" s="105" t="n">
        <v>4</v>
      </c>
      <c r="J137" s="106" t="n">
        <v>2851.3</v>
      </c>
      <c r="K137" s="106" t="n">
        <v>2629.3</v>
      </c>
      <c r="L137" s="106" t="n">
        <v>0</v>
      </c>
      <c r="M137" s="107" t="n">
        <v>126</v>
      </c>
      <c r="N137" s="108" t="n">
        <f aca="false" ca="false" dt2D="false" dtr="false" t="normal">SUM(P137:T137)</f>
        <v>1308608.9229</v>
      </c>
      <c r="O137" s="106" t="n"/>
      <c r="P137" s="114" t="n"/>
      <c r="Q137" s="114" t="n"/>
      <c r="R137" s="114" t="n">
        <v>1308608.9229</v>
      </c>
      <c r="S137" s="114" t="n"/>
      <c r="T137" s="106" t="n"/>
      <c r="U137" s="114" t="n">
        <v>501.501682158749</v>
      </c>
      <c r="V137" s="114" t="n">
        <v>501.501682158749</v>
      </c>
      <c r="W137" s="110" t="n">
        <v>2022</v>
      </c>
      <c r="X137" s="9" t="e">
        <f aca="false" ca="false" dt2D="false" dtr="false" t="normal">+#REF!-'[9]Приложение №1'!$P436</f>
        <v>#REF!</v>
      </c>
      <c r="Z137" s="113" t="n">
        <f aca="false" ca="false" dt2D="false" dtr="false" t="normal">SUM(AA137:AO137)</f>
        <v>6580564.03</v>
      </c>
      <c r="AA137" s="106" t="n">
        <v>0</v>
      </c>
      <c r="AB137" s="106" t="n">
        <v>2237961.00035928</v>
      </c>
      <c r="AC137" s="106" t="n">
        <v>2338171.28665806</v>
      </c>
      <c r="AD137" s="106" t="n">
        <v>0</v>
      </c>
      <c r="AE137" s="106" t="n">
        <v>895632.61937688</v>
      </c>
      <c r="AF137" s="106" t="n"/>
      <c r="AG137" s="106" t="n">
        <v>0</v>
      </c>
      <c r="AH137" s="106" t="n">
        <v>0</v>
      </c>
      <c r="AI137" s="106" t="n">
        <v>0</v>
      </c>
      <c r="AJ137" s="106" t="n">
        <v>0</v>
      </c>
      <c r="AK137" s="106" t="n">
        <v>0</v>
      </c>
      <c r="AL137" s="106" t="n">
        <v>0</v>
      </c>
      <c r="AM137" s="106" t="n">
        <v>923337.067</v>
      </c>
      <c r="AN137" s="114" t="n">
        <v>65805.6403</v>
      </c>
      <c r="AO137" s="115" t="n">
        <v>119656.41630578</v>
      </c>
      <c r="AP137" s="112" t="n">
        <f aca="false" ca="false" dt2D="false" dtr="false" t="normal">+N137-'Приложение №2'!E137</f>
        <v>0</v>
      </c>
      <c r="AQ137" s="1" t="n">
        <v>1216435.44</v>
      </c>
      <c r="AR137" s="3" t="n">
        <f aca="false" ca="false" dt2D="false" dtr="false" t="normal">+(K137*10+L137*20)*12*0.85</f>
        <v>268188.6</v>
      </c>
      <c r="AS137" s="3" t="n">
        <f aca="false" ca="false" dt2D="false" dtr="false" t="normal">+(K137*10+L137*20)*12*30</f>
        <v>9465480</v>
      </c>
      <c r="AT137" s="9" t="n">
        <f aca="false" ca="false" dt2D="false" dtr="false" t="normal">+S137-AS137</f>
        <v>-9465480</v>
      </c>
      <c r="AW137" s="113" t="n">
        <f aca="false" ca="true" dt2D="false" dtr="false" t="normal">SUBTOTAL(9, AX137:BL137)</f>
        <v>1318598.3729</v>
      </c>
      <c r="AX137" s="106" t="n">
        <v>0</v>
      </c>
      <c r="AY137" s="106" t="n"/>
      <c r="AZ137" s="106" t="n">
        <v>1005861.31</v>
      </c>
      <c r="BA137" s="106" t="n">
        <v>0</v>
      </c>
      <c r="BB137" s="106" t="n"/>
      <c r="BC137" s="106" t="n"/>
      <c r="BD137" s="106" t="n"/>
      <c r="BE137" s="106" t="n">
        <v>0</v>
      </c>
      <c r="BF137" s="106" t="n">
        <v>0</v>
      </c>
      <c r="BG137" s="106" t="n">
        <v>0</v>
      </c>
      <c r="BH137" s="106" t="n">
        <v>0</v>
      </c>
      <c r="BI137" s="106" t="n">
        <v>0</v>
      </c>
      <c r="BJ137" s="106" t="n">
        <v>268460.939</v>
      </c>
      <c r="BK137" s="114" t="n">
        <v>26846.0939</v>
      </c>
      <c r="BL137" s="115" t="n">
        <v>17430.03</v>
      </c>
      <c r="BM137" s="14" t="n">
        <f aca="false" ca="true" dt2D="false" dtr="false" t="normal">SUBTOTAL(9, BN137:CB137)</f>
        <v>1318598.3729</v>
      </c>
      <c r="BN137" s="106" t="n">
        <v>0</v>
      </c>
      <c r="BO137" s="106" t="n"/>
      <c r="BP137" s="133" t="n">
        <v>1005861.31</v>
      </c>
      <c r="BQ137" s="106" t="n">
        <v>0</v>
      </c>
      <c r="BR137" s="106" t="n"/>
      <c r="BS137" s="106" t="n"/>
      <c r="BT137" s="106" t="n"/>
      <c r="BU137" s="106" t="n">
        <v>0</v>
      </c>
      <c r="BV137" s="106" t="n">
        <v>0</v>
      </c>
      <c r="BW137" s="106" t="n">
        <v>0</v>
      </c>
      <c r="BX137" s="106" t="n">
        <v>0</v>
      </c>
      <c r="BY137" s="106" t="n">
        <v>0</v>
      </c>
      <c r="BZ137" s="106" t="n">
        <v>268460.939</v>
      </c>
      <c r="CA137" s="114" t="n">
        <v>26846.0939</v>
      </c>
      <c r="CB137" s="115" t="n">
        <v>17430.03</v>
      </c>
      <c r="CD137" s="116" t="n">
        <f aca="false" ca="false" dt2D="false" dtr="false" t="normal">+CD136+1</f>
        <v>120</v>
      </c>
      <c r="CE137" s="117" t="n">
        <f aca="false" ca="false" dt2D="false" dtr="false" t="normal">+CE136+1</f>
        <v>120</v>
      </c>
      <c r="CF137" s="104" t="s">
        <v>200</v>
      </c>
      <c r="CG137" s="104" t="s">
        <v>205</v>
      </c>
      <c r="CH137" s="118" t="n">
        <f aca="false" ca="true" dt2D="false" dtr="false" t="normal">SUBTOTAL(9, CI137:CW137)</f>
        <v>1318598.3729</v>
      </c>
      <c r="CI137" s="106" t="n">
        <v>0</v>
      </c>
      <c r="CJ137" s="106" t="n"/>
      <c r="CK137" s="133" t="n">
        <v>1005861.31</v>
      </c>
      <c r="CL137" s="106" t="n">
        <v>0</v>
      </c>
      <c r="CM137" s="106" t="n"/>
      <c r="CN137" s="106" t="n"/>
      <c r="CO137" s="106" t="n"/>
      <c r="CP137" s="106" t="n">
        <v>0</v>
      </c>
      <c r="CQ137" s="106" t="n">
        <v>0</v>
      </c>
      <c r="CR137" s="106" t="n">
        <v>0</v>
      </c>
      <c r="CS137" s="106" t="n">
        <v>0</v>
      </c>
      <c r="CT137" s="106" t="n">
        <v>0</v>
      </c>
      <c r="CU137" s="106" t="n">
        <v>268460.939</v>
      </c>
      <c r="CV137" s="114" t="n">
        <v>26846.0939</v>
      </c>
      <c r="CW137" s="115" t="n">
        <v>17430.03</v>
      </c>
      <c r="CZ137" s="104" t="s">
        <v>205</v>
      </c>
      <c r="DA137" s="119" t="n">
        <f aca="false" ca="true" dt2D="false" dtr="false" t="normal">SUBTOTAL(9, DB137:DP137)</f>
        <v>1308608.9229000001</v>
      </c>
      <c r="DB137" s="106" t="n">
        <v>0</v>
      </c>
      <c r="DC137" s="106" t="n"/>
      <c r="DD137" s="133" t="n">
        <v>1005861.31</v>
      </c>
      <c r="DE137" s="106" t="n">
        <v>0</v>
      </c>
      <c r="DF137" s="106" t="n"/>
      <c r="DG137" s="106" t="n"/>
      <c r="DH137" s="106" t="n"/>
      <c r="DI137" s="106" t="n">
        <v>0</v>
      </c>
      <c r="DJ137" s="106" t="n">
        <v>0</v>
      </c>
      <c r="DK137" s="106" t="n">
        <v>0</v>
      </c>
      <c r="DL137" s="106" t="n">
        <v>0</v>
      </c>
      <c r="DM137" s="106" t="n">
        <v>0</v>
      </c>
      <c r="DN137" s="106" t="n">
        <v>268460.939</v>
      </c>
      <c r="DO137" s="114" t="n">
        <v>26846.0939</v>
      </c>
      <c r="DP137" s="128" t="n">
        <v>7440.58</v>
      </c>
      <c r="DQ137" s="3" t="n">
        <f aca="false" ca="false" dt2D="false" dtr="false" t="normal">N137-DA137</f>
        <v>0</v>
      </c>
      <c r="DS137" s="9" t="n"/>
    </row>
    <row hidden="false" ht="15" outlineLevel="0" r="138">
      <c r="A138" s="103" t="n">
        <f aca="false" ca="false" dt2D="false" dtr="false" t="normal">+A137+1</f>
        <v>121</v>
      </c>
      <c r="B138" s="104" t="n">
        <f aca="false" ca="false" dt2D="false" dtr="false" t="normal">+B137+1</f>
        <v>121</v>
      </c>
      <c r="C138" s="104" t="s">
        <v>200</v>
      </c>
      <c r="D138" s="104" t="s">
        <v>206</v>
      </c>
      <c r="E138" s="105" t="n">
        <v>1962</v>
      </c>
      <c r="F138" s="105" t="n">
        <v>1962</v>
      </c>
      <c r="G138" s="105" t="s">
        <v>68</v>
      </c>
      <c r="H138" s="105" t="n">
        <v>2</v>
      </c>
      <c r="I138" s="105" t="n">
        <v>1</v>
      </c>
      <c r="J138" s="106" t="n">
        <v>618.7</v>
      </c>
      <c r="K138" s="106" t="n">
        <v>460.5</v>
      </c>
      <c r="L138" s="106" t="n">
        <v>0</v>
      </c>
      <c r="M138" s="107" t="n">
        <v>45</v>
      </c>
      <c r="N138" s="108" t="n">
        <f aca="false" ca="false" dt2D="false" dtr="false" t="normal">SUM(P138:T138)</f>
        <v>2408460.1</v>
      </c>
      <c r="O138" s="106" t="n"/>
      <c r="P138" s="106" t="n">
        <v>705615.64</v>
      </c>
      <c r="Q138" s="114" t="n"/>
      <c r="R138" s="114" t="n">
        <v>252901.75</v>
      </c>
      <c r="S138" s="114" t="n">
        <v>1449942.71</v>
      </c>
      <c r="T138" s="114" t="n"/>
      <c r="U138" s="106" t="n">
        <v>5423.60798645429</v>
      </c>
      <c r="V138" s="106" t="n">
        <v>5423.60798645429</v>
      </c>
      <c r="W138" s="110" t="n">
        <v>2022</v>
      </c>
      <c r="X138" s="9" t="e">
        <f aca="false" ca="false" dt2D="false" dtr="false" t="normal">+#REF!-'[9]Приложение №1'!$P640</f>
        <v>#REF!</v>
      </c>
      <c r="Z138" s="113" t="n">
        <f aca="false" ca="false" dt2D="false" dtr="false" t="normal">SUM(AA138:AO138)</f>
        <v>6521557.450000001</v>
      </c>
      <c r="AA138" s="106" t="n">
        <v>0</v>
      </c>
      <c r="AB138" s="106" t="n">
        <v>875995.49980992</v>
      </c>
      <c r="AC138" s="106" t="n">
        <v>411337.83054588</v>
      </c>
      <c r="AD138" s="106" t="n">
        <v>350714.74954488</v>
      </c>
      <c r="AE138" s="106" t="n">
        <v>0</v>
      </c>
      <c r="AF138" s="106" t="n"/>
      <c r="AG138" s="106" t="n">
        <v>0</v>
      </c>
      <c r="AH138" s="106" t="n">
        <v>0</v>
      </c>
      <c r="AI138" s="106" t="n">
        <v>4074971.6952378</v>
      </c>
      <c r="AJ138" s="106" t="n">
        <v>0</v>
      </c>
      <c r="AK138" s="106" t="n">
        <v>0</v>
      </c>
      <c r="AL138" s="106" t="n">
        <v>0</v>
      </c>
      <c r="AM138" s="106" t="n">
        <v>618389.9287</v>
      </c>
      <c r="AN138" s="114" t="n">
        <v>65215.5745</v>
      </c>
      <c r="AO138" s="115" t="n">
        <v>124932.17166152</v>
      </c>
      <c r="AP138" s="112" t="n">
        <f aca="false" ca="false" dt2D="false" dtr="false" t="normal">+N138-'Приложение №2'!E138</f>
        <v>0</v>
      </c>
      <c r="AQ138" s="1" t="n">
        <v>205930.75</v>
      </c>
      <c r="AR138" s="3" t="n">
        <f aca="false" ca="false" dt2D="false" dtr="false" t="normal">+(K138*10+L138*20)*12*0.85</f>
        <v>46971</v>
      </c>
      <c r="AS138" s="3" t="n">
        <f aca="false" ca="false" dt2D="false" dtr="false" t="normal">+(K138*10+L138*20)*12*30-133800.13</f>
        <v>1523999.87</v>
      </c>
      <c r="AT138" s="9" t="n">
        <f aca="false" ca="false" dt2D="false" dtr="false" t="normal">+S138-AS138</f>
        <v>-74057.16000000015</v>
      </c>
      <c r="AU138" s="9" t="e">
        <f aca="false" ca="false" dt2D="false" dtr="false" t="normal">+P138-'[5]Приложение №1'!$P336</f>
        <v>#REF!</v>
      </c>
      <c r="AV138" s="9" t="e">
        <f aca="false" ca="false" dt2D="false" dtr="false" t="normal">+Q138-'[5]Приложение №1'!$Q336</f>
        <v>#REF!</v>
      </c>
      <c r="AW138" s="113" t="n">
        <f aca="false" ca="true" dt2D="false" dtr="false" t="normal">SUBTOTAL(9, AX138:BL138)</f>
        <v>2497571.4777622</v>
      </c>
      <c r="AX138" s="106" t="n">
        <v>0</v>
      </c>
      <c r="AY138" s="106" t="n"/>
      <c r="AZ138" s="106" t="n"/>
      <c r="BA138" s="106" t="n"/>
      <c r="BB138" s="106" t="n">
        <v>0</v>
      </c>
      <c r="BC138" s="106" t="n"/>
      <c r="BD138" s="106" t="n"/>
      <c r="BE138" s="106" t="n">
        <v>0</v>
      </c>
      <c r="BF138" s="106" t="n">
        <v>2408460.1</v>
      </c>
      <c r="BG138" s="106" t="n">
        <v>0</v>
      </c>
      <c r="BH138" s="106" t="n">
        <v>0</v>
      </c>
      <c r="BI138" s="106" t="n">
        <v>0</v>
      </c>
      <c r="BJ138" s="106" t="n"/>
      <c r="BK138" s="114" t="n"/>
      <c r="BL138" s="115" t="n">
        <v>89111.3777622</v>
      </c>
      <c r="BM138" s="14" t="n">
        <f aca="false" ca="true" dt2D="false" dtr="false" t="normal">SUBTOTAL(9, BN138:CB138)</f>
        <v>2497571.4777622</v>
      </c>
      <c r="BN138" s="106" t="n">
        <v>0</v>
      </c>
      <c r="BO138" s="106" t="n"/>
      <c r="BP138" s="133" t="n"/>
      <c r="BQ138" s="106" t="n"/>
      <c r="BR138" s="106" t="n">
        <v>0</v>
      </c>
      <c r="BS138" s="106" t="n"/>
      <c r="BT138" s="106" t="n"/>
      <c r="BU138" s="106" t="n">
        <v>0</v>
      </c>
      <c r="BV138" s="106" t="n">
        <v>2408460.1</v>
      </c>
      <c r="BW138" s="106" t="n">
        <v>0</v>
      </c>
      <c r="BX138" s="106" t="n">
        <v>0</v>
      </c>
      <c r="BY138" s="106" t="n">
        <v>0</v>
      </c>
      <c r="BZ138" s="106" t="n"/>
      <c r="CA138" s="114" t="n"/>
      <c r="CB138" s="115" t="n">
        <v>89111.3777622</v>
      </c>
      <c r="CD138" s="116" t="n">
        <f aca="false" ca="false" dt2D="false" dtr="false" t="normal">+CD137+1</f>
        <v>121</v>
      </c>
      <c r="CE138" s="117" t="n">
        <f aca="false" ca="false" dt2D="false" dtr="false" t="normal">+CE137+1</f>
        <v>121</v>
      </c>
      <c r="CF138" s="104" t="s">
        <v>200</v>
      </c>
      <c r="CG138" s="104" t="s">
        <v>206</v>
      </c>
      <c r="CH138" s="118" t="n">
        <f aca="false" ca="true" dt2D="false" dtr="false" t="normal">SUBTOTAL(9, CI138:CW138)</f>
        <v>2497571.4777622</v>
      </c>
      <c r="CI138" s="106" t="n">
        <v>0</v>
      </c>
      <c r="CJ138" s="106" t="n"/>
      <c r="CK138" s="133" t="n"/>
      <c r="CL138" s="106" t="n"/>
      <c r="CM138" s="106" t="n">
        <v>0</v>
      </c>
      <c r="CN138" s="106" t="n"/>
      <c r="CO138" s="106" t="n"/>
      <c r="CP138" s="106" t="n">
        <v>0</v>
      </c>
      <c r="CQ138" s="106" t="n">
        <v>2408460.1</v>
      </c>
      <c r="CR138" s="106" t="n">
        <v>0</v>
      </c>
      <c r="CS138" s="106" t="n">
        <v>0</v>
      </c>
      <c r="CT138" s="106" t="n">
        <v>0</v>
      </c>
      <c r="CU138" s="106" t="n"/>
      <c r="CV138" s="114" t="n"/>
      <c r="CW138" s="115" t="n">
        <v>89111.3777622</v>
      </c>
      <c r="CZ138" s="104" t="s">
        <v>206</v>
      </c>
      <c r="DA138" s="119" t="n">
        <f aca="false" ca="true" dt2D="false" dtr="false" t="normal">SUBTOTAL(9, DB138:DP138)</f>
        <v>2408460.1</v>
      </c>
      <c r="DB138" s="106" t="n">
        <v>0</v>
      </c>
      <c r="DC138" s="106" t="n"/>
      <c r="DD138" s="133" t="n"/>
      <c r="DE138" s="106" t="n"/>
      <c r="DF138" s="106" t="n">
        <v>0</v>
      </c>
      <c r="DG138" s="106" t="n"/>
      <c r="DH138" s="106" t="n"/>
      <c r="DI138" s="106" t="n">
        <v>0</v>
      </c>
      <c r="DJ138" s="106" t="n">
        <v>2408460.1</v>
      </c>
      <c r="DK138" s="106" t="n">
        <v>0</v>
      </c>
      <c r="DL138" s="106" t="n">
        <v>0</v>
      </c>
      <c r="DM138" s="106" t="n">
        <v>0</v>
      </c>
      <c r="DN138" s="106" t="n"/>
      <c r="DO138" s="114" t="n"/>
      <c r="DP138" s="122" t="n"/>
      <c r="DQ138" s="3" t="n">
        <f aca="false" ca="false" dt2D="false" dtr="false" t="normal">N138-DA138</f>
        <v>0</v>
      </c>
      <c r="DS138" s="9" t="n"/>
    </row>
    <row hidden="false" ht="15" outlineLevel="0" r="139">
      <c r="A139" s="103" t="n">
        <f aca="false" ca="false" dt2D="false" dtr="false" t="normal">+A138+1</f>
        <v>122</v>
      </c>
      <c r="B139" s="104" t="n">
        <f aca="false" ca="false" dt2D="false" dtr="false" t="normal">+B138+1</f>
        <v>122</v>
      </c>
      <c r="C139" s="104" t="s">
        <v>207</v>
      </c>
      <c r="D139" s="104" t="s">
        <v>208</v>
      </c>
      <c r="E139" s="105" t="n">
        <v>1983</v>
      </c>
      <c r="F139" s="105" t="n">
        <v>1983</v>
      </c>
      <c r="G139" s="105" t="s">
        <v>68</v>
      </c>
      <c r="H139" s="105" t="n">
        <v>2</v>
      </c>
      <c r="I139" s="105" t="n">
        <v>2</v>
      </c>
      <c r="J139" s="106" t="n">
        <v>910.77</v>
      </c>
      <c r="K139" s="106" t="n">
        <v>841.26</v>
      </c>
      <c r="L139" s="106" t="n">
        <v>0</v>
      </c>
      <c r="M139" s="107" t="n">
        <v>34</v>
      </c>
      <c r="N139" s="108" t="n">
        <f aca="false" ca="false" dt2D="false" dtr="false" t="normal">SUM(P139:T139)</f>
        <v>918312.05</v>
      </c>
      <c r="O139" s="106" t="n"/>
      <c r="P139" s="13" t="n"/>
      <c r="Q139" s="114" t="n"/>
      <c r="R139" s="114" t="n">
        <v>393318.14</v>
      </c>
      <c r="S139" s="114" t="n">
        <v>524993.91</v>
      </c>
      <c r="T139" s="106" t="n"/>
      <c r="U139" s="114" t="n">
        <v>1162.53874170532</v>
      </c>
      <c r="V139" s="114" t="n">
        <v>1162.53874170532</v>
      </c>
      <c r="W139" s="110" t="n">
        <v>2022</v>
      </c>
      <c r="X139" s="9" t="e">
        <f aca="false" ca="false" dt2D="false" dtr="false" t="normal">+#REF!-'[9]Приложение №1'!$P742</f>
        <v>#REF!</v>
      </c>
      <c r="Z139" s="113" t="n">
        <f aca="false" ca="false" dt2D="false" dtr="false" t="normal">SUM(AA139:AO139)</f>
        <v>6295969.41</v>
      </c>
      <c r="AA139" s="106" t="n">
        <v>2467129.67841522</v>
      </c>
      <c r="AB139" s="106" t="n">
        <v>1501213.4170404</v>
      </c>
      <c r="AC139" s="106" t="n">
        <v>707372.31680262</v>
      </c>
      <c r="AD139" s="106" t="n">
        <v>602841.43419444</v>
      </c>
      <c r="AE139" s="106" t="n">
        <v>0</v>
      </c>
      <c r="AF139" s="106" t="n"/>
      <c r="AG139" s="106" t="n">
        <v>262217.35903776</v>
      </c>
      <c r="AH139" s="106" t="n">
        <v>0</v>
      </c>
      <c r="AI139" s="106" t="n">
        <v>0</v>
      </c>
      <c r="AJ139" s="106" t="n">
        <v>0</v>
      </c>
      <c r="AK139" s="106" t="n">
        <v>0</v>
      </c>
      <c r="AL139" s="106" t="n">
        <v>0</v>
      </c>
      <c r="AM139" s="106" t="n">
        <v>571070.0005</v>
      </c>
      <c r="AN139" s="114" t="n">
        <v>62959.6941</v>
      </c>
      <c r="AO139" s="115" t="n">
        <v>121165.50990956</v>
      </c>
      <c r="AP139" s="112" t="n">
        <f aca="false" ca="false" dt2D="false" dtr="false" t="normal">+N139-'Приложение №2'!E139</f>
        <v>0</v>
      </c>
      <c r="AQ139" s="1" t="n">
        <f aca="false" ca="false" dt2D="false" dtr="false" t="normal">380898.3-73388.68</f>
        <v>307509.62</v>
      </c>
      <c r="AR139" s="3" t="n">
        <f aca="false" ca="false" dt2D="false" dtr="false" t="normal">+(K139*10+L139*20)*12*0.85</f>
        <v>85808.52</v>
      </c>
      <c r="AS139" s="3" t="n">
        <f aca="false" ca="false" dt2D="false" dtr="false" t="normal">+(K139*10+L139*20)*12*30-439562.52</f>
        <v>2588973.4800000004</v>
      </c>
      <c r="AT139" s="9" t="n">
        <f aca="false" ca="false" dt2D="false" dtr="false" t="normal">+S139-AS139</f>
        <v>-2063979.5700000003</v>
      </c>
      <c r="AW139" s="113" t="n">
        <f aca="false" ca="true" dt2D="false" dtr="false" t="normal">SUBTOTAL(9, AX139:BL139)</f>
        <v>977997.3418470201</v>
      </c>
      <c r="AX139" s="106" t="n">
        <v>918312.05</v>
      </c>
      <c r="AY139" s="106" t="n"/>
      <c r="AZ139" s="106" t="n"/>
      <c r="BA139" s="106" t="n"/>
      <c r="BB139" s="106" t="n">
        <v>0</v>
      </c>
      <c r="BC139" s="106" t="n"/>
      <c r="BD139" s="106" t="n"/>
      <c r="BE139" s="106" t="n">
        <v>0</v>
      </c>
      <c r="BF139" s="106" t="n">
        <v>0</v>
      </c>
      <c r="BG139" s="106" t="n">
        <v>0</v>
      </c>
      <c r="BH139" s="106" t="n">
        <v>0</v>
      </c>
      <c r="BI139" s="106" t="n">
        <v>0</v>
      </c>
      <c r="BJ139" s="106" t="n"/>
      <c r="BK139" s="114" t="n"/>
      <c r="BL139" s="115" t="n">
        <v>59685.29184702</v>
      </c>
      <c r="BM139" s="14" t="n">
        <f aca="false" ca="true" dt2D="false" dtr="false" t="normal">SUBTOTAL(9, BN139:CB139)</f>
        <v>977997.3418470201</v>
      </c>
      <c r="BN139" s="106" t="n">
        <v>918312.05</v>
      </c>
      <c r="BO139" s="106" t="n"/>
      <c r="BP139" s="133" t="n"/>
      <c r="BQ139" s="106" t="n"/>
      <c r="BR139" s="106" t="n">
        <v>0</v>
      </c>
      <c r="BS139" s="106" t="n"/>
      <c r="BT139" s="106" t="n"/>
      <c r="BU139" s="106" t="n">
        <v>0</v>
      </c>
      <c r="BV139" s="106" t="n">
        <v>0</v>
      </c>
      <c r="BW139" s="106" t="n">
        <v>0</v>
      </c>
      <c r="BX139" s="106" t="n">
        <v>0</v>
      </c>
      <c r="BY139" s="106" t="n">
        <v>0</v>
      </c>
      <c r="BZ139" s="106" t="n"/>
      <c r="CA139" s="114" t="n"/>
      <c r="CB139" s="115" t="n">
        <v>59685.29184702</v>
      </c>
      <c r="CD139" s="116" t="n">
        <f aca="false" ca="false" dt2D="false" dtr="false" t="normal">+CD138+1</f>
        <v>122</v>
      </c>
      <c r="CE139" s="117" t="n">
        <f aca="false" ca="false" dt2D="false" dtr="false" t="normal">+CE138+1</f>
        <v>122</v>
      </c>
      <c r="CF139" s="104" t="s">
        <v>207</v>
      </c>
      <c r="CG139" s="104" t="s">
        <v>208</v>
      </c>
      <c r="CH139" s="118" t="n">
        <f aca="false" ca="true" dt2D="false" dtr="false" t="normal">SUBTOTAL(9, CI139:CW139)</f>
        <v>977997.3418470201</v>
      </c>
      <c r="CI139" s="106" t="n">
        <v>918312.05</v>
      </c>
      <c r="CJ139" s="106" t="n"/>
      <c r="CK139" s="133" t="n"/>
      <c r="CL139" s="106" t="n"/>
      <c r="CM139" s="106" t="n">
        <v>0</v>
      </c>
      <c r="CN139" s="106" t="n"/>
      <c r="CO139" s="106" t="n"/>
      <c r="CP139" s="106" t="n">
        <v>0</v>
      </c>
      <c r="CQ139" s="106" t="n">
        <v>0</v>
      </c>
      <c r="CR139" s="106" t="n">
        <v>0</v>
      </c>
      <c r="CS139" s="106" t="n">
        <v>0</v>
      </c>
      <c r="CT139" s="106" t="n">
        <v>0</v>
      </c>
      <c r="CU139" s="106" t="n"/>
      <c r="CV139" s="114" t="n"/>
      <c r="CW139" s="115" t="n">
        <v>59685.29184702</v>
      </c>
      <c r="CZ139" s="104" t="s">
        <v>208</v>
      </c>
      <c r="DA139" s="119" t="n">
        <f aca="false" ca="true" dt2D="false" dtr="false" t="normal">SUBTOTAL(9, DB139:DP139)</f>
        <v>918312.05</v>
      </c>
      <c r="DB139" s="106" t="n">
        <v>918312.05</v>
      </c>
      <c r="DC139" s="106" t="n"/>
      <c r="DD139" s="133" t="n"/>
      <c r="DE139" s="106" t="n"/>
      <c r="DF139" s="106" t="n">
        <v>0</v>
      </c>
      <c r="DG139" s="106" t="n"/>
      <c r="DH139" s="106" t="n"/>
      <c r="DI139" s="106" t="n">
        <v>0</v>
      </c>
      <c r="DJ139" s="106" t="n">
        <v>0</v>
      </c>
      <c r="DK139" s="106" t="n">
        <v>0</v>
      </c>
      <c r="DL139" s="106" t="n">
        <v>0</v>
      </c>
      <c r="DM139" s="106" t="n">
        <v>0</v>
      </c>
      <c r="DN139" s="106" t="n"/>
      <c r="DO139" s="114" t="n"/>
      <c r="DP139" s="122" t="n"/>
      <c r="DQ139" s="3" t="n">
        <f aca="false" ca="false" dt2D="false" dtr="false" t="normal">N139-DA139</f>
        <v>0</v>
      </c>
      <c r="DS139" s="9" t="n"/>
    </row>
    <row hidden="false" ht="15" outlineLevel="0" r="140">
      <c r="A140" s="103" t="n">
        <f aca="false" ca="false" dt2D="false" dtr="false" t="normal">+A139+1</f>
        <v>123</v>
      </c>
      <c r="B140" s="104" t="n">
        <f aca="false" ca="false" dt2D="false" dtr="false" t="normal">+B139+1</f>
        <v>123</v>
      </c>
      <c r="C140" s="104" t="s">
        <v>209</v>
      </c>
      <c r="D140" s="104" t="s">
        <v>210</v>
      </c>
      <c r="E140" s="105" t="n">
        <v>1976</v>
      </c>
      <c r="F140" s="105" t="n">
        <v>2008</v>
      </c>
      <c r="G140" s="105" t="s">
        <v>68</v>
      </c>
      <c r="H140" s="105" t="n">
        <v>4</v>
      </c>
      <c r="I140" s="105" t="n">
        <v>4</v>
      </c>
      <c r="J140" s="106" t="n">
        <v>4257.32</v>
      </c>
      <c r="K140" s="106" t="n">
        <v>3128.38</v>
      </c>
      <c r="L140" s="106" t="n">
        <v>991.08</v>
      </c>
      <c r="M140" s="107" t="n">
        <v>124</v>
      </c>
      <c r="N140" s="108" t="n">
        <f aca="false" ca="false" dt2D="false" dtr="false" t="normal">SUM(P140:T140)</f>
        <v>5233450.9559</v>
      </c>
      <c r="O140" s="106" t="n"/>
      <c r="P140" s="114" t="n"/>
      <c r="Q140" s="114" t="n"/>
      <c r="R140" s="114" t="n">
        <v>1333462.67</v>
      </c>
      <c r="S140" s="114" t="n">
        <v>3899988.2859</v>
      </c>
      <c r="T140" s="106" t="n"/>
      <c r="U140" s="114" t="n">
        <v>1329.07443314991</v>
      </c>
      <c r="V140" s="114" t="n">
        <v>1329.07443314991</v>
      </c>
      <c r="W140" s="110" t="n">
        <v>2022</v>
      </c>
      <c r="X140" s="9" t="e">
        <f aca="false" ca="false" dt2D="false" dtr="false" t="normal">+#REF!-'[9]Приложение №1'!$P565</f>
        <v>#REF!</v>
      </c>
      <c r="Z140" s="113" t="n">
        <f aca="false" ca="false" dt2D="false" dtr="false" t="normal">SUM(AA140:AO140)</f>
        <v>16411728.57</v>
      </c>
      <c r="AA140" s="106" t="n">
        <v>7185234.17054898</v>
      </c>
      <c r="AB140" s="106" t="n">
        <v>2542217.28366648</v>
      </c>
      <c r="AC140" s="106" t="n">
        <v>0</v>
      </c>
      <c r="AD140" s="106" t="n">
        <v>1662855.463857</v>
      </c>
      <c r="AE140" s="106" t="n">
        <v>2127796.98241194</v>
      </c>
      <c r="AF140" s="106" t="n"/>
      <c r="AG140" s="106" t="n">
        <v>285097.02429768</v>
      </c>
      <c r="AH140" s="106" t="n">
        <v>0</v>
      </c>
      <c r="AI140" s="106" t="n">
        <v>0</v>
      </c>
      <c r="AJ140" s="106" t="n">
        <v>0</v>
      </c>
      <c r="AK140" s="106" t="n">
        <v>0</v>
      </c>
      <c r="AL140" s="106" t="n">
        <v>0</v>
      </c>
      <c r="AM140" s="106" t="n">
        <v>2142562.3115</v>
      </c>
      <c r="AN140" s="114" t="n">
        <v>164117.2857</v>
      </c>
      <c r="AO140" s="115" t="n">
        <v>301848.04801792</v>
      </c>
      <c r="AP140" s="112" t="n">
        <f aca="false" ca="false" dt2D="false" dtr="false" t="normal">+N140-'Приложение №2'!E140</f>
        <v>0</v>
      </c>
      <c r="AQ140" s="1" t="n">
        <f aca="false" ca="false" dt2D="false" dtr="false" t="normal">1377282.4-565094.81</f>
        <v>812187.5899999999</v>
      </c>
      <c r="AR140" s="3" t="n">
        <f aca="false" ca="false" dt2D="false" dtr="false" t="normal">+(K140*10+L140*20)*12*0.85</f>
        <v>521275.08</v>
      </c>
      <c r="AS140" s="3" t="n">
        <f aca="false" ca="false" dt2D="false" dtr="false" t="normal">+(K140*10+L140*20)*12*30-180969.62</f>
        <v>18216974.38</v>
      </c>
      <c r="AT140" s="9" t="n">
        <f aca="false" ca="false" dt2D="false" dtr="false" t="normal">+S140-AS140</f>
        <v>-14316986.094099998</v>
      </c>
      <c r="AW140" s="113" t="n">
        <f aca="false" ca="true" dt2D="false" dtr="false" t="normal">SUBTOTAL(9, AX140:BL140)</f>
        <v>5475068.96438374</v>
      </c>
      <c r="AX140" s="106" t="n"/>
      <c r="AY140" s="106" t="n"/>
      <c r="AZ140" s="106" t="n">
        <v>0</v>
      </c>
      <c r="BA140" s="106" t="n"/>
      <c r="BB140" s="106" t="n"/>
      <c r="BC140" s="106" t="n"/>
      <c r="BD140" s="106" t="n"/>
      <c r="BE140" s="106" t="n">
        <v>0</v>
      </c>
      <c r="BF140" s="106" t="n">
        <v>0</v>
      </c>
      <c r="BH140" s="106" t="n">
        <v>0</v>
      </c>
      <c r="BI140" s="106" t="n">
        <v>3924912.66</v>
      </c>
      <c r="BJ140" s="106" t="n">
        <v>1200305.659</v>
      </c>
      <c r="BK140" s="114" t="n">
        <v>108232.6369</v>
      </c>
      <c r="BL140" s="115" t="n">
        <v>241618.00848374</v>
      </c>
      <c r="BM140" s="14" t="n">
        <f aca="false" ca="true" dt2D="false" dtr="false" t="normal">SUBTOTAL(9, BN140:CB140)</f>
        <v>5475068.96438374</v>
      </c>
      <c r="BN140" s="106" t="n"/>
      <c r="BO140" s="106" t="n"/>
      <c r="BP140" s="133" t="n">
        <v>0</v>
      </c>
      <c r="BQ140" s="106" t="n"/>
      <c r="BR140" s="106" t="n"/>
      <c r="BS140" s="106" t="n"/>
      <c r="BT140" s="106" t="n"/>
      <c r="BU140" s="106" t="n">
        <v>0</v>
      </c>
      <c r="BV140" s="106" t="n">
        <v>0</v>
      </c>
      <c r="BX140" s="106" t="n">
        <v>0</v>
      </c>
      <c r="BY140" s="106" t="n">
        <v>3924912.66</v>
      </c>
      <c r="BZ140" s="106" t="n">
        <v>1200305.659</v>
      </c>
      <c r="CA140" s="114" t="n">
        <v>108232.6369</v>
      </c>
      <c r="CB140" s="115" t="n">
        <v>241618.00848374</v>
      </c>
      <c r="CD140" s="116" t="n">
        <f aca="false" ca="false" dt2D="false" dtr="false" t="normal">+CD139+1</f>
        <v>123</v>
      </c>
      <c r="CE140" s="117" t="n">
        <f aca="false" ca="false" dt2D="false" dtr="false" t="normal">+CE139+1</f>
        <v>123</v>
      </c>
      <c r="CF140" s="104" t="s">
        <v>209</v>
      </c>
      <c r="CG140" s="104" t="s">
        <v>210</v>
      </c>
      <c r="CH140" s="118" t="n">
        <f aca="false" ca="true" dt2D="false" dtr="false" t="normal">SUBTOTAL(9, CI140:CW140)</f>
        <v>5475068.96438374</v>
      </c>
      <c r="CI140" s="106" t="n"/>
      <c r="CJ140" s="106" t="n"/>
      <c r="CK140" s="133" t="n">
        <v>0</v>
      </c>
      <c r="CL140" s="106" t="n"/>
      <c r="CM140" s="106" t="n"/>
      <c r="CN140" s="106" t="n"/>
      <c r="CO140" s="106" t="n"/>
      <c r="CP140" s="106" t="n">
        <v>0</v>
      </c>
      <c r="CQ140" s="106" t="n">
        <v>0</v>
      </c>
      <c r="CS140" s="106" t="n">
        <v>0</v>
      </c>
      <c r="CT140" s="106" t="n">
        <v>3924912.66</v>
      </c>
      <c r="CU140" s="106" t="n">
        <v>1200305.659</v>
      </c>
      <c r="CV140" s="114" t="n">
        <v>108232.6369</v>
      </c>
      <c r="CW140" s="115" t="n">
        <v>241618.00848374</v>
      </c>
      <c r="CZ140" s="104" t="s">
        <v>210</v>
      </c>
      <c r="DA140" s="119" t="n">
        <f aca="false" ca="true" dt2D="false" dtr="false" t="normal">SUBTOTAL(9, DB140:DP140)</f>
        <v>5233450.9559</v>
      </c>
      <c r="DB140" s="106" t="n"/>
      <c r="DC140" s="106" t="n"/>
      <c r="DD140" s="133" t="n">
        <v>0</v>
      </c>
      <c r="DE140" s="106" t="n"/>
      <c r="DF140" s="106" t="n"/>
      <c r="DG140" s="106" t="n"/>
      <c r="DH140" s="106" t="n"/>
      <c r="DI140" s="106" t="n">
        <v>0</v>
      </c>
      <c r="DJ140" s="106" t="n">
        <v>0</v>
      </c>
      <c r="DL140" s="106" t="n">
        <v>0</v>
      </c>
      <c r="DM140" s="106" t="n">
        <v>3924912.66</v>
      </c>
      <c r="DN140" s="106" t="n">
        <v>1200305.659</v>
      </c>
      <c r="DO140" s="114" t="n">
        <v>108232.6369</v>
      </c>
      <c r="DP140" s="122" t="n"/>
      <c r="DQ140" s="3" t="n">
        <f aca="false" ca="false" dt2D="false" dtr="false" t="normal">N140-DA140</f>
        <v>0</v>
      </c>
      <c r="DS140" s="9" t="n"/>
    </row>
    <row hidden="false" ht="15" outlineLevel="0" r="141">
      <c r="A141" s="103" t="n">
        <f aca="false" ca="false" dt2D="false" dtr="false" t="normal">+A140+1</f>
        <v>124</v>
      </c>
      <c r="B141" s="104" t="n">
        <f aca="false" ca="false" dt2D="false" dtr="false" t="normal">+B140+1</f>
        <v>124</v>
      </c>
      <c r="C141" s="104" t="s">
        <v>209</v>
      </c>
      <c r="D141" s="104" t="s">
        <v>211</v>
      </c>
      <c r="E141" s="105" t="n">
        <v>1964</v>
      </c>
      <c r="F141" s="105" t="n">
        <v>1964</v>
      </c>
      <c r="G141" s="105" t="s">
        <v>68</v>
      </c>
      <c r="H141" s="105" t="n">
        <v>2</v>
      </c>
      <c r="I141" s="105" t="n">
        <v>2</v>
      </c>
      <c r="J141" s="106" t="n">
        <v>816.77</v>
      </c>
      <c r="K141" s="106" t="n">
        <v>598.05</v>
      </c>
      <c r="L141" s="106" t="n">
        <v>218.72</v>
      </c>
      <c r="M141" s="107" t="n">
        <v>23</v>
      </c>
      <c r="N141" s="108" t="n">
        <f aca="false" ca="false" dt2D="false" dtr="false" t="normal">SUM(P141:T141)</f>
        <v>5139530.48</v>
      </c>
      <c r="O141" s="106" t="n"/>
      <c r="P141" s="13" t="n"/>
      <c r="Q141" s="114" t="n"/>
      <c r="R141" s="114" t="n">
        <v>229835.72</v>
      </c>
      <c r="S141" s="114" t="n">
        <v>3698306.28</v>
      </c>
      <c r="T141" s="106" t="n">
        <v>1211388.48</v>
      </c>
      <c r="U141" s="114" t="n">
        <v>6451.42119685591</v>
      </c>
      <c r="V141" s="114" t="n">
        <v>6451.42119685591</v>
      </c>
      <c r="W141" s="110" t="n">
        <v>2022</v>
      </c>
      <c r="X141" s="9" t="e">
        <f aca="false" ca="false" dt2D="false" dtr="false" t="normal">+#REF!-'[9]Приложение №1'!$P563</f>
        <v>#REF!</v>
      </c>
      <c r="Z141" s="113" t="n">
        <f aca="false" ca="false" dt2D="false" dtr="false" t="normal">SUM(AA141:AO141)</f>
        <v>6301561.369999999</v>
      </c>
      <c r="AA141" s="106" t="n">
        <v>0</v>
      </c>
      <c r="AB141" s="106" t="n">
        <v>0</v>
      </c>
      <c r="AC141" s="106" t="n">
        <v>499972.95528432</v>
      </c>
      <c r="AD141" s="106" t="n">
        <v>0</v>
      </c>
      <c r="AE141" s="106" t="n">
        <v>0</v>
      </c>
      <c r="AF141" s="106" t="n"/>
      <c r="AG141" s="106" t="n">
        <v>0</v>
      </c>
      <c r="AH141" s="106" t="n">
        <v>0</v>
      </c>
      <c r="AI141" s="106" t="n">
        <v>5044446.5320746</v>
      </c>
      <c r="AJ141" s="106" t="n">
        <v>0</v>
      </c>
      <c r="AK141" s="106" t="n">
        <v>0</v>
      </c>
      <c r="AL141" s="106" t="n">
        <v>0</v>
      </c>
      <c r="AM141" s="106" t="n">
        <v>572881.0441</v>
      </c>
      <c r="AN141" s="114" t="n">
        <v>63015.6137</v>
      </c>
      <c r="AO141" s="115" t="n">
        <v>121245.22484108</v>
      </c>
      <c r="AP141" s="112" t="n">
        <f aca="false" ca="false" dt2D="false" dtr="false" t="normal">+N141-'Приложение №2'!E141</f>
        <v>0</v>
      </c>
      <c r="AQ141" s="1" t="n">
        <f aca="false" ca="false" dt2D="false" dtr="false" t="normal">223283.02-99067.28</f>
        <v>124215.73999999999</v>
      </c>
      <c r="AR141" s="3" t="n">
        <f aca="false" ca="false" dt2D="false" dtr="false" t="normal">+(K141*10+L141*20)*12*0.85</f>
        <v>105619.97999999998</v>
      </c>
      <c r="AS141" s="3" t="n">
        <f aca="false" ca="false" dt2D="false" dtr="false" t="normal">+(K141*10+L141*20)*12*30-29457.72</f>
        <v>3698306.2799999993</v>
      </c>
      <c r="AT141" s="9" t="n">
        <f aca="false" ca="false" dt2D="false" dtr="false" t="normal">+S141-AS141</f>
        <v>0</v>
      </c>
      <c r="AW141" s="113" t="n">
        <f aca="false" ca="true" dt2D="false" dtr="false" t="normal">SUBTOTAL(9, AX141:BL141)</f>
        <v>5269327.290956001</v>
      </c>
      <c r="AX141" s="106" t="n">
        <v>0</v>
      </c>
      <c r="AY141" s="106" t="n"/>
      <c r="AZ141" s="106" t="n"/>
      <c r="BA141" s="106" t="n"/>
      <c r="BB141" s="106" t="n">
        <v>0</v>
      </c>
      <c r="BC141" s="106" t="n"/>
      <c r="BD141" s="106" t="n"/>
      <c r="BE141" s="106" t="n">
        <v>0</v>
      </c>
      <c r="BF141" s="106" t="n">
        <v>4903240.65</v>
      </c>
      <c r="BG141" s="106" t="n">
        <v>0</v>
      </c>
      <c r="BH141" s="106" t="n">
        <v>0</v>
      </c>
      <c r="BI141" s="106" t="n">
        <v>0</v>
      </c>
      <c r="BJ141" s="106" t="n">
        <v>229623.17</v>
      </c>
      <c r="BK141" s="114" t="n">
        <v>6666.66</v>
      </c>
      <c r="BL141" s="115" t="n">
        <v>129796.810956</v>
      </c>
      <c r="BM141" s="14" t="n">
        <f aca="false" ca="true" dt2D="false" dtr="false" t="normal">SUBTOTAL(9, BN141:CB141)</f>
        <v>5269327.290956001</v>
      </c>
      <c r="BN141" s="106" t="n">
        <v>0</v>
      </c>
      <c r="BO141" s="106" t="n"/>
      <c r="BP141" s="133" t="n"/>
      <c r="BQ141" s="106" t="n"/>
      <c r="BR141" s="106" t="n">
        <v>0</v>
      </c>
      <c r="BS141" s="106" t="n"/>
      <c r="BT141" s="106" t="n"/>
      <c r="BU141" s="106" t="n">
        <v>0</v>
      </c>
      <c r="BV141" s="106" t="n">
        <v>4903240.65</v>
      </c>
      <c r="BW141" s="106" t="n">
        <v>0</v>
      </c>
      <c r="BX141" s="106" t="n">
        <v>0</v>
      </c>
      <c r="BY141" s="106" t="n">
        <v>0</v>
      </c>
      <c r="BZ141" s="106" t="n">
        <v>229623.17</v>
      </c>
      <c r="CA141" s="114" t="n">
        <v>6666.66</v>
      </c>
      <c r="CB141" s="115" t="n">
        <v>129796.810956</v>
      </c>
      <c r="CD141" s="116" t="n">
        <f aca="false" ca="false" dt2D="false" dtr="false" t="normal">+CD140+1</f>
        <v>124</v>
      </c>
      <c r="CE141" s="117" t="n">
        <f aca="false" ca="false" dt2D="false" dtr="false" t="normal">+CE140+1</f>
        <v>124</v>
      </c>
      <c r="CF141" s="104" t="s">
        <v>209</v>
      </c>
      <c r="CG141" s="104" t="s">
        <v>211</v>
      </c>
      <c r="CH141" s="118" t="n">
        <f aca="false" ca="true" dt2D="false" dtr="false" t="normal">SUBTOTAL(9, CI141:CW141)</f>
        <v>5269327.290956001</v>
      </c>
      <c r="CI141" s="106" t="n">
        <v>0</v>
      </c>
      <c r="CJ141" s="106" t="n"/>
      <c r="CK141" s="133" t="n"/>
      <c r="CL141" s="106" t="n"/>
      <c r="CM141" s="106" t="n">
        <v>0</v>
      </c>
      <c r="CN141" s="106" t="n"/>
      <c r="CO141" s="106" t="n"/>
      <c r="CP141" s="106" t="n">
        <v>0</v>
      </c>
      <c r="CQ141" s="106" t="n">
        <v>4903240.65</v>
      </c>
      <c r="CR141" s="106" t="n">
        <v>0</v>
      </c>
      <c r="CS141" s="106" t="n">
        <v>0</v>
      </c>
      <c r="CT141" s="106" t="n">
        <v>0</v>
      </c>
      <c r="CU141" s="106" t="n">
        <v>229623.17</v>
      </c>
      <c r="CV141" s="114" t="n">
        <v>6666.66</v>
      </c>
      <c r="CW141" s="115" t="n">
        <v>129796.810956</v>
      </c>
      <c r="CZ141" s="104" t="s">
        <v>211</v>
      </c>
      <c r="DA141" s="119" t="n">
        <f aca="false" ca="true" dt2D="false" dtr="false" t="normal">SUBTOTAL(9, DB141:DP141)</f>
        <v>5139530.48</v>
      </c>
      <c r="DB141" s="106" t="n">
        <v>0</v>
      </c>
      <c r="DC141" s="106" t="n"/>
      <c r="DD141" s="133" t="n"/>
      <c r="DE141" s="106" t="n"/>
      <c r="DF141" s="106" t="n">
        <v>0</v>
      </c>
      <c r="DG141" s="106" t="n"/>
      <c r="DH141" s="106" t="n"/>
      <c r="DI141" s="106" t="n">
        <v>0</v>
      </c>
      <c r="DJ141" s="106" t="n">
        <v>4903240.65</v>
      </c>
      <c r="DK141" s="106" t="n">
        <v>0</v>
      </c>
      <c r="DL141" s="106" t="n">
        <v>0</v>
      </c>
      <c r="DM141" s="106" t="n">
        <v>0</v>
      </c>
      <c r="DN141" s="106" t="n">
        <v>229623.17</v>
      </c>
      <c r="DO141" s="114" t="n">
        <v>6666.66</v>
      </c>
      <c r="DP141" s="122" t="n"/>
      <c r="DQ141" s="3" t="n">
        <f aca="false" ca="false" dt2D="false" dtr="false" t="normal">N141-DA141</f>
        <v>0</v>
      </c>
      <c r="DS141" s="9" t="n"/>
    </row>
    <row hidden="false" ht="15" outlineLevel="0" r="142">
      <c r="A142" s="103" t="n">
        <f aca="false" ca="false" dt2D="false" dtr="false" t="normal">+A141+1</f>
        <v>125</v>
      </c>
      <c r="B142" s="104" t="n">
        <f aca="false" ca="false" dt2D="false" dtr="false" t="normal">+B141+1</f>
        <v>125</v>
      </c>
      <c r="C142" s="104" t="s">
        <v>209</v>
      </c>
      <c r="D142" s="104" t="s">
        <v>212</v>
      </c>
      <c r="E142" s="105" t="n">
        <v>1975</v>
      </c>
      <c r="F142" s="105" t="n">
        <v>2008</v>
      </c>
      <c r="G142" s="105" t="s">
        <v>68</v>
      </c>
      <c r="H142" s="105" t="n">
        <v>4</v>
      </c>
      <c r="I142" s="105" t="n">
        <v>4</v>
      </c>
      <c r="J142" s="106" t="n">
        <v>4182.96</v>
      </c>
      <c r="K142" s="106" t="n">
        <v>3048.03</v>
      </c>
      <c r="L142" s="106" t="n">
        <v>978.37</v>
      </c>
      <c r="M142" s="107" t="n">
        <v>135</v>
      </c>
      <c r="N142" s="108" t="n">
        <f aca="false" ca="false" dt2D="false" dtr="false" t="normal">SUM(P142:T142)</f>
        <v>4936660.8187</v>
      </c>
      <c r="O142" s="106" t="n"/>
      <c r="P142" s="114" t="n"/>
      <c r="Q142" s="114" t="n"/>
      <c r="R142" s="114" t="n">
        <v>1566212.36</v>
      </c>
      <c r="S142" s="114" t="n">
        <v>3370448.4587</v>
      </c>
      <c r="T142" s="106" t="n"/>
      <c r="U142" s="114" t="n">
        <v>1297.54565584389</v>
      </c>
      <c r="V142" s="114" t="n">
        <v>1297.54565584389</v>
      </c>
      <c r="W142" s="110" t="n">
        <v>2022</v>
      </c>
      <c r="X142" s="9" t="e">
        <f aca="false" ca="false" dt2D="false" dtr="false" t="normal">+#REF!-'[9]Приложение №1'!$P564</f>
        <v>#REF!</v>
      </c>
      <c r="Z142" s="113" t="n">
        <f aca="false" ca="false" dt2D="false" dtr="false" t="normal">SUM(AA142:AO142)</f>
        <v>16048675.259999998</v>
      </c>
      <c r="AA142" s="106" t="n">
        <v>7026285.46716642</v>
      </c>
      <c r="AB142" s="106" t="n">
        <v>2485979.42679534</v>
      </c>
      <c r="AC142" s="106" t="n">
        <v>0</v>
      </c>
      <c r="AD142" s="106" t="n">
        <v>1626070.4809314</v>
      </c>
      <c r="AE142" s="106" t="n">
        <v>2080726.75788894</v>
      </c>
      <c r="AF142" s="106" t="n"/>
      <c r="AG142" s="106" t="n">
        <v>278790.22600296</v>
      </c>
      <c r="AH142" s="106" t="n">
        <v>0</v>
      </c>
      <c r="AI142" s="106" t="n">
        <v>0</v>
      </c>
      <c r="AJ142" s="106" t="n">
        <v>0</v>
      </c>
      <c r="AK142" s="106" t="n">
        <v>0</v>
      </c>
      <c r="AL142" s="106" t="n">
        <v>0</v>
      </c>
      <c r="AM142" s="106" t="n">
        <v>2095165.4553</v>
      </c>
      <c r="AN142" s="114" t="n">
        <v>160486.7526</v>
      </c>
      <c r="AO142" s="115" t="n">
        <v>295170.69331494</v>
      </c>
      <c r="AP142" s="112" t="n">
        <f aca="false" ca="false" dt2D="false" dtr="false" t="normal">+N142-'Приложение №2'!E142</f>
        <v>0</v>
      </c>
      <c r="AQ142" s="1" t="n">
        <f aca="false" ca="false" dt2D="false" dtr="false" t="normal">1500891.17-445165.35</f>
        <v>1055725.8199999998</v>
      </c>
      <c r="AR142" s="3" t="n">
        <f aca="false" ca="false" dt2D="false" dtr="false" t="normal">+(K142*10+L142*20)*12*0.85</f>
        <v>510486.54</v>
      </c>
      <c r="AS142" s="3" t="n">
        <f aca="false" ca="false" dt2D="false" dtr="false" t="normal">+(K142*10+L142*20)*12*30-179374.89</f>
        <v>17837797.11</v>
      </c>
      <c r="AT142" s="9" t="n">
        <f aca="false" ca="false" dt2D="false" dtr="false" t="normal">+S142-AS142</f>
        <v>-14467348.6513</v>
      </c>
      <c r="AW142" s="113" t="n">
        <f aca="false" ca="true" dt2D="false" dtr="false" t="normal">SUBTOTAL(9, AX142:BL142)</f>
        <v>5224437.82868982</v>
      </c>
      <c r="AX142" s="106" t="n"/>
      <c r="AY142" s="106" t="n"/>
      <c r="AZ142" s="106" t="n"/>
      <c r="BA142" s="106" t="n"/>
      <c r="BB142" s="106" t="n"/>
      <c r="BC142" s="106" t="n"/>
      <c r="BD142" s="106" t="n"/>
      <c r="BE142" s="106" t="n">
        <v>0</v>
      </c>
      <c r="BF142" s="106" t="n">
        <v>0</v>
      </c>
      <c r="BH142" s="106" t="n">
        <v>0</v>
      </c>
      <c r="BI142" s="106" t="n">
        <v>3209479.43</v>
      </c>
      <c r="BJ142" s="106" t="n">
        <v>1575434.3365</v>
      </c>
      <c r="BK142" s="114" t="n">
        <v>151747.0522</v>
      </c>
      <c r="BL142" s="115" t="n">
        <v>287777.00998982</v>
      </c>
      <c r="BM142" s="14" t="n">
        <f aca="false" ca="true" dt2D="false" dtr="false" t="normal">SUBTOTAL(9, BN142:CB142)</f>
        <v>5224437.82868982</v>
      </c>
      <c r="BN142" s="106" t="n"/>
      <c r="BO142" s="106" t="n"/>
      <c r="BP142" s="133" t="n"/>
      <c r="BQ142" s="106" t="n"/>
      <c r="BR142" s="106" t="n"/>
      <c r="BS142" s="106" t="n"/>
      <c r="BT142" s="106" t="n"/>
      <c r="BU142" s="106" t="n">
        <v>0</v>
      </c>
      <c r="BV142" s="106" t="n">
        <v>0</v>
      </c>
      <c r="BX142" s="106" t="n">
        <v>0</v>
      </c>
      <c r="BY142" s="106" t="n">
        <v>3209479.43</v>
      </c>
      <c r="BZ142" s="106" t="n">
        <v>1575434.3365</v>
      </c>
      <c r="CA142" s="114" t="n">
        <v>151747.0522</v>
      </c>
      <c r="CB142" s="115" t="n">
        <v>287777.00998982</v>
      </c>
      <c r="CD142" s="116" t="n">
        <f aca="false" ca="false" dt2D="false" dtr="false" t="normal">+CD141+1</f>
        <v>125</v>
      </c>
      <c r="CE142" s="117" t="n">
        <f aca="false" ca="false" dt2D="false" dtr="false" t="normal">+CE141+1</f>
        <v>125</v>
      </c>
      <c r="CF142" s="104" t="s">
        <v>209</v>
      </c>
      <c r="CG142" s="104" t="s">
        <v>212</v>
      </c>
      <c r="CH142" s="118" t="n">
        <f aca="false" ca="true" dt2D="false" dtr="false" t="normal">SUBTOTAL(9, CI142:CW142)</f>
        <v>5224437.82868982</v>
      </c>
      <c r="CI142" s="106" t="n"/>
      <c r="CJ142" s="106" t="n"/>
      <c r="CK142" s="133" t="n"/>
      <c r="CL142" s="106" t="n"/>
      <c r="CM142" s="106" t="n"/>
      <c r="CN142" s="106" t="n"/>
      <c r="CO142" s="106" t="n"/>
      <c r="CP142" s="106" t="n">
        <v>0</v>
      </c>
      <c r="CQ142" s="106" t="n">
        <v>0</v>
      </c>
      <c r="CS142" s="106" t="n">
        <v>0</v>
      </c>
      <c r="CT142" s="106" t="n">
        <v>3209479.43</v>
      </c>
      <c r="CU142" s="106" t="n">
        <v>1575434.3365</v>
      </c>
      <c r="CV142" s="114" t="n">
        <v>151747.0522</v>
      </c>
      <c r="CW142" s="115" t="n">
        <v>287777.00998982</v>
      </c>
      <c r="CZ142" s="104" t="s">
        <v>212</v>
      </c>
      <c r="DA142" s="119" t="n">
        <f aca="false" ca="true" dt2D="false" dtr="false" t="normal">SUBTOTAL(9, DB142:DP142)</f>
        <v>4936660.8187</v>
      </c>
      <c r="DB142" s="106" t="n"/>
      <c r="DC142" s="106" t="n"/>
      <c r="DD142" s="133" t="n"/>
      <c r="DE142" s="106" t="n"/>
      <c r="DF142" s="106" t="n"/>
      <c r="DG142" s="106" t="n"/>
      <c r="DH142" s="106" t="n"/>
      <c r="DI142" s="106" t="n">
        <v>0</v>
      </c>
      <c r="DJ142" s="106" t="n">
        <v>0</v>
      </c>
      <c r="DL142" s="106" t="n">
        <v>0</v>
      </c>
      <c r="DM142" s="106" t="n">
        <v>3209479.43</v>
      </c>
      <c r="DN142" s="106" t="n">
        <v>1575434.3365</v>
      </c>
      <c r="DO142" s="114" t="n">
        <v>151747.0522</v>
      </c>
      <c r="DP142" s="122" t="n"/>
      <c r="DQ142" s="3" t="n">
        <f aca="false" ca="false" dt2D="false" dtr="false" t="normal">N142-DA142</f>
        <v>0</v>
      </c>
      <c r="DS142" s="9" t="n"/>
    </row>
    <row hidden="false" ht="15" outlineLevel="0" r="143">
      <c r="A143" s="103" t="n">
        <f aca="false" ca="false" dt2D="false" dtr="false" t="normal">+A142+1</f>
        <v>126</v>
      </c>
      <c r="B143" s="104" t="n">
        <f aca="false" ca="false" dt2D="false" dtr="false" t="normal">+B142+1</f>
        <v>126</v>
      </c>
      <c r="C143" s="104" t="s">
        <v>209</v>
      </c>
      <c r="D143" s="104" t="s">
        <v>213</v>
      </c>
      <c r="E143" s="105" t="n">
        <v>1978</v>
      </c>
      <c r="F143" s="105" t="n">
        <v>2007</v>
      </c>
      <c r="G143" s="105" t="s">
        <v>68</v>
      </c>
      <c r="H143" s="105" t="n">
        <v>4</v>
      </c>
      <c r="I143" s="105" t="n">
        <v>4</v>
      </c>
      <c r="J143" s="106" t="n">
        <v>3576.31</v>
      </c>
      <c r="K143" s="106" t="n">
        <v>2733.31</v>
      </c>
      <c r="L143" s="106" t="n">
        <v>843</v>
      </c>
      <c r="M143" s="107" t="n">
        <v>110</v>
      </c>
      <c r="N143" s="108" t="n">
        <f aca="false" ca="false" dt2D="false" dtr="false" t="normal">SUM(P143:T143)</f>
        <v>5491535.523</v>
      </c>
      <c r="O143" s="106" t="n"/>
      <c r="P143" s="114" t="n"/>
      <c r="Q143" s="114" t="n"/>
      <c r="R143" s="114" t="n">
        <v>1244325.77</v>
      </c>
      <c r="S143" s="114" t="n">
        <v>4247209.753</v>
      </c>
      <c r="T143" s="106" t="n"/>
      <c r="U143" s="114" t="n">
        <v>1593.78386329647</v>
      </c>
      <c r="V143" s="114" t="n">
        <v>1593.78386329647</v>
      </c>
      <c r="W143" s="110" t="n">
        <v>2022</v>
      </c>
      <c r="X143" s="9" t="e">
        <f aca="false" ca="false" dt2D="false" dtr="false" t="normal">+#REF!-'[9]Приложение №1'!$P565</f>
        <v>#REF!</v>
      </c>
      <c r="Z143" s="113" t="n">
        <f aca="false" ca="false" dt2D="false" dtr="false" t="normal">SUM(AA143:AO143)</f>
        <v>14323988.610000001</v>
      </c>
      <c r="AA143" s="106" t="n">
        <v>6271198.80065406</v>
      </c>
      <c r="AB143" s="106" t="n">
        <v>2218821.2026701</v>
      </c>
      <c r="AC143" s="106" t="n">
        <v>0</v>
      </c>
      <c r="AD143" s="106" t="n">
        <v>1451323.22117916</v>
      </c>
      <c r="AE143" s="106" t="n">
        <v>1857119.41303938</v>
      </c>
      <c r="AF143" s="106" t="n"/>
      <c r="AG143" s="106" t="n">
        <v>248829.75972036</v>
      </c>
      <c r="AH143" s="106" t="n">
        <v>0</v>
      </c>
      <c r="AI143" s="106" t="n">
        <v>0</v>
      </c>
      <c r="AJ143" s="106" t="n">
        <v>0</v>
      </c>
      <c r="AK143" s="106" t="n">
        <v>0</v>
      </c>
      <c r="AL143" s="106" t="n">
        <v>0</v>
      </c>
      <c r="AM143" s="106" t="n">
        <v>1870006.4418</v>
      </c>
      <c r="AN143" s="114" t="n">
        <v>143239.8861</v>
      </c>
      <c r="AO143" s="115" t="n">
        <v>263449.88483694</v>
      </c>
      <c r="AP143" s="112" t="n">
        <f aca="false" ca="false" dt2D="false" dtr="false" t="normal">+N143-'Приложение №2'!E143</f>
        <v>0</v>
      </c>
      <c r="AQ143" s="1" t="n">
        <f aca="false" ca="false" dt2D="false" dtr="false" t="normal">1278728.82-485172.67</f>
        <v>793556.1500000001</v>
      </c>
      <c r="AR143" s="3" t="n">
        <f aca="false" ca="false" dt2D="false" dtr="false" t="normal">+(K143*10+L143*20)*12*0.85</f>
        <v>450769.61999999994</v>
      </c>
      <c r="AS143" s="3" t="n">
        <f aca="false" ca="false" dt2D="false" dtr="false" t="normal">+(K143*10+L143*20)*12*30-175262.76</f>
        <v>15734253.239999998</v>
      </c>
      <c r="AT143" s="9" t="n">
        <f aca="false" ca="false" dt2D="false" dtr="false" t="normal">+S143-AS143</f>
        <v>-11487043.487</v>
      </c>
      <c r="AW143" s="113" t="n">
        <f aca="false" ca="true" dt2D="false" dtr="false" t="normal">SUBTOTAL(9, AX143:BL143)</f>
        <v>5699865.1681458</v>
      </c>
      <c r="AX143" s="106" t="n"/>
      <c r="AY143" s="106" t="n"/>
      <c r="AZ143" s="106" t="n"/>
      <c r="BA143" s="106" t="n"/>
      <c r="BB143" s="106" t="n"/>
      <c r="BC143" s="106" t="n"/>
      <c r="BD143" s="106" t="n"/>
      <c r="BE143" s="106" t="n">
        <v>0</v>
      </c>
      <c r="BF143" s="106" t="n">
        <v>0</v>
      </c>
      <c r="BH143" s="106" t="n">
        <v>0</v>
      </c>
      <c r="BI143" s="106" t="n">
        <v>4230200.7</v>
      </c>
      <c r="BJ143" s="106" t="n">
        <v>1151371.1733</v>
      </c>
      <c r="BK143" s="114" t="n">
        <v>109963.6497</v>
      </c>
      <c r="BL143" s="115" t="n">
        <v>208329.6451458</v>
      </c>
      <c r="BM143" s="14" t="n">
        <f aca="false" ca="true" dt2D="false" dtr="false" t="normal">SUBTOTAL(9, BN143:CB143)</f>
        <v>5699865.1681458</v>
      </c>
      <c r="BN143" s="106" t="n"/>
      <c r="BO143" s="106" t="n"/>
      <c r="BP143" s="133" t="n"/>
      <c r="BQ143" s="106" t="n"/>
      <c r="BR143" s="106" t="n"/>
      <c r="BS143" s="106" t="n"/>
      <c r="BT143" s="106" t="n"/>
      <c r="BU143" s="106" t="n">
        <v>0</v>
      </c>
      <c r="BV143" s="106" t="n">
        <v>0</v>
      </c>
      <c r="BX143" s="106" t="n">
        <v>0</v>
      </c>
      <c r="BY143" s="106" t="n">
        <v>4230200.7</v>
      </c>
      <c r="BZ143" s="106" t="n">
        <v>1151371.1733</v>
      </c>
      <c r="CA143" s="114" t="n">
        <v>109963.6497</v>
      </c>
      <c r="CB143" s="115" t="n">
        <v>208329.6451458</v>
      </c>
      <c r="CD143" s="116" t="n">
        <f aca="false" ca="false" dt2D="false" dtr="false" t="normal">+CD142+1</f>
        <v>126</v>
      </c>
      <c r="CE143" s="117" t="n">
        <f aca="false" ca="false" dt2D="false" dtr="false" t="normal">+CE142+1</f>
        <v>126</v>
      </c>
      <c r="CF143" s="104" t="s">
        <v>209</v>
      </c>
      <c r="CG143" s="104" t="s">
        <v>213</v>
      </c>
      <c r="CH143" s="118" t="n">
        <f aca="false" ca="true" dt2D="false" dtr="false" t="normal">SUBTOTAL(9, CI143:CW143)</f>
        <v>5699865.1681458</v>
      </c>
      <c r="CI143" s="106" t="n"/>
      <c r="CJ143" s="106" t="n"/>
      <c r="CK143" s="133" t="n"/>
      <c r="CL143" s="106" t="n"/>
      <c r="CM143" s="106" t="n"/>
      <c r="CN143" s="106" t="n"/>
      <c r="CO143" s="106" t="n"/>
      <c r="CP143" s="106" t="n">
        <v>0</v>
      </c>
      <c r="CQ143" s="106" t="n">
        <v>0</v>
      </c>
      <c r="CS143" s="106" t="n">
        <v>0</v>
      </c>
      <c r="CT143" s="106" t="n">
        <v>4230200.7</v>
      </c>
      <c r="CU143" s="106" t="n">
        <v>1151371.1733</v>
      </c>
      <c r="CV143" s="114" t="n">
        <v>109963.6497</v>
      </c>
      <c r="CW143" s="115" t="n">
        <v>208329.6451458</v>
      </c>
      <c r="CZ143" s="104" t="s">
        <v>213</v>
      </c>
      <c r="DA143" s="119" t="n">
        <f aca="false" ca="true" dt2D="false" dtr="false" t="normal">SUBTOTAL(9, DB143:DP143)</f>
        <v>5491535.523</v>
      </c>
      <c r="DB143" s="106" t="n"/>
      <c r="DC143" s="106" t="n"/>
      <c r="DD143" s="133" t="n"/>
      <c r="DE143" s="106" t="n"/>
      <c r="DF143" s="106" t="n"/>
      <c r="DG143" s="106" t="n"/>
      <c r="DH143" s="106" t="n"/>
      <c r="DI143" s="106" t="n">
        <v>0</v>
      </c>
      <c r="DJ143" s="106" t="n">
        <v>0</v>
      </c>
      <c r="DL143" s="106" t="n">
        <v>0</v>
      </c>
      <c r="DM143" s="106" t="n">
        <v>4230200.7</v>
      </c>
      <c r="DN143" s="106" t="n">
        <v>1151371.1733</v>
      </c>
      <c r="DO143" s="114" t="n">
        <v>109963.6497</v>
      </c>
      <c r="DP143" s="122" t="n"/>
      <c r="DQ143" s="3" t="n">
        <f aca="false" ca="false" dt2D="false" dtr="false" t="normal">N143-DA143</f>
        <v>0</v>
      </c>
      <c r="DS143" s="9" t="n"/>
    </row>
    <row hidden="false" ht="15" outlineLevel="0" r="144">
      <c r="A144" s="103" t="n">
        <f aca="false" ca="false" dt2D="false" dtr="false" t="normal">+A143+1</f>
        <v>127</v>
      </c>
      <c r="B144" s="104" t="n">
        <f aca="false" ca="false" dt2D="false" dtr="false" t="normal">+B143+1</f>
        <v>127</v>
      </c>
      <c r="C144" s="104" t="s">
        <v>209</v>
      </c>
      <c r="D144" s="104" t="s">
        <v>214</v>
      </c>
      <c r="E144" s="105" t="n">
        <v>1964</v>
      </c>
      <c r="F144" s="105" t="n">
        <v>1964</v>
      </c>
      <c r="G144" s="105" t="s">
        <v>68</v>
      </c>
      <c r="H144" s="105" t="n">
        <v>2</v>
      </c>
      <c r="I144" s="105" t="n">
        <v>2</v>
      </c>
      <c r="J144" s="106" t="n">
        <v>868.87</v>
      </c>
      <c r="K144" s="106" t="n">
        <v>613.56</v>
      </c>
      <c r="L144" s="106" t="n">
        <v>255.31</v>
      </c>
      <c r="M144" s="107" t="n">
        <v>26</v>
      </c>
      <c r="N144" s="108" t="n">
        <f aca="false" ca="false" dt2D="false" dtr="false" t="normal">SUM(P144:T144)</f>
        <v>5720057.600000001</v>
      </c>
      <c r="O144" s="106" t="n"/>
      <c r="P144" s="13" t="n"/>
      <c r="Q144" s="114" t="n"/>
      <c r="R144" s="114" t="n">
        <v>292223.85</v>
      </c>
      <c r="S144" s="114" t="n">
        <v>4017523.14</v>
      </c>
      <c r="T144" s="106" t="n">
        <v>1410310.61</v>
      </c>
      <c r="U144" s="114" t="n">
        <v>6737.73061153222</v>
      </c>
      <c r="V144" s="114" t="n">
        <v>6737.73061153222</v>
      </c>
      <c r="W144" s="110" t="n">
        <v>2022</v>
      </c>
      <c r="X144" s="9" t="e">
        <f aca="false" ca="false" dt2D="false" dtr="false" t="normal">+#REF!-'[9]Приложение №1'!$P566</f>
        <v>#REF!</v>
      </c>
      <c r="Z144" s="113" t="n">
        <f aca="false" ca="false" dt2D="false" dtr="false" t="normal">SUM(AA144:AO144)</f>
        <v>6504868.24</v>
      </c>
      <c r="AA144" s="106" t="n">
        <v>0</v>
      </c>
      <c r="AB144" s="106" t="n">
        <v>0</v>
      </c>
      <c r="AC144" s="106" t="n">
        <v>516103.55464626</v>
      </c>
      <c r="AD144" s="106" t="n">
        <v>0</v>
      </c>
      <c r="AE144" s="106" t="n">
        <v>0</v>
      </c>
      <c r="AF144" s="106" t="n"/>
      <c r="AG144" s="106" t="n">
        <v>0</v>
      </c>
      <c r="AH144" s="106" t="n">
        <v>0</v>
      </c>
      <c r="AI144" s="106" t="n">
        <v>5207195.182707</v>
      </c>
      <c r="AJ144" s="106" t="n">
        <v>0</v>
      </c>
      <c r="AK144" s="106" t="n">
        <v>0</v>
      </c>
      <c r="AL144" s="106" t="n">
        <v>0</v>
      </c>
      <c r="AM144" s="106" t="n">
        <v>591363.8685</v>
      </c>
      <c r="AN144" s="114" t="n">
        <v>65048.6824</v>
      </c>
      <c r="AO144" s="115" t="n">
        <v>125156.95174674</v>
      </c>
      <c r="AP144" s="112" t="n">
        <f aca="false" ca="false" dt2D="false" dtr="false" t="normal">+N144-'Приложение №2'!E144</f>
        <v>0</v>
      </c>
      <c r="AQ144" s="1" t="n">
        <f aca="false" ca="false" dt2D="false" dtr="false" t="normal">278417.8-100860.31</f>
        <v>177557.49</v>
      </c>
      <c r="AR144" s="3" t="n">
        <f aca="false" ca="false" dt2D="false" dtr="false" t="normal">+(K144*10+L144*20)*12*0.85</f>
        <v>114666.35999999997</v>
      </c>
      <c r="AS144" s="3" t="n">
        <f aca="false" ca="false" dt2D="false" dtr="false" t="normal">+(K144*10+L144*20)*12*30-29524.86</f>
        <v>4017523.139999999</v>
      </c>
      <c r="AT144" s="9" t="n">
        <f aca="false" ca="false" dt2D="false" dtr="false" t="normal">+S144-AS144</f>
        <v>0</v>
      </c>
      <c r="AW144" s="113" t="n">
        <f aca="false" ca="true" dt2D="false" dtr="false" t="normal">SUBTOTAL(9, AX144:BL144)</f>
        <v>5854211.996441999</v>
      </c>
      <c r="AX144" s="106" t="n">
        <v>0</v>
      </c>
      <c r="AY144" s="106" t="n"/>
      <c r="AZ144" s="106" t="n"/>
      <c r="BA144" s="106" t="n"/>
      <c r="BB144" s="106" t="n">
        <v>0</v>
      </c>
      <c r="BC144" s="106" t="n"/>
      <c r="BD144" s="106" t="n"/>
      <c r="BE144" s="106" t="n">
        <v>0</v>
      </c>
      <c r="BF144" s="106" t="n">
        <v>5484086.39</v>
      </c>
      <c r="BG144" s="106" t="n">
        <v>0</v>
      </c>
      <c r="BH144" s="106" t="n">
        <v>0</v>
      </c>
      <c r="BI144" s="106" t="n">
        <v>0</v>
      </c>
      <c r="BJ144" s="106" t="n">
        <v>229304.55</v>
      </c>
      <c r="BK144" s="114" t="n">
        <v>6666.66</v>
      </c>
      <c r="BL144" s="115" t="n">
        <v>134154.396442</v>
      </c>
      <c r="BM144" s="14" t="n">
        <f aca="false" ca="true" dt2D="false" dtr="false" t="normal">SUBTOTAL(9, BN144:CB144)</f>
        <v>5854211.996441999</v>
      </c>
      <c r="BN144" s="106" t="n">
        <v>0</v>
      </c>
      <c r="BO144" s="106" t="n"/>
      <c r="BP144" s="133" t="n"/>
      <c r="BQ144" s="106" t="n"/>
      <c r="BR144" s="106" t="n">
        <v>0</v>
      </c>
      <c r="BS144" s="106" t="n"/>
      <c r="BT144" s="106" t="n"/>
      <c r="BU144" s="106" t="n">
        <v>0</v>
      </c>
      <c r="BV144" s="106" t="n">
        <v>5484086.39</v>
      </c>
      <c r="BW144" s="106" t="n">
        <v>0</v>
      </c>
      <c r="BX144" s="106" t="n">
        <v>0</v>
      </c>
      <c r="BY144" s="106" t="n">
        <v>0</v>
      </c>
      <c r="BZ144" s="106" t="n">
        <v>229304.55</v>
      </c>
      <c r="CA144" s="114" t="n">
        <v>6666.66</v>
      </c>
      <c r="CB144" s="115" t="n">
        <v>134154.396442</v>
      </c>
      <c r="CD144" s="116" t="n">
        <f aca="false" ca="false" dt2D="false" dtr="false" t="normal">+CD143+1</f>
        <v>127</v>
      </c>
      <c r="CE144" s="117" t="n">
        <f aca="false" ca="false" dt2D="false" dtr="false" t="normal">+CE143+1</f>
        <v>127</v>
      </c>
      <c r="CF144" s="104" t="s">
        <v>209</v>
      </c>
      <c r="CG144" s="104" t="s">
        <v>214</v>
      </c>
      <c r="CH144" s="118" t="n">
        <f aca="false" ca="true" dt2D="false" dtr="false" t="normal">SUBTOTAL(9, CI144:CW144)</f>
        <v>5854211.996441999</v>
      </c>
      <c r="CI144" s="106" t="n">
        <v>0</v>
      </c>
      <c r="CJ144" s="106" t="n"/>
      <c r="CK144" s="133" t="n"/>
      <c r="CL144" s="106" t="n"/>
      <c r="CM144" s="106" t="n">
        <v>0</v>
      </c>
      <c r="CN144" s="106" t="n"/>
      <c r="CO144" s="106" t="n"/>
      <c r="CP144" s="106" t="n">
        <v>0</v>
      </c>
      <c r="CQ144" s="106" t="n">
        <v>5484086.39</v>
      </c>
      <c r="CR144" s="106" t="n">
        <v>0</v>
      </c>
      <c r="CS144" s="106" t="n">
        <v>0</v>
      </c>
      <c r="CT144" s="106" t="n">
        <v>0</v>
      </c>
      <c r="CU144" s="106" t="n">
        <v>229304.55</v>
      </c>
      <c r="CV144" s="114" t="n">
        <v>6666.66</v>
      </c>
      <c r="CW144" s="115" t="n">
        <v>134154.396442</v>
      </c>
      <c r="CZ144" s="104" t="s">
        <v>214</v>
      </c>
      <c r="DA144" s="119" t="n">
        <f aca="false" ca="true" dt2D="false" dtr="false" t="normal">SUBTOTAL(9, DB144:DP144)</f>
        <v>5720057.6</v>
      </c>
      <c r="DB144" s="106" t="n">
        <v>0</v>
      </c>
      <c r="DC144" s="106" t="n"/>
      <c r="DD144" s="133" t="n"/>
      <c r="DE144" s="106" t="n"/>
      <c r="DF144" s="106" t="n">
        <v>0</v>
      </c>
      <c r="DG144" s="106" t="n"/>
      <c r="DH144" s="106" t="n"/>
      <c r="DI144" s="106" t="n">
        <v>0</v>
      </c>
      <c r="DJ144" s="106" t="n">
        <v>5484086.39</v>
      </c>
      <c r="DK144" s="106" t="n">
        <v>0</v>
      </c>
      <c r="DL144" s="106" t="n">
        <v>0</v>
      </c>
      <c r="DM144" s="106" t="n">
        <v>0</v>
      </c>
      <c r="DN144" s="106" t="n">
        <v>229304.55</v>
      </c>
      <c r="DO144" s="114" t="n">
        <v>6666.66</v>
      </c>
      <c r="DP144" s="122" t="n"/>
      <c r="DQ144" s="3" t="n">
        <f aca="false" ca="false" dt2D="false" dtr="false" t="normal">N144-DA144</f>
        <v>0</v>
      </c>
      <c r="DS144" s="9" t="n"/>
    </row>
    <row hidden="false" ht="15" outlineLevel="0" r="145">
      <c r="A145" s="103" t="n">
        <f aca="false" ca="false" dt2D="false" dtr="false" t="normal">+A144+1</f>
        <v>128</v>
      </c>
      <c r="B145" s="104" t="n">
        <f aca="false" ca="false" dt2D="false" dtr="false" t="normal">+B144+1</f>
        <v>128</v>
      </c>
      <c r="C145" s="104" t="s">
        <v>215</v>
      </c>
      <c r="D145" s="104" t="s">
        <v>216</v>
      </c>
      <c r="E145" s="105" t="n">
        <v>1977</v>
      </c>
      <c r="F145" s="105" t="n">
        <v>1977</v>
      </c>
      <c r="G145" s="105" t="s">
        <v>68</v>
      </c>
      <c r="H145" s="105" t="n">
        <v>5</v>
      </c>
      <c r="I145" s="105" t="n">
        <v>1</v>
      </c>
      <c r="J145" s="106" t="n">
        <v>1730.3</v>
      </c>
      <c r="K145" s="106" t="n">
        <v>1456.4</v>
      </c>
      <c r="L145" s="106" t="n">
        <v>0</v>
      </c>
      <c r="M145" s="107" t="n">
        <v>49</v>
      </c>
      <c r="N145" s="108" t="n">
        <f aca="false" ca="false" dt2D="false" dtr="false" t="normal">SUM(P145:T145)</f>
        <v>6702155.609999999</v>
      </c>
      <c r="O145" s="106" t="n"/>
      <c r="P145" s="114" t="n">
        <v>543550.55</v>
      </c>
      <c r="Q145" s="114" t="n"/>
      <c r="R145" s="114" t="n">
        <v>737257.37</v>
      </c>
      <c r="S145" s="114" t="n">
        <v>1453245.72</v>
      </c>
      <c r="T145" s="106" t="n">
        <v>3968101.97</v>
      </c>
      <c r="U145" s="114" t="n">
        <v>5039.30974837407</v>
      </c>
      <c r="V145" s="114" t="n">
        <v>5039.30974837407</v>
      </c>
      <c r="W145" s="110" t="n">
        <v>2022</v>
      </c>
      <c r="X145" s="9" t="e">
        <f aca="false" ca="false" dt2D="false" dtr="false" t="normal">+#REF!-'[9]Приложение №1'!$P791</f>
        <v>#REF!</v>
      </c>
      <c r="Z145" s="113" t="n">
        <f aca="false" ca="false" dt2D="false" dtr="false" t="normal">SUM(AA145:AO145)</f>
        <v>38072067.12</v>
      </c>
      <c r="AA145" s="106" t="n">
        <v>4710479.10500622</v>
      </c>
      <c r="AB145" s="106" t="n">
        <v>2176226.30892702</v>
      </c>
      <c r="AC145" s="106" t="n">
        <v>2204614.38392244</v>
      </c>
      <c r="AD145" s="106" t="n">
        <v>1424137.12034328</v>
      </c>
      <c r="AE145" s="106" t="n">
        <v>0</v>
      </c>
      <c r="AF145" s="106" t="n"/>
      <c r="AG145" s="106" t="n">
        <v>146063.50321332</v>
      </c>
      <c r="AH145" s="106" t="n">
        <v>0</v>
      </c>
      <c r="AI145" s="106" t="n">
        <v>11068738.746597</v>
      </c>
      <c r="AJ145" s="106" t="n">
        <v>0</v>
      </c>
      <c r="AK145" s="106" t="n">
        <v>5717896.39513596</v>
      </c>
      <c r="AL145" s="106" t="n">
        <v>5901111.375978</v>
      </c>
      <c r="AM145" s="106" t="n">
        <v>3612798.5854</v>
      </c>
      <c r="AN145" s="114" t="n">
        <v>380720.6712</v>
      </c>
      <c r="AO145" s="115" t="n">
        <v>729280.92427676</v>
      </c>
      <c r="AP145" s="112" t="n">
        <f aca="false" ca="false" dt2D="false" dtr="false" t="normal">+N145-'Приложение №2'!E145</f>
        <v>0</v>
      </c>
      <c r="AQ145" s="1" t="n">
        <v>590020.37</v>
      </c>
      <c r="AR145" s="3" t="n">
        <f aca="false" ca="false" dt2D="false" dtr="false" t="normal">+(K145*10+L145*20)*12*0.85</f>
        <v>148552.8</v>
      </c>
      <c r="AS145" s="3" t="n">
        <f aca="false" ca="false" dt2D="false" dtr="false" t="normal">+(K145*10+L145*20)*12*30</f>
        <v>5243040</v>
      </c>
      <c r="AT145" s="9" t="n">
        <f aca="false" ca="false" dt2D="false" dtr="false" t="normal">+S145-AS145</f>
        <v>-3789794.2800000003</v>
      </c>
      <c r="AW145" s="113" t="n">
        <f aca="false" ca="true" dt2D="false" dtr="false" t="normal">SUBTOTAL(9, AX145:BL145)</f>
        <v>7339250.7175320005</v>
      </c>
      <c r="BB145" s="106" t="n">
        <v>0</v>
      </c>
      <c r="BC145" s="106" t="n"/>
      <c r="BD145" s="106" t="n"/>
      <c r="BE145" s="106" t="n">
        <v>0</v>
      </c>
      <c r="BF145" s="106" t="n">
        <v>6665001.53</v>
      </c>
      <c r="BG145" s="106" t="n">
        <v>0</v>
      </c>
      <c r="BH145" s="106" t="n"/>
      <c r="BI145" s="106" t="n"/>
      <c r="BJ145" s="106" t="n"/>
      <c r="BK145" s="114" t="n"/>
      <c r="BL145" s="115" t="n">
        <v>674249.187532</v>
      </c>
      <c r="BM145" s="14" t="n">
        <f aca="false" ca="true" dt2D="false" dtr="false" t="normal">SUBTOTAL(9, BN145:CB145)</f>
        <v>7339250.7175320005</v>
      </c>
      <c r="BP145" s="134" t="n"/>
      <c r="BR145" s="106" t="n">
        <v>0</v>
      </c>
      <c r="BS145" s="106" t="n"/>
      <c r="BT145" s="106" t="n"/>
      <c r="BU145" s="106" t="n">
        <v>0</v>
      </c>
      <c r="BV145" s="106" t="n">
        <v>6665001.53</v>
      </c>
      <c r="BW145" s="106" t="n">
        <v>0</v>
      </c>
      <c r="BX145" s="106" t="n"/>
      <c r="BY145" s="106" t="n"/>
      <c r="BZ145" s="106" t="n"/>
      <c r="CA145" s="114" t="n"/>
      <c r="CB145" s="115" t="n">
        <v>674249.187532</v>
      </c>
      <c r="CD145" s="116" t="n">
        <f aca="false" ca="false" dt2D="false" dtr="false" t="normal">+CD144+1</f>
        <v>128</v>
      </c>
      <c r="CE145" s="117" t="n">
        <f aca="false" ca="false" dt2D="false" dtr="false" t="normal">+CE144+1</f>
        <v>128</v>
      </c>
      <c r="CF145" s="104" t="s">
        <v>215</v>
      </c>
      <c r="CG145" s="104" t="s">
        <v>216</v>
      </c>
      <c r="CH145" s="118" t="n">
        <f aca="false" ca="true" dt2D="false" dtr="false" t="normal">SUBTOTAL(9, CI145:CW145)</f>
        <v>7339250.7175320005</v>
      </c>
      <c r="CK145" s="134" t="n"/>
      <c r="CM145" s="106" t="n">
        <v>0</v>
      </c>
      <c r="CN145" s="106" t="n"/>
      <c r="CO145" s="106" t="n"/>
      <c r="CP145" s="106" t="n">
        <v>0</v>
      </c>
      <c r="CQ145" s="106" t="n">
        <v>6665001.53</v>
      </c>
      <c r="CR145" s="106" t="n">
        <v>0</v>
      </c>
      <c r="CS145" s="106" t="n"/>
      <c r="CT145" s="106" t="n"/>
      <c r="CU145" s="106" t="n"/>
      <c r="CV145" s="114" t="n"/>
      <c r="CW145" s="115" t="n">
        <v>674249.187532</v>
      </c>
      <c r="CZ145" s="104" t="s">
        <v>216</v>
      </c>
      <c r="DA145" s="119" t="n">
        <f aca="false" ca="true" dt2D="false" dtr="false" t="normal">SUBTOTAL(9, DB145:DP145)</f>
        <v>6702155.61</v>
      </c>
      <c r="DD145" s="134" t="n"/>
      <c r="DF145" s="106" t="n">
        <v>0</v>
      </c>
      <c r="DG145" s="106" t="n"/>
      <c r="DH145" s="106" t="n"/>
      <c r="DI145" s="106" t="n">
        <v>0</v>
      </c>
      <c r="DJ145" s="106" t="n">
        <v>6665001.53</v>
      </c>
      <c r="DK145" s="106" t="n">
        <v>0</v>
      </c>
      <c r="DL145" s="106" t="n"/>
      <c r="DM145" s="106" t="n"/>
      <c r="DN145" s="106" t="n"/>
      <c r="DO145" s="114" t="n"/>
      <c r="DP145" s="120" t="n">
        <v>37154.08</v>
      </c>
      <c r="DQ145" s="3" t="n">
        <f aca="false" ca="false" dt2D="false" dtr="false" t="normal">N145-DA145</f>
        <v>0</v>
      </c>
      <c r="DS145" s="9" t="n"/>
    </row>
    <row hidden="false" ht="15" outlineLevel="0" r="146">
      <c r="A146" s="103" t="n">
        <f aca="false" ca="false" dt2D="false" dtr="false" t="normal">+A145+1</f>
        <v>129</v>
      </c>
      <c r="B146" s="104" t="n">
        <f aca="false" ca="false" dt2D="false" dtr="false" t="normal">+B145+1</f>
        <v>129</v>
      </c>
      <c r="C146" s="104" t="s">
        <v>217</v>
      </c>
      <c r="D146" s="104" t="s">
        <v>218</v>
      </c>
      <c r="E146" s="105" t="n">
        <v>1984</v>
      </c>
      <c r="F146" s="105" t="n">
        <v>1984</v>
      </c>
      <c r="G146" s="105" t="s">
        <v>68</v>
      </c>
      <c r="H146" s="105" t="n">
        <v>5</v>
      </c>
      <c r="I146" s="105" t="n">
        <v>4</v>
      </c>
      <c r="J146" s="106" t="n">
        <v>3359.4</v>
      </c>
      <c r="K146" s="106" t="n">
        <v>2391.8</v>
      </c>
      <c r="L146" s="106" t="n">
        <v>553.2</v>
      </c>
      <c r="M146" s="107" t="n">
        <v>62</v>
      </c>
      <c r="N146" s="108" t="n">
        <f aca="false" ca="false" dt2D="false" dtr="false" t="normal">SUM(P146:T146)</f>
        <v>7493912.149999999</v>
      </c>
      <c r="O146" s="106" t="n"/>
      <c r="P146" s="114" t="n"/>
      <c r="Q146" s="114" t="n"/>
      <c r="R146" s="114" t="n">
        <v>492779.18</v>
      </c>
      <c r="S146" s="114" t="n">
        <v>5673883.8</v>
      </c>
      <c r="T146" s="106" t="n">
        <v>1327249.17</v>
      </c>
      <c r="U146" s="114" t="n">
        <v>2574.38947368421</v>
      </c>
      <c r="V146" s="114" t="n">
        <v>2574.38947368421</v>
      </c>
      <c r="W146" s="110" t="n">
        <v>2022</v>
      </c>
      <c r="X146" s="9" t="e">
        <f aca="false" ca="false" dt2D="false" dtr="false" t="normal">+#REF!-'[9]Приложение №1'!$P1544</f>
        <v>#REF!</v>
      </c>
      <c r="Z146" s="113" t="n">
        <f aca="false" ca="false" dt2D="false" dtr="false" t="normal">SUM(AA146:AO146)</f>
        <v>24399375.708956137</v>
      </c>
      <c r="AA146" s="106" t="n">
        <v>0</v>
      </c>
      <c r="AB146" s="106" t="n">
        <v>0</v>
      </c>
      <c r="AC146" s="106" t="n">
        <v>0</v>
      </c>
      <c r="AD146" s="106" t="n">
        <v>0</v>
      </c>
      <c r="AE146" s="106" t="n">
        <v>0</v>
      </c>
      <c r="AF146" s="106" t="n"/>
      <c r="AG146" s="106" t="n">
        <v>0</v>
      </c>
      <c r="AH146" s="106" t="n">
        <v>0</v>
      </c>
      <c r="AI146" s="106" t="n">
        <v>0</v>
      </c>
      <c r="AJ146" s="106" t="n">
        <v>0</v>
      </c>
      <c r="AK146" s="106" t="n">
        <v>10229706.1</v>
      </c>
      <c r="AL146" s="106" t="n">
        <v>13577874.103206</v>
      </c>
      <c r="AM146" s="106" t="n">
        <v>258631.32</v>
      </c>
      <c r="AN146" s="106" t="n">
        <v>39488.83</v>
      </c>
      <c r="AO146" s="115" t="n">
        <v>293675.35575014</v>
      </c>
      <c r="AP146" s="112" t="n">
        <f aca="false" ca="false" dt2D="false" dtr="false" t="normal">+N146-'Приложение №2'!E146</f>
        <v>0</v>
      </c>
      <c r="AQ146" s="1" t="n">
        <v>1110865.63</v>
      </c>
      <c r="AR146" s="3" t="n">
        <f aca="false" ca="false" dt2D="false" dtr="false" t="normal">+(K146*10+L146*20)*12*0.85</f>
        <v>356816.39999999997</v>
      </c>
      <c r="AS146" s="3" t="n">
        <f aca="false" ca="false" dt2D="false" dtr="false" t="normal">+(K146*10+L146*20)*12*30-3112059.45</f>
        <v>9481460.55</v>
      </c>
      <c r="AT146" s="9" t="n">
        <f aca="false" ca="false" dt2D="false" dtr="false" t="normal">+S146-AS146</f>
        <v>-3807576.750000001</v>
      </c>
      <c r="AW146" s="113" t="n">
        <f aca="false" ca="true" dt2D="false" dtr="false" t="normal">SUBTOTAL(9, AX146:BL146)</f>
        <v>7581577</v>
      </c>
      <c r="AX146" s="106" t="n">
        <v>5331233.07</v>
      </c>
      <c r="AY146" s="106" t="n"/>
      <c r="AZ146" s="106" t="n"/>
      <c r="BA146" s="106" t="n">
        <v>2162679.08</v>
      </c>
      <c r="BB146" s="106" t="n">
        <v>0</v>
      </c>
      <c r="BC146" s="106" t="n"/>
      <c r="BD146" s="106" t="n"/>
      <c r="BE146" s="106" t="n">
        <v>0</v>
      </c>
      <c r="BF146" s="106" t="n"/>
      <c r="BG146" s="106" t="n">
        <v>0</v>
      </c>
      <c r="BH146" s="106" t="n"/>
      <c r="BJ146" s="106" t="n"/>
      <c r="BK146" s="106" t="n"/>
      <c r="BL146" s="115" t="n">
        <v>87664.85</v>
      </c>
      <c r="BM146" s="14" t="n">
        <f aca="false" ca="true" dt2D="false" dtr="false" t="normal">SUBTOTAL(9, BN146:CB146)</f>
        <v>7581577</v>
      </c>
      <c r="BN146" s="106" t="n">
        <v>5331233.07</v>
      </c>
      <c r="BO146" s="106" t="n"/>
      <c r="BP146" s="133" t="n"/>
      <c r="BQ146" s="106" t="n">
        <v>2162679.08</v>
      </c>
      <c r="BR146" s="106" t="n">
        <v>0</v>
      </c>
      <c r="BS146" s="106" t="n"/>
      <c r="BT146" s="106" t="n"/>
      <c r="BU146" s="106" t="n">
        <v>0</v>
      </c>
      <c r="BV146" s="106" t="n"/>
      <c r="BW146" s="106" t="n">
        <v>0</v>
      </c>
      <c r="BX146" s="106" t="n"/>
      <c r="BZ146" s="106" t="n"/>
      <c r="CA146" s="106" t="n"/>
      <c r="CB146" s="115" t="n">
        <v>87664.85</v>
      </c>
      <c r="CD146" s="116" t="n">
        <f aca="false" ca="false" dt2D="false" dtr="false" t="normal">+CD145+1</f>
        <v>129</v>
      </c>
      <c r="CE146" s="117" t="n">
        <f aca="false" ca="false" dt2D="false" dtr="false" t="normal">+CE145+1</f>
        <v>129</v>
      </c>
      <c r="CF146" s="104" t="s">
        <v>217</v>
      </c>
      <c r="CG146" s="104" t="s">
        <v>218</v>
      </c>
      <c r="CH146" s="118" t="n">
        <f aca="false" ca="true" dt2D="false" dtr="false" t="normal">SUBTOTAL(9, CI146:CW146)</f>
        <v>7581577</v>
      </c>
      <c r="CI146" s="106" t="n">
        <v>5331233.07</v>
      </c>
      <c r="CJ146" s="106" t="n"/>
      <c r="CK146" s="133" t="n"/>
      <c r="CL146" s="106" t="n">
        <v>2162679.08</v>
      </c>
      <c r="CM146" s="106" t="n">
        <v>0</v>
      </c>
      <c r="CN146" s="106" t="n"/>
      <c r="CO146" s="106" t="n"/>
      <c r="CP146" s="106" t="n">
        <v>0</v>
      </c>
      <c r="CQ146" s="106" t="n"/>
      <c r="CR146" s="106" t="n">
        <v>0</v>
      </c>
      <c r="CS146" s="106" t="n"/>
      <c r="CU146" s="106" t="n"/>
      <c r="CV146" s="106" t="n"/>
      <c r="CW146" s="115" t="n">
        <v>87664.85</v>
      </c>
      <c r="CZ146" s="104" t="s">
        <v>218</v>
      </c>
      <c r="DA146" s="119" t="n">
        <f aca="false" ca="true" dt2D="false" dtr="false" t="normal">SUBTOTAL(9, DB146:DP146)</f>
        <v>7493912.15</v>
      </c>
      <c r="DB146" s="106" t="n">
        <v>5331233.07</v>
      </c>
      <c r="DC146" s="106" t="n"/>
      <c r="DD146" s="133" t="n"/>
      <c r="DE146" s="106" t="n">
        <v>2162679.08</v>
      </c>
      <c r="DF146" s="106" t="n">
        <v>0</v>
      </c>
      <c r="DG146" s="106" t="n"/>
      <c r="DH146" s="106" t="n"/>
      <c r="DI146" s="106" t="n">
        <v>0</v>
      </c>
      <c r="DJ146" s="106" t="n"/>
      <c r="DK146" s="106" t="n">
        <v>0</v>
      </c>
      <c r="DL146" s="106" t="n"/>
      <c r="DN146" s="106" t="n"/>
      <c r="DO146" s="106" t="n"/>
      <c r="DP146" s="122" t="n"/>
      <c r="DQ146" s="3" t="n">
        <f aca="false" ca="false" dt2D="false" dtr="false" t="normal">N146-DA146</f>
        <v>0</v>
      </c>
      <c r="DS146" s="9" t="n"/>
    </row>
    <row hidden="false" ht="15" outlineLevel="0" r="147">
      <c r="A147" s="103" t="n">
        <f aca="false" ca="false" dt2D="false" dtr="false" t="normal">+A146+1</f>
        <v>130</v>
      </c>
      <c r="B147" s="104" t="n">
        <f aca="false" ca="false" dt2D="false" dtr="false" t="normal">+B146+1</f>
        <v>130</v>
      </c>
      <c r="C147" s="104" t="s">
        <v>217</v>
      </c>
      <c r="D147" s="104" t="s">
        <v>219</v>
      </c>
      <c r="E147" s="105" t="n">
        <v>1980</v>
      </c>
      <c r="F147" s="105" t="n">
        <v>2013</v>
      </c>
      <c r="G147" s="105" t="s">
        <v>68</v>
      </c>
      <c r="H147" s="105" t="n">
        <v>5</v>
      </c>
      <c r="I147" s="105" t="n">
        <v>4</v>
      </c>
      <c r="J147" s="106" t="n">
        <v>3517.3</v>
      </c>
      <c r="K147" s="106" t="n">
        <v>2413.5</v>
      </c>
      <c r="L147" s="106" t="n">
        <v>670.3</v>
      </c>
      <c r="M147" s="107" t="n">
        <v>55</v>
      </c>
      <c r="N147" s="108" t="n">
        <f aca="false" ca="false" dt2D="false" dtr="false" t="normal">SUM(P147:T147)</f>
        <v>12568038.82</v>
      </c>
      <c r="O147" s="106" t="n"/>
      <c r="P147" s="114" t="n">
        <v>3328292.21</v>
      </c>
      <c r="Q147" s="114" t="n"/>
      <c r="R147" s="114" t="n"/>
      <c r="S147" s="114" t="n">
        <v>9239746.61</v>
      </c>
      <c r="T147" s="114" t="n"/>
      <c r="U147" s="114" t="n">
        <v>4131.48279550625</v>
      </c>
      <c r="V147" s="114" t="n">
        <v>4131.48279550625</v>
      </c>
      <c r="W147" s="110" t="n">
        <v>2022</v>
      </c>
      <c r="X147" s="9" t="e">
        <f aca="false" ca="false" dt2D="false" dtr="false" t="normal">+#REF!-'[9]Приложение №1'!$P794</f>
        <v>#REF!</v>
      </c>
      <c r="Y147" s="1" t="s">
        <v>220</v>
      </c>
      <c r="Z147" s="113" t="n">
        <f aca="false" ca="false" dt2D="false" dtr="false" t="normal">SUM(AA147:AO147)</f>
        <v>14492948.68038216</v>
      </c>
      <c r="AA147" s="106" t="n">
        <v>0</v>
      </c>
      <c r="AB147" s="106" t="n">
        <v>0</v>
      </c>
      <c r="AC147" s="106" t="n"/>
      <c r="AD147" s="106" t="n">
        <v>0</v>
      </c>
      <c r="AE147" s="106" t="n">
        <v>0</v>
      </c>
      <c r="AF147" s="106" t="n"/>
      <c r="AG147" s="106" t="n">
        <v>0</v>
      </c>
      <c r="AH147" s="106" t="n">
        <v>0</v>
      </c>
      <c r="AI147" s="106" t="n">
        <v>0</v>
      </c>
      <c r="AJ147" s="106" t="n">
        <v>0</v>
      </c>
      <c r="AK147" s="106" t="n">
        <v>13313168.82</v>
      </c>
      <c r="AL147" s="106" t="n">
        <v>0</v>
      </c>
      <c r="AM147" s="106" t="n">
        <v>947969.256</v>
      </c>
      <c r="AN147" s="114" t="n">
        <v>59182.7796</v>
      </c>
      <c r="AO147" s="115" t="n">
        <v>172627.82478216</v>
      </c>
      <c r="AP147" s="112" t="n">
        <f aca="false" ca="false" dt2D="false" dtr="false" t="normal">+N147-'Приложение №2'!E147</f>
        <v>0</v>
      </c>
      <c r="AQ147" s="1" t="n">
        <v>1112557.28</v>
      </c>
      <c r="AR147" s="3" t="n">
        <f aca="false" ca="false" dt2D="false" dtr="false" t="normal">+(K147*10+L147*20)*12*0.85</f>
        <v>382918.2</v>
      </c>
      <c r="AS147" s="3" t="n">
        <f aca="false" ca="false" dt2D="false" dtr="false" t="normal">+(K147*10+L147*20)*12*30-2158139.11-363880.66</f>
        <v>10992740.23</v>
      </c>
      <c r="AT147" s="9" t="n">
        <f aca="false" ca="false" dt2D="false" dtr="false" t="normal">+S147-AS147</f>
        <v>-1752993.620000001</v>
      </c>
      <c r="AW147" s="113" t="n">
        <f aca="false" ca="true" dt2D="false" dtr="false" t="normal">SUBTOTAL(9, AX147:BL147)</f>
        <v>12740666.64478216</v>
      </c>
      <c r="AX147" s="106" t="n">
        <v>0</v>
      </c>
      <c r="AY147" s="106" t="n">
        <v>0</v>
      </c>
      <c r="AZ147" s="106" t="n"/>
      <c r="BA147" s="106" t="n">
        <v>0</v>
      </c>
      <c r="BB147" s="106" t="n">
        <v>0</v>
      </c>
      <c r="BC147" s="106" t="n"/>
      <c r="BD147" s="106" t="n"/>
      <c r="BE147" s="106" t="n">
        <v>0</v>
      </c>
      <c r="BF147" s="106" t="n">
        <v>0</v>
      </c>
      <c r="BG147" s="106" t="n">
        <v>0</v>
      </c>
      <c r="BH147" s="106" t="n">
        <v>12568038.82</v>
      </c>
      <c r="BI147" s="106" t="n">
        <v>0</v>
      </c>
      <c r="BJ147" s="106" t="n"/>
      <c r="BK147" s="114" t="n"/>
      <c r="BL147" s="115" t="n">
        <v>172627.82478216</v>
      </c>
      <c r="BM147" s="14" t="n">
        <f aca="false" ca="true" dt2D="false" dtr="false" t="normal">SUBTOTAL(9, BN147:CB147)</f>
        <v>12740666.64478216</v>
      </c>
      <c r="BN147" s="106" t="n">
        <v>0</v>
      </c>
      <c r="BO147" s="106" t="n">
        <v>0</v>
      </c>
      <c r="BP147" s="133" t="n"/>
      <c r="BQ147" s="106" t="n">
        <v>0</v>
      </c>
      <c r="BR147" s="106" t="n">
        <v>0</v>
      </c>
      <c r="BS147" s="106" t="n"/>
      <c r="BT147" s="106" t="n"/>
      <c r="BU147" s="106" t="n">
        <v>0</v>
      </c>
      <c r="BV147" s="106" t="n">
        <v>0</v>
      </c>
      <c r="BW147" s="106" t="n">
        <v>0</v>
      </c>
      <c r="BX147" s="106" t="n">
        <v>12568038.82</v>
      </c>
      <c r="BY147" s="106" t="n">
        <v>0</v>
      </c>
      <c r="BZ147" s="106" t="n"/>
      <c r="CA147" s="114" t="n"/>
      <c r="CB147" s="115" t="n">
        <v>172627.82478216</v>
      </c>
      <c r="CD147" s="116" t="n">
        <f aca="false" ca="false" dt2D="false" dtr="false" t="normal">+CD146+1</f>
        <v>130</v>
      </c>
      <c r="CE147" s="117" t="n">
        <f aca="false" ca="false" dt2D="false" dtr="false" t="normal">+CE146+1</f>
        <v>130</v>
      </c>
      <c r="CF147" s="104" t="s">
        <v>217</v>
      </c>
      <c r="CG147" s="104" t="s">
        <v>219</v>
      </c>
      <c r="CH147" s="118" t="n">
        <f aca="false" ca="true" dt2D="false" dtr="false" t="normal">SUBTOTAL(9, CI147:CW147)</f>
        <v>12740666.64478216</v>
      </c>
      <c r="CI147" s="106" t="n">
        <v>0</v>
      </c>
      <c r="CJ147" s="106" t="n">
        <v>0</v>
      </c>
      <c r="CK147" s="133" t="n"/>
      <c r="CL147" s="106" t="n">
        <v>0</v>
      </c>
      <c r="CM147" s="106" t="n">
        <v>0</v>
      </c>
      <c r="CN147" s="106" t="n"/>
      <c r="CO147" s="106" t="n"/>
      <c r="CP147" s="106" t="n">
        <v>0</v>
      </c>
      <c r="CQ147" s="106" t="n">
        <v>0</v>
      </c>
      <c r="CR147" s="106" t="n">
        <v>0</v>
      </c>
      <c r="CS147" s="106" t="n">
        <v>12568038.82</v>
      </c>
      <c r="CT147" s="106" t="n">
        <v>0</v>
      </c>
      <c r="CU147" s="106" t="n"/>
      <c r="CV147" s="114" t="n"/>
      <c r="CW147" s="115" t="n">
        <v>172627.82478216</v>
      </c>
      <c r="CZ147" s="104" t="s">
        <v>219</v>
      </c>
      <c r="DA147" s="119" t="n">
        <f aca="false" ca="true" dt2D="false" dtr="false" t="normal">SUBTOTAL(9, DB147:DP147)</f>
        <v>12568038.82</v>
      </c>
      <c r="DB147" s="106" t="n">
        <v>0</v>
      </c>
      <c r="DC147" s="106" t="n">
        <v>0</v>
      </c>
      <c r="DD147" s="133" t="n"/>
      <c r="DE147" s="106" t="n">
        <v>0</v>
      </c>
      <c r="DF147" s="106" t="n">
        <v>0</v>
      </c>
      <c r="DG147" s="106" t="n"/>
      <c r="DH147" s="106" t="n"/>
      <c r="DI147" s="106" t="n">
        <v>0</v>
      </c>
      <c r="DJ147" s="106" t="n">
        <v>0</v>
      </c>
      <c r="DK147" s="106" t="n">
        <v>0</v>
      </c>
      <c r="DL147" s="106" t="n">
        <v>12568038.82</v>
      </c>
      <c r="DM147" s="106" t="n">
        <v>0</v>
      </c>
      <c r="DN147" s="106" t="n"/>
      <c r="DO147" s="114" t="n"/>
      <c r="DP147" s="122" t="n"/>
      <c r="DQ147" s="3" t="n">
        <f aca="false" ca="false" dt2D="false" dtr="false" t="normal">N147-DA147</f>
        <v>0</v>
      </c>
      <c r="DS147" s="9" t="n"/>
    </row>
    <row hidden="false" ht="15" outlineLevel="0" r="148">
      <c r="A148" s="103" t="n">
        <f aca="false" ca="false" dt2D="false" dtr="false" t="normal">+A147+1</f>
        <v>131</v>
      </c>
      <c r="B148" s="104" t="n">
        <f aca="false" ca="false" dt2D="false" dtr="false" t="normal">+B147+1</f>
        <v>131</v>
      </c>
      <c r="C148" s="104" t="s">
        <v>221</v>
      </c>
      <c r="D148" s="104" t="s">
        <v>222</v>
      </c>
      <c r="E148" s="105" t="n">
        <v>1964</v>
      </c>
      <c r="F148" s="105" t="n">
        <v>1964</v>
      </c>
      <c r="G148" s="105" t="s">
        <v>68</v>
      </c>
      <c r="H148" s="105" t="n">
        <v>3</v>
      </c>
      <c r="I148" s="105" t="n">
        <v>3</v>
      </c>
      <c r="J148" s="106" t="n">
        <v>977.7</v>
      </c>
      <c r="K148" s="106" t="n">
        <v>824.1</v>
      </c>
      <c r="L148" s="106" t="n">
        <v>81.5</v>
      </c>
      <c r="M148" s="107" t="n">
        <v>40</v>
      </c>
      <c r="N148" s="108" t="n">
        <f aca="false" ca="false" dt2D="false" dtr="false" t="normal">SUM(P148:T148)</f>
        <v>275546.20999999996</v>
      </c>
      <c r="O148" s="106" t="n"/>
      <c r="P148" s="114" t="n"/>
      <c r="Q148" s="114" t="n"/>
      <c r="R148" s="114" t="n">
        <v>204954.46</v>
      </c>
      <c r="S148" s="114" t="n">
        <v>70591.75</v>
      </c>
      <c r="T148" s="106" t="n">
        <v>0</v>
      </c>
      <c r="U148" s="114" t="n">
        <v>304.269224823322</v>
      </c>
      <c r="V148" s="114" t="n">
        <v>304.269224823322</v>
      </c>
      <c r="W148" s="110" t="n">
        <v>2022</v>
      </c>
      <c r="X148" s="9" t="e">
        <f aca="false" ca="false" dt2D="false" dtr="false" t="normal">+#REF!-'[9]Приложение №1'!$P344</f>
        <v>#REF!</v>
      </c>
      <c r="Z148" s="113" t="n">
        <f aca="false" ca="false" dt2D="false" dtr="false" t="normal">SUM(AA148:AO148)</f>
        <v>8343290.940000001</v>
      </c>
      <c r="AA148" s="106" t="n">
        <v>0</v>
      </c>
      <c r="AB148" s="106" t="n">
        <v>0</v>
      </c>
      <c r="AC148" s="106" t="n">
        <v>0</v>
      </c>
      <c r="AD148" s="106" t="n">
        <v>0</v>
      </c>
      <c r="AE148" s="106" t="n">
        <v>0</v>
      </c>
      <c r="AF148" s="106" t="n"/>
      <c r="AG148" s="106" t="n">
        <v>0</v>
      </c>
      <c r="AH148" s="106" t="n">
        <v>0</v>
      </c>
      <c r="AI148" s="106" t="n">
        <v>0</v>
      </c>
      <c r="AJ148" s="106" t="n">
        <v>0</v>
      </c>
      <c r="AK148" s="106" t="n">
        <v>0</v>
      </c>
      <c r="AL148" s="106" t="n">
        <v>7266622.61735676</v>
      </c>
      <c r="AM148" s="106" t="n">
        <v>834329.094</v>
      </c>
      <c r="AN148" s="114" t="n">
        <v>83432.9094</v>
      </c>
      <c r="AO148" s="115" t="n">
        <v>158906.31924324</v>
      </c>
      <c r="AP148" s="112" t="n">
        <f aca="false" ca="false" dt2D="false" dtr="false" t="normal">+N148-'Приложение №2'!E148</f>
        <v>0</v>
      </c>
      <c r="AQ148" s="1" t="n">
        <f aca="false" ca="false" dt2D="false" dtr="false" t="normal">314113.02-85397.7</f>
        <v>228715.32</v>
      </c>
      <c r="AR148" s="3" t="n">
        <f aca="false" ca="false" dt2D="false" dtr="false" t="normal">+(K148*10+L148*20)*12*0.85</f>
        <v>100684.2</v>
      </c>
      <c r="AS148" s="3" t="n">
        <f aca="false" ca="false" dt2D="false" dtr="false" t="normal">+(K148*10+L148*20)*12*30</f>
        <v>3553560</v>
      </c>
      <c r="AT148" s="9" t="n">
        <f aca="false" ca="false" dt2D="false" dtr="false" t="normal">+S148-AS148</f>
        <v>-3482968.25</v>
      </c>
      <c r="AW148" s="113" t="n">
        <f aca="false" ca="true" dt2D="false" dtr="false" t="normal">SUBTOTAL(9, AX148:BL148)</f>
        <v>275546.21</v>
      </c>
      <c r="AX148" s="106" t="n">
        <v>0</v>
      </c>
      <c r="AY148" s="106" t="n">
        <v>0</v>
      </c>
      <c r="AZ148" s="106" t="n">
        <v>0</v>
      </c>
      <c r="BA148" s="106" t="n">
        <v>0</v>
      </c>
      <c r="BB148" s="106" t="n">
        <v>0</v>
      </c>
      <c r="BC148" s="106" t="n"/>
      <c r="BD148" s="106" t="n"/>
      <c r="BE148" s="106" t="n">
        <v>0</v>
      </c>
      <c r="BF148" s="106" t="n">
        <v>0</v>
      </c>
      <c r="BG148" s="106" t="n">
        <v>0</v>
      </c>
      <c r="BH148" s="106" t="n">
        <v>0</v>
      </c>
      <c r="BI148" s="106" t="n">
        <v>275546.21</v>
      </c>
      <c r="BJ148" s="106" t="n"/>
      <c r="BK148" s="114" t="n"/>
      <c r="BL148" s="115" t="n"/>
      <c r="BM148" s="14" t="n">
        <f aca="false" ca="true" dt2D="false" dtr="false" t="normal">SUBTOTAL(9, BN148:CB148)</f>
        <v>275546.21</v>
      </c>
      <c r="BN148" s="106" t="n">
        <v>0</v>
      </c>
      <c r="BO148" s="106" t="n">
        <v>0</v>
      </c>
      <c r="BP148" s="133" t="n">
        <v>0</v>
      </c>
      <c r="BQ148" s="106" t="n">
        <v>0</v>
      </c>
      <c r="BR148" s="106" t="n">
        <v>0</v>
      </c>
      <c r="BS148" s="106" t="n"/>
      <c r="BT148" s="106" t="n"/>
      <c r="BU148" s="106" t="n">
        <v>0</v>
      </c>
      <c r="BV148" s="106" t="n">
        <v>0</v>
      </c>
      <c r="BW148" s="106" t="n">
        <v>0</v>
      </c>
      <c r="BX148" s="106" t="n">
        <v>0</v>
      </c>
      <c r="BY148" s="106" t="n">
        <v>275546.21</v>
      </c>
      <c r="BZ148" s="106" t="n"/>
      <c r="CA148" s="114" t="n"/>
      <c r="CB148" s="115" t="n"/>
      <c r="CD148" s="116" t="n">
        <f aca="false" ca="false" dt2D="false" dtr="false" t="normal">+CD147+1</f>
        <v>131</v>
      </c>
      <c r="CE148" s="117" t="n">
        <f aca="false" ca="false" dt2D="false" dtr="false" t="normal">+CE147+1</f>
        <v>131</v>
      </c>
      <c r="CF148" s="104" t="s">
        <v>221</v>
      </c>
      <c r="CG148" s="104" t="s">
        <v>222</v>
      </c>
      <c r="CH148" s="118" t="n">
        <f aca="false" ca="true" dt2D="false" dtr="false" t="normal">SUBTOTAL(9, CI148:CW148)</f>
        <v>275546.21</v>
      </c>
      <c r="CI148" s="106" t="n">
        <v>0</v>
      </c>
      <c r="CJ148" s="106" t="n">
        <v>0</v>
      </c>
      <c r="CK148" s="133" t="n">
        <v>0</v>
      </c>
      <c r="CL148" s="106" t="n">
        <v>0</v>
      </c>
      <c r="CM148" s="106" t="n">
        <v>0</v>
      </c>
      <c r="CN148" s="106" t="n"/>
      <c r="CO148" s="106" t="n"/>
      <c r="CP148" s="106" t="n">
        <v>0</v>
      </c>
      <c r="CQ148" s="106" t="n">
        <v>0</v>
      </c>
      <c r="CR148" s="106" t="n">
        <v>0</v>
      </c>
      <c r="CS148" s="106" t="n">
        <v>0</v>
      </c>
      <c r="CT148" s="106" t="n">
        <v>275546.21</v>
      </c>
      <c r="CU148" s="106" t="n"/>
      <c r="CV148" s="114" t="n"/>
      <c r="CW148" s="115" t="n"/>
      <c r="CZ148" s="104" t="s">
        <v>222</v>
      </c>
      <c r="DA148" s="119" t="n">
        <f aca="false" ca="true" dt2D="false" dtr="false" t="normal">SUBTOTAL(9, DB148:DP148)</f>
        <v>275546.21</v>
      </c>
      <c r="DB148" s="106" t="n">
        <v>0</v>
      </c>
      <c r="DC148" s="106" t="n">
        <v>0</v>
      </c>
      <c r="DD148" s="133" t="n">
        <v>0</v>
      </c>
      <c r="DE148" s="106" t="n">
        <v>0</v>
      </c>
      <c r="DF148" s="106" t="n">
        <v>0</v>
      </c>
      <c r="DG148" s="106" t="n"/>
      <c r="DH148" s="106" t="n"/>
      <c r="DI148" s="106" t="n">
        <v>0</v>
      </c>
      <c r="DJ148" s="106" t="n">
        <v>0</v>
      </c>
      <c r="DK148" s="106" t="n">
        <v>0</v>
      </c>
      <c r="DL148" s="106" t="n">
        <v>0</v>
      </c>
      <c r="DM148" s="106" t="n">
        <v>275546.21</v>
      </c>
      <c r="DN148" s="106" t="n"/>
      <c r="DO148" s="114" t="n"/>
      <c r="DP148" s="115" t="n"/>
      <c r="DQ148" s="3" t="n">
        <f aca="false" ca="false" dt2D="false" dtr="false" t="normal">N148-DA148</f>
        <v>0</v>
      </c>
      <c r="DS148" s="9" t="n"/>
    </row>
    <row hidden="false" ht="15" outlineLevel="0" r="149">
      <c r="A149" s="103" t="n">
        <f aca="false" ca="false" dt2D="false" dtr="false" t="normal">+A148+1</f>
        <v>132</v>
      </c>
      <c r="B149" s="104" t="n">
        <f aca="false" ca="false" dt2D="false" dtr="false" t="normal">+B148+1</f>
        <v>132</v>
      </c>
      <c r="C149" s="104" t="s">
        <v>221</v>
      </c>
      <c r="D149" s="104" t="s">
        <v>223</v>
      </c>
      <c r="E149" s="105" t="n">
        <v>1973</v>
      </c>
      <c r="F149" s="105" t="n">
        <v>1973</v>
      </c>
      <c r="G149" s="105" t="s">
        <v>68</v>
      </c>
      <c r="H149" s="105" t="n">
        <v>4</v>
      </c>
      <c r="I149" s="105" t="n">
        <v>3</v>
      </c>
      <c r="J149" s="106" t="n">
        <v>1399</v>
      </c>
      <c r="K149" s="106" t="n">
        <v>1081.6</v>
      </c>
      <c r="L149" s="106" t="n">
        <v>197.9</v>
      </c>
      <c r="M149" s="107" t="n">
        <v>41</v>
      </c>
      <c r="N149" s="108" t="n">
        <f aca="false" ca="false" dt2D="false" dtr="false" t="normal">SUM(P149:T149)</f>
        <v>2485206.75</v>
      </c>
      <c r="O149" s="106" t="n"/>
      <c r="P149" s="114" t="n">
        <v>404178.6</v>
      </c>
      <c r="Q149" s="114" t="n"/>
      <c r="R149" s="114" t="n">
        <v>325425.82</v>
      </c>
      <c r="S149" s="114" t="n">
        <v>1755602.33</v>
      </c>
      <c r="T149" s="106" t="n">
        <v>0</v>
      </c>
      <c r="U149" s="114" t="n">
        <v>1942.3264947245</v>
      </c>
      <c r="V149" s="114" t="n">
        <v>1942.3264947245</v>
      </c>
      <c r="W149" s="110" t="n">
        <v>2022</v>
      </c>
      <c r="X149" s="9" t="e">
        <f aca="false" ca="false" dt2D="false" dtr="false" t="normal">+#REF!-'[9]Приложение №1'!$P345</f>
        <v>#REF!</v>
      </c>
      <c r="Z149" s="113" t="n">
        <f aca="false" ca="false" dt2D="false" dtr="false" t="normal">SUM(AA149:AO149)</f>
        <v>11828796.819999998</v>
      </c>
      <c r="AA149" s="106" t="n">
        <v>0</v>
      </c>
      <c r="AB149" s="106" t="n">
        <v>0</v>
      </c>
      <c r="AC149" s="106" t="n">
        <v>0</v>
      </c>
      <c r="AD149" s="106" t="n">
        <v>0</v>
      </c>
      <c r="AE149" s="106" t="n">
        <v>0</v>
      </c>
      <c r="AF149" s="106" t="n"/>
      <c r="AG149" s="106" t="n">
        <v>0</v>
      </c>
      <c r="AH149" s="106" t="n">
        <v>0</v>
      </c>
      <c r="AI149" s="106" t="n">
        <v>6651371.2383216</v>
      </c>
      <c r="AJ149" s="106" t="n">
        <v>0</v>
      </c>
      <c r="AK149" s="106" t="n">
        <v>0</v>
      </c>
      <c r="AL149" s="106" t="n">
        <v>3724870.79211492</v>
      </c>
      <c r="AM149" s="106" t="n">
        <v>1107359.4236</v>
      </c>
      <c r="AN149" s="114" t="n">
        <v>118287.9682</v>
      </c>
      <c r="AO149" s="115" t="n">
        <v>226907.39776348</v>
      </c>
      <c r="AP149" s="112" t="n">
        <f aca="false" ca="false" dt2D="false" dtr="false" t="normal">+N149-'Приложение №2'!E149</f>
        <v>0</v>
      </c>
      <c r="AQ149" s="1" t="n">
        <f aca="false" ca="false" dt2D="false" dtr="false" t="normal">414772.6-182047.66</f>
        <v>232724.93999999997</v>
      </c>
      <c r="AR149" s="3" t="n">
        <f aca="false" ca="false" dt2D="false" dtr="false" t="normal">+(K149*10+L149*20)*12*0.85</f>
        <v>150694.8</v>
      </c>
      <c r="AS149" s="3" t="n">
        <f aca="false" ca="false" dt2D="false" dtr="false" t="normal">+(K149*10+L149*20)*12*30</f>
        <v>5318640</v>
      </c>
      <c r="AT149" s="9" t="n">
        <f aca="false" ca="false" dt2D="false" dtr="false" t="normal">+S149-AS149</f>
        <v>-3563037.67</v>
      </c>
      <c r="AW149" s="113" t="n">
        <f aca="false" ca="true" dt2D="false" dtr="false" t="normal">SUBTOTAL(9, AX149:BL149)</f>
        <v>2485206.75</v>
      </c>
      <c r="AX149" s="106" t="n">
        <v>0</v>
      </c>
      <c r="AY149" s="106" t="n">
        <v>0</v>
      </c>
      <c r="AZ149" s="106" t="n">
        <v>0</v>
      </c>
      <c r="BA149" s="106" t="n">
        <v>0</v>
      </c>
      <c r="BB149" s="106" t="n">
        <v>0</v>
      </c>
      <c r="BC149" s="106" t="n"/>
      <c r="BD149" s="106" t="n"/>
      <c r="BE149" s="106" t="n">
        <v>0</v>
      </c>
      <c r="BF149" s="106" t="n">
        <v>1968122.34</v>
      </c>
      <c r="BG149" s="106" t="n">
        <v>0</v>
      </c>
      <c r="BH149" s="106" t="n">
        <v>0</v>
      </c>
      <c r="BI149" s="106" t="n">
        <v>517084.41</v>
      </c>
      <c r="BJ149" s="106" t="n"/>
      <c r="BK149" s="114" t="n"/>
      <c r="BL149" s="115" t="n"/>
      <c r="BM149" s="14" t="n">
        <f aca="false" ca="true" dt2D="false" dtr="false" t="normal">SUBTOTAL(9, BN149:CB149)</f>
        <v>2485206.75</v>
      </c>
      <c r="BN149" s="106" t="n">
        <v>0</v>
      </c>
      <c r="BO149" s="106" t="n">
        <v>0</v>
      </c>
      <c r="BP149" s="133" t="n">
        <v>0</v>
      </c>
      <c r="BQ149" s="106" t="n">
        <v>0</v>
      </c>
      <c r="BR149" s="106" t="n">
        <v>0</v>
      </c>
      <c r="BS149" s="106" t="n"/>
      <c r="BT149" s="106" t="n"/>
      <c r="BU149" s="106" t="n">
        <v>0</v>
      </c>
      <c r="BV149" s="106" t="n">
        <v>1968122.34</v>
      </c>
      <c r="BW149" s="106" t="n">
        <v>0</v>
      </c>
      <c r="BX149" s="106" t="n">
        <v>0</v>
      </c>
      <c r="BY149" s="106" t="n">
        <v>517084.41</v>
      </c>
      <c r="BZ149" s="106" t="n"/>
      <c r="CA149" s="114" t="n"/>
      <c r="CB149" s="115" t="n"/>
      <c r="CD149" s="116" t="n">
        <f aca="false" ca="false" dt2D="false" dtr="false" t="normal">+CD148+1</f>
        <v>132</v>
      </c>
      <c r="CE149" s="117" t="n">
        <f aca="false" ca="false" dt2D="false" dtr="false" t="normal">+CE148+1</f>
        <v>132</v>
      </c>
      <c r="CF149" s="104" t="s">
        <v>221</v>
      </c>
      <c r="CG149" s="104" t="s">
        <v>223</v>
      </c>
      <c r="CH149" s="118" t="n">
        <f aca="false" ca="true" dt2D="false" dtr="false" t="normal">SUBTOTAL(9, CI149:CW149)</f>
        <v>2485206.75</v>
      </c>
      <c r="CI149" s="106" t="n">
        <v>0</v>
      </c>
      <c r="CJ149" s="106" t="n">
        <v>0</v>
      </c>
      <c r="CK149" s="133" t="n">
        <v>0</v>
      </c>
      <c r="CL149" s="106" t="n">
        <v>0</v>
      </c>
      <c r="CM149" s="106" t="n">
        <v>0</v>
      </c>
      <c r="CN149" s="106" t="n"/>
      <c r="CO149" s="106" t="n"/>
      <c r="CP149" s="106" t="n">
        <v>0</v>
      </c>
      <c r="CQ149" s="106" t="n">
        <v>1968122.34</v>
      </c>
      <c r="CR149" s="106" t="n">
        <v>0</v>
      </c>
      <c r="CS149" s="106" t="n">
        <v>0</v>
      </c>
      <c r="CT149" s="106" t="n">
        <v>517084.41</v>
      </c>
      <c r="CU149" s="106" t="n"/>
      <c r="CV149" s="114" t="n"/>
      <c r="CW149" s="115" t="n"/>
      <c r="CZ149" s="104" t="s">
        <v>223</v>
      </c>
      <c r="DA149" s="119" t="n">
        <f aca="false" ca="true" dt2D="false" dtr="false" t="normal">SUBTOTAL(9, DB149:DP149)</f>
        <v>2485206.75</v>
      </c>
      <c r="DB149" s="106" t="n">
        <v>0</v>
      </c>
      <c r="DC149" s="106" t="n">
        <v>0</v>
      </c>
      <c r="DD149" s="133" t="n">
        <v>0</v>
      </c>
      <c r="DE149" s="106" t="n">
        <v>0</v>
      </c>
      <c r="DF149" s="106" t="n">
        <v>0</v>
      </c>
      <c r="DG149" s="106" t="n"/>
      <c r="DH149" s="106" t="n"/>
      <c r="DI149" s="106" t="n">
        <v>0</v>
      </c>
      <c r="DJ149" s="106" t="n">
        <v>1968122.34</v>
      </c>
      <c r="DK149" s="106" t="n">
        <v>0</v>
      </c>
      <c r="DL149" s="106" t="n">
        <v>0</v>
      </c>
      <c r="DM149" s="106" t="n">
        <v>517084.41</v>
      </c>
      <c r="DN149" s="106" t="n"/>
      <c r="DO149" s="114" t="n"/>
      <c r="DP149" s="115" t="n"/>
      <c r="DQ149" s="3" t="n">
        <f aca="false" ca="false" dt2D="false" dtr="false" t="normal">N149-DA149</f>
        <v>0</v>
      </c>
      <c r="DS149" s="9" t="n"/>
    </row>
    <row hidden="false" ht="15" outlineLevel="0" r="150">
      <c r="A150" s="103" t="n">
        <f aca="false" ca="false" dt2D="false" dtr="false" t="normal">+A149+1</f>
        <v>133</v>
      </c>
      <c r="B150" s="104" t="n">
        <f aca="false" ca="false" dt2D="false" dtr="false" t="normal">+B149+1</f>
        <v>133</v>
      </c>
      <c r="C150" s="104" t="s">
        <v>221</v>
      </c>
      <c r="D150" s="104" t="s">
        <v>224</v>
      </c>
      <c r="E150" s="105" t="n">
        <v>1969</v>
      </c>
      <c r="F150" s="105" t="n">
        <v>1969</v>
      </c>
      <c r="G150" s="105" t="s">
        <v>68</v>
      </c>
      <c r="H150" s="105" t="n">
        <v>4</v>
      </c>
      <c r="I150" s="105" t="n">
        <v>4</v>
      </c>
      <c r="J150" s="106" t="n">
        <v>1301.1</v>
      </c>
      <c r="K150" s="106" t="n">
        <v>1206.1</v>
      </c>
      <c r="L150" s="106" t="n">
        <v>0</v>
      </c>
      <c r="M150" s="107" t="n">
        <v>55</v>
      </c>
      <c r="N150" s="108" t="n">
        <f aca="false" ca="false" dt2D="false" dtr="false" t="normal">SUM(P150:T150)</f>
        <v>942327.92</v>
      </c>
      <c r="O150" s="106" t="n"/>
      <c r="P150" s="114" t="n">
        <v>48024.16</v>
      </c>
      <c r="Q150" s="114" t="n"/>
      <c r="R150" s="114" t="n"/>
      <c r="S150" s="114" t="n">
        <v>894303.76</v>
      </c>
      <c r="T150" s="106" t="n"/>
      <c r="U150" s="114" t="n">
        <v>873.053325067573</v>
      </c>
      <c r="V150" s="114" t="n">
        <v>873.053325067573</v>
      </c>
      <c r="W150" s="110" t="n">
        <v>2022</v>
      </c>
      <c r="X150" s="9" t="e">
        <f aca="false" ca="false" dt2D="false" dtr="false" t="normal">+#REF!-'[9]Приложение №1'!$P1171</f>
        <v>#REF!</v>
      </c>
      <c r="Z150" s="113" t="n">
        <f aca="false" ca="false" dt2D="false" dtr="false" t="normal">SUM(AA150:AO150)</f>
        <v>20711430.51</v>
      </c>
      <c r="AA150" s="106" t="n">
        <v>3099206.36779026</v>
      </c>
      <c r="AB150" s="106" t="n">
        <v>1118078.60118402</v>
      </c>
      <c r="AC150" s="106" t="n">
        <v>1168117.98295164</v>
      </c>
      <c r="AD150" s="106" t="n">
        <v>731341.61352924</v>
      </c>
      <c r="AE150" s="106" t="n">
        <v>0</v>
      </c>
      <c r="AF150" s="106" t="n"/>
      <c r="AG150" s="106" t="n">
        <v>111818.98213248</v>
      </c>
      <c r="AH150" s="106" t="n">
        <v>0</v>
      </c>
      <c r="AI150" s="106" t="n">
        <v>5736153.9664296</v>
      </c>
      <c r="AJ150" s="106" t="n">
        <v>0</v>
      </c>
      <c r="AK150" s="106" t="n">
        <v>2978257.41639426</v>
      </c>
      <c r="AL150" s="106" t="n">
        <v>3212334.96117702</v>
      </c>
      <c r="AM150" s="106" t="n">
        <v>1951986.4567</v>
      </c>
      <c r="AN150" s="114" t="n">
        <v>207114.3051</v>
      </c>
      <c r="AO150" s="115" t="n">
        <v>397019.85661148</v>
      </c>
      <c r="AP150" s="112" t="n">
        <f aca="false" ca="false" dt2D="false" dtr="false" t="normal">+N150-'Приложение №2'!E150</f>
        <v>0</v>
      </c>
      <c r="AQ150" s="1" t="n">
        <v>468456.03</v>
      </c>
      <c r="AR150" s="3" t="n">
        <f aca="false" ca="false" dt2D="false" dtr="false" t="normal">+(K150*10+L150*20)*12*0.85</f>
        <v>123022.2</v>
      </c>
      <c r="AS150" s="3" t="n">
        <f aca="false" ca="false" dt2D="false" dtr="false" t="normal">+(K150*10+L150*20)*12*30-171359.03</f>
        <v>4170600.97</v>
      </c>
      <c r="AT150" s="9" t="n">
        <f aca="false" ca="false" dt2D="false" dtr="false" t="normal">+S150-AS150</f>
        <v>-3276297.21</v>
      </c>
      <c r="AW150" s="113" t="n">
        <f aca="false" ca="true" dt2D="false" dtr="false" t="normal">SUBTOTAL(9, AX150:BL150)</f>
        <v>1052989.615364</v>
      </c>
      <c r="AX150" s="106" t="n"/>
      <c r="AY150" s="106" t="n">
        <v>624846.18</v>
      </c>
      <c r="AZ150" s="106" t="n"/>
      <c r="BA150" s="106" t="n">
        <v>317481.74</v>
      </c>
      <c r="BB150" s="106" t="n">
        <v>0</v>
      </c>
      <c r="BC150" s="106" t="n"/>
      <c r="BD150" s="106" t="n"/>
      <c r="BE150" s="106" t="n">
        <v>0</v>
      </c>
      <c r="BF150" s="106" t="n"/>
      <c r="BG150" s="106" t="n">
        <v>0</v>
      </c>
      <c r="BH150" s="106" t="n"/>
      <c r="BI150" s="106" t="n"/>
      <c r="BJ150" s="106" t="n"/>
      <c r="BK150" s="114" t="n"/>
      <c r="BL150" s="115" t="n">
        <v>110661.695364</v>
      </c>
      <c r="BM150" s="14" t="n">
        <f aca="false" ca="true" dt2D="false" dtr="false" t="normal">SUBTOTAL(9, BN150:CB150)</f>
        <v>1052989.615364</v>
      </c>
      <c r="BN150" s="106" t="n"/>
      <c r="BO150" s="106" t="n">
        <v>624846.18</v>
      </c>
      <c r="BP150" s="133" t="n"/>
      <c r="BQ150" s="106" t="n">
        <v>317481.74</v>
      </c>
      <c r="BR150" s="106" t="n">
        <v>0</v>
      </c>
      <c r="BS150" s="106" t="n"/>
      <c r="BT150" s="106" t="n"/>
      <c r="BU150" s="106" t="n">
        <v>0</v>
      </c>
      <c r="BV150" s="106" t="n"/>
      <c r="BW150" s="106" t="n">
        <v>0</v>
      </c>
      <c r="BX150" s="106" t="n"/>
      <c r="BY150" s="106" t="n"/>
      <c r="BZ150" s="106" t="n"/>
      <c r="CA150" s="114" t="n"/>
      <c r="CB150" s="115" t="n">
        <v>110661.695364</v>
      </c>
      <c r="CD150" s="116" t="n">
        <f aca="false" ca="false" dt2D="false" dtr="false" t="normal">+CD149+1</f>
        <v>133</v>
      </c>
      <c r="CE150" s="117" t="n">
        <f aca="false" ca="false" dt2D="false" dtr="false" t="normal">+CE149+1</f>
        <v>133</v>
      </c>
      <c r="CF150" s="104" t="s">
        <v>221</v>
      </c>
      <c r="CG150" s="104" t="s">
        <v>224</v>
      </c>
      <c r="CH150" s="118" t="n">
        <f aca="false" ca="true" dt2D="false" dtr="false" t="normal">SUBTOTAL(9, CI150:CW150)</f>
        <v>1052989.615364</v>
      </c>
      <c r="CI150" s="106" t="n"/>
      <c r="CJ150" s="106" t="n">
        <v>624846.18</v>
      </c>
      <c r="CK150" s="133" t="n"/>
      <c r="CL150" s="106" t="n">
        <v>317481.74</v>
      </c>
      <c r="CM150" s="106" t="n">
        <v>0</v>
      </c>
      <c r="CN150" s="106" t="n"/>
      <c r="CO150" s="106" t="n"/>
      <c r="CP150" s="106" t="n">
        <v>0</v>
      </c>
      <c r="CQ150" s="106" t="n"/>
      <c r="CR150" s="106" t="n">
        <v>0</v>
      </c>
      <c r="CS150" s="106" t="n"/>
      <c r="CT150" s="106" t="n"/>
      <c r="CU150" s="106" t="n"/>
      <c r="CV150" s="114" t="n"/>
      <c r="CW150" s="115" t="n">
        <v>110661.695364</v>
      </c>
      <c r="CZ150" s="104" t="s">
        <v>224</v>
      </c>
      <c r="DA150" s="119" t="n">
        <f aca="false" ca="true" dt2D="false" dtr="false" t="normal">SUBTOTAL(9, DB150:DP150)</f>
        <v>942327.92</v>
      </c>
      <c r="DB150" s="106" t="n"/>
      <c r="DC150" s="106" t="n">
        <v>624846.18</v>
      </c>
      <c r="DD150" s="133" t="n"/>
      <c r="DE150" s="106" t="n">
        <v>317481.74</v>
      </c>
      <c r="DF150" s="106" t="n">
        <v>0</v>
      </c>
      <c r="DG150" s="106" t="n"/>
      <c r="DH150" s="106" t="n"/>
      <c r="DI150" s="106" t="n">
        <v>0</v>
      </c>
      <c r="DJ150" s="106" t="n"/>
      <c r="DK150" s="106" t="n">
        <v>0</v>
      </c>
      <c r="DL150" s="106" t="n"/>
      <c r="DM150" s="106" t="n"/>
      <c r="DN150" s="106" t="n"/>
      <c r="DO150" s="114" t="n"/>
      <c r="DP150" s="122" t="n"/>
      <c r="DQ150" s="3" t="n">
        <f aca="false" ca="false" dt2D="false" dtr="false" t="normal">N150-DA150</f>
        <v>0</v>
      </c>
      <c r="DS150" s="9" t="n"/>
    </row>
    <row hidden="false" ht="15" outlineLevel="0" r="151">
      <c r="A151" s="103" t="n">
        <f aca="false" ca="false" dt2D="false" dtr="false" t="normal">+A150+1</f>
        <v>134</v>
      </c>
      <c r="B151" s="104" t="n">
        <f aca="false" ca="false" dt2D="false" dtr="false" t="normal">+B150+1</f>
        <v>134</v>
      </c>
      <c r="C151" s="104" t="s">
        <v>221</v>
      </c>
      <c r="D151" s="104" t="s">
        <v>225</v>
      </c>
      <c r="E151" s="105" t="n">
        <v>1974</v>
      </c>
      <c r="F151" s="105" t="n">
        <v>1974</v>
      </c>
      <c r="G151" s="105" t="s">
        <v>68</v>
      </c>
      <c r="H151" s="105" t="n">
        <v>4</v>
      </c>
      <c r="I151" s="105" t="n">
        <v>3</v>
      </c>
      <c r="J151" s="106" t="n">
        <v>1380.9</v>
      </c>
      <c r="K151" s="106" t="n">
        <v>1261.1</v>
      </c>
      <c r="L151" s="106" t="n">
        <v>0</v>
      </c>
      <c r="M151" s="107" t="n">
        <v>43</v>
      </c>
      <c r="N151" s="108" t="n">
        <f aca="false" ca="false" dt2D="false" dtr="false" t="normal">SUM(P151:T151)</f>
        <v>1065818.07</v>
      </c>
      <c r="O151" s="106" t="n"/>
      <c r="P151" s="114" t="n"/>
      <c r="Q151" s="114" t="n"/>
      <c r="R151" s="114" t="n">
        <v>641924.76</v>
      </c>
      <c r="S151" s="114" t="n">
        <v>423893.31</v>
      </c>
      <c r="T151" s="106" t="n"/>
      <c r="U151" s="114" t="n">
        <v>1056.32756388737</v>
      </c>
      <c r="V151" s="114" t="n">
        <v>1056.32756388737</v>
      </c>
      <c r="W151" s="110" t="n">
        <v>2022</v>
      </c>
      <c r="X151" s="9" t="e">
        <f aca="false" ca="false" dt2D="false" dtr="false" t="normal">+#REF!-'[9]Приложение №1'!$P1177</f>
        <v>#REF!</v>
      </c>
      <c r="Z151" s="113" t="n">
        <f aca="false" ca="false" dt2D="false" dtr="false" t="normal">SUM(AA151:AO151)</f>
        <v>24082184.680000003</v>
      </c>
      <c r="AA151" s="106" t="n">
        <v>3459603.09489522</v>
      </c>
      <c r="AB151" s="106" t="n">
        <v>1248096.36492156</v>
      </c>
      <c r="AC151" s="106" t="n">
        <v>1303954.6600395</v>
      </c>
      <c r="AD151" s="106" t="n">
        <v>816386.97648732</v>
      </c>
      <c r="AE151" s="106" t="n">
        <v>0</v>
      </c>
      <c r="AF151" s="106" t="n"/>
      <c r="AG151" s="106" t="n">
        <v>124822.049583</v>
      </c>
      <c r="AH151" s="106" t="n">
        <v>0</v>
      </c>
      <c r="AI151" s="106" t="n">
        <v>6403192.8421986</v>
      </c>
      <c r="AJ151" s="106" t="n">
        <v>838109.1053244</v>
      </c>
      <c r="AK151" s="106" t="n">
        <v>3324589.38292698</v>
      </c>
      <c r="AL151" s="106" t="n">
        <v>3585887.05339116</v>
      </c>
      <c r="AM151" s="106" t="n">
        <v>2275205.5373</v>
      </c>
      <c r="AN151" s="114" t="n">
        <v>240821.8468</v>
      </c>
      <c r="AO151" s="115" t="n">
        <v>461515.76613226</v>
      </c>
      <c r="AP151" s="112" t="n">
        <f aca="false" ca="false" dt2D="false" dtr="false" t="normal">+N151-'Приложение №2'!E151</f>
        <v>0</v>
      </c>
      <c r="AQ151" s="1" t="n">
        <v>513292.56</v>
      </c>
      <c r="AR151" s="3" t="n">
        <f aca="false" ca="false" dt2D="false" dtr="false" t="normal">+(K151*10+L151*20)*12*0.85</f>
        <v>128632.2</v>
      </c>
      <c r="AS151" s="3" t="n">
        <f aca="false" ca="false" dt2D="false" dtr="false" t="normal">+(K151*10+L151*20)*12*30</f>
        <v>4539960</v>
      </c>
      <c r="AT151" s="9" t="n">
        <f aca="false" ca="false" dt2D="false" dtr="false" t="normal">+S151-AS151</f>
        <v>-4116066.69</v>
      </c>
      <c r="AW151" s="113" t="n">
        <f aca="false" ca="true" dt2D="false" dtr="false" t="normal">SUBTOTAL(9, AX151:BL151)</f>
        <v>1332134.69081836</v>
      </c>
      <c r="AX151" s="106" t="n"/>
      <c r="AY151" s="106" t="n">
        <v>691727.99</v>
      </c>
      <c r="AZ151" s="106" t="n"/>
      <c r="BA151" s="106" t="n">
        <v>374090.08</v>
      </c>
      <c r="BB151" s="106" t="n">
        <v>0</v>
      </c>
      <c r="BC151" s="106" t="n"/>
      <c r="BD151" s="106" t="n"/>
      <c r="BE151" s="106" t="n">
        <v>0</v>
      </c>
      <c r="BF151" s="106" t="n"/>
      <c r="BG151" s="106" t="n"/>
      <c r="BH151" s="106" t="n"/>
      <c r="BJ151" s="106" t="n"/>
      <c r="BK151" s="114" t="n"/>
      <c r="BL151" s="115" t="n">
        <v>266316.62081836</v>
      </c>
      <c r="BM151" s="14" t="n">
        <f aca="false" ca="true" dt2D="false" dtr="false" t="normal">SUBTOTAL(9, BN151:CB151)</f>
        <v>1332134.69081836</v>
      </c>
      <c r="BN151" s="106" t="n"/>
      <c r="BO151" s="106" t="n">
        <v>691727.99</v>
      </c>
      <c r="BP151" s="133" t="n"/>
      <c r="BQ151" s="106" t="n">
        <v>374090.08</v>
      </c>
      <c r="BR151" s="106" t="n">
        <v>0</v>
      </c>
      <c r="BS151" s="106" t="n"/>
      <c r="BT151" s="106" t="n"/>
      <c r="BU151" s="106" t="n">
        <v>0</v>
      </c>
      <c r="BV151" s="106" t="n"/>
      <c r="BW151" s="106" t="n"/>
      <c r="BX151" s="106" t="n"/>
      <c r="BZ151" s="106" t="n"/>
      <c r="CA151" s="114" t="n"/>
      <c r="CB151" s="115" t="n">
        <v>266316.62081836</v>
      </c>
      <c r="CD151" s="116" t="n">
        <f aca="false" ca="false" dt2D="false" dtr="false" t="normal">+CD150+1</f>
        <v>134</v>
      </c>
      <c r="CE151" s="117" t="n">
        <f aca="false" ca="false" dt2D="false" dtr="false" t="normal">+CE150+1</f>
        <v>134</v>
      </c>
      <c r="CF151" s="104" t="s">
        <v>221</v>
      </c>
      <c r="CG151" s="104" t="s">
        <v>225</v>
      </c>
      <c r="CH151" s="118" t="n">
        <f aca="false" ca="true" dt2D="false" dtr="false" t="normal">SUBTOTAL(9, CI151:CW151)</f>
        <v>1332134.69081836</v>
      </c>
      <c r="CI151" s="106" t="n"/>
      <c r="CJ151" s="106" t="n">
        <v>691727.99</v>
      </c>
      <c r="CK151" s="133" t="n"/>
      <c r="CL151" s="106" t="n">
        <v>374090.08</v>
      </c>
      <c r="CM151" s="106" t="n">
        <v>0</v>
      </c>
      <c r="CN151" s="106" t="n"/>
      <c r="CO151" s="106" t="n"/>
      <c r="CP151" s="106" t="n">
        <v>0</v>
      </c>
      <c r="CQ151" s="106" t="n"/>
      <c r="CR151" s="106" t="n"/>
      <c r="CS151" s="106" t="n"/>
      <c r="CU151" s="106" t="n"/>
      <c r="CV151" s="114" t="n"/>
      <c r="CW151" s="115" t="n">
        <v>266316.62081836</v>
      </c>
      <c r="CZ151" s="104" t="s">
        <v>225</v>
      </c>
      <c r="DA151" s="119" t="n">
        <f aca="false" ca="true" dt2D="false" dtr="false" t="normal">SUBTOTAL(9, DB151:DP151)</f>
        <v>1065818.07</v>
      </c>
      <c r="DB151" s="106" t="n"/>
      <c r="DC151" s="106" t="n">
        <v>691727.99</v>
      </c>
      <c r="DD151" s="133" t="n"/>
      <c r="DE151" s="106" t="n">
        <v>374090.08</v>
      </c>
      <c r="DF151" s="106" t="n">
        <v>0</v>
      </c>
      <c r="DG151" s="106" t="n"/>
      <c r="DH151" s="106" t="n"/>
      <c r="DI151" s="106" t="n">
        <v>0</v>
      </c>
      <c r="DJ151" s="106" t="n"/>
      <c r="DK151" s="106" t="n"/>
      <c r="DL151" s="106" t="n"/>
      <c r="DN151" s="106" t="n"/>
      <c r="DO151" s="114" t="n"/>
      <c r="DP151" s="122" t="n"/>
      <c r="DQ151" s="3" t="n">
        <f aca="false" ca="false" dt2D="false" dtr="false" t="normal">N151-DA151</f>
        <v>0</v>
      </c>
      <c r="DS151" s="9" t="n"/>
    </row>
    <row hidden="false" ht="15" outlineLevel="0" r="152">
      <c r="A152" s="103" t="n">
        <f aca="false" ca="false" dt2D="false" dtr="false" t="normal">+A151+1</f>
        <v>135</v>
      </c>
      <c r="B152" s="104" t="n">
        <f aca="false" ca="false" dt2D="false" dtr="false" t="normal">+B151+1</f>
        <v>135</v>
      </c>
      <c r="C152" s="104" t="s">
        <v>221</v>
      </c>
      <c r="D152" s="104" t="s">
        <v>226</v>
      </c>
      <c r="E152" s="105" t="n">
        <v>1962</v>
      </c>
      <c r="F152" s="105" t="n">
        <v>1962</v>
      </c>
      <c r="G152" s="105" t="s">
        <v>68</v>
      </c>
      <c r="H152" s="105" t="n">
        <v>3</v>
      </c>
      <c r="I152" s="105" t="n">
        <v>2</v>
      </c>
      <c r="J152" s="106" t="n">
        <v>937.1</v>
      </c>
      <c r="K152" s="106" t="n">
        <v>723.7</v>
      </c>
      <c r="L152" s="106" t="n">
        <v>213.4</v>
      </c>
      <c r="M152" s="107" t="n">
        <v>26</v>
      </c>
      <c r="N152" s="108" t="n">
        <f aca="false" ca="false" dt2D="false" dtr="false" t="normal">SUM(P152:T152)</f>
        <v>849666.3400000003</v>
      </c>
      <c r="O152" s="106" t="n"/>
      <c r="P152" s="114" t="n">
        <v>83339.0160512002</v>
      </c>
      <c r="Q152" s="114" t="n"/>
      <c r="R152" s="114" t="n">
        <v>193257.44</v>
      </c>
      <c r="S152" s="114" t="n">
        <v>573069.8839488</v>
      </c>
      <c r="T152" s="106" t="n"/>
      <c r="U152" s="114" t="n">
        <v>1247.02752987728</v>
      </c>
      <c r="V152" s="114" t="n">
        <v>1247.02752987728</v>
      </c>
      <c r="W152" s="110" t="n">
        <v>2022</v>
      </c>
      <c r="X152" s="9" t="e">
        <f aca="false" ca="false" dt2D="false" dtr="false" t="normal">+#REF!-'[9]Приложение №1'!$P1178</f>
        <v>#REF!</v>
      </c>
      <c r="Z152" s="113" t="n">
        <f aca="false" ca="false" dt2D="false" dtr="false" t="normal">SUM(AA152:AO152)</f>
        <v>26675784</v>
      </c>
      <c r="AA152" s="106" t="n">
        <v>2404073.9634912</v>
      </c>
      <c r="AB152" s="106" t="n">
        <v>1462843.1901888</v>
      </c>
      <c r="AC152" s="106" t="n">
        <v>689312.7111024</v>
      </c>
      <c r="AD152" s="106" t="n">
        <v>587431.3148928</v>
      </c>
      <c r="AE152" s="106" t="n">
        <v>0</v>
      </c>
      <c r="AF152" s="106" t="n"/>
      <c r="AG152" s="106" t="n">
        <v>227878.8628032</v>
      </c>
      <c r="AH152" s="106" t="n">
        <v>0</v>
      </c>
      <c r="AI152" s="106" t="n">
        <v>6954572.465568</v>
      </c>
      <c r="AJ152" s="106" t="n">
        <v>0</v>
      </c>
      <c r="AK152" s="106" t="n">
        <v>5686511.6200032</v>
      </c>
      <c r="AL152" s="106" t="n">
        <v>5351302.3282992</v>
      </c>
      <c r="AM152" s="106" t="n">
        <v>2534177.952</v>
      </c>
      <c r="AN152" s="114" t="n">
        <v>266757.84</v>
      </c>
      <c r="AO152" s="115" t="n">
        <v>510921.7516512</v>
      </c>
      <c r="AP152" s="112" t="n">
        <f aca="false" ca="false" dt2D="false" dtr="false" t="normal">+N152-'Приложение №2'!E152</f>
        <v>0</v>
      </c>
      <c r="AQ152" s="1" t="n">
        <f aca="false" ca="false" dt2D="false" dtr="false" t="normal">294416.56-218510.12</f>
        <v>75906.44</v>
      </c>
      <c r="AR152" s="3" t="n">
        <f aca="false" ca="false" dt2D="false" dtr="false" t="normal">+(K152*10+L152*20)*12*0.85</f>
        <v>117351</v>
      </c>
      <c r="AS152" s="3" t="n">
        <f aca="false" ca="false" dt2D="false" dtr="false" t="normal">+(K152*10+L152*20)*12*30</f>
        <v>4141800</v>
      </c>
      <c r="AT152" s="9" t="n">
        <f aca="false" ca="false" dt2D="false" dtr="false" t="normal">+S152-AS152</f>
        <v>-3568730.1160512</v>
      </c>
      <c r="AW152" s="113" t="n">
        <f aca="false" ca="true" dt2D="false" dtr="false" t="normal">SUBTOTAL(9, AX152:BL152)</f>
        <v>1168589.4982480002</v>
      </c>
      <c r="AX152" s="106" t="n"/>
      <c r="AY152" s="106" t="n">
        <v>552436.8</v>
      </c>
      <c r="AZ152" s="106" t="n"/>
      <c r="BA152" s="106" t="n">
        <v>297229.54</v>
      </c>
      <c r="BB152" s="106" t="n">
        <v>0</v>
      </c>
      <c r="BC152" s="106" t="n"/>
      <c r="BD152" s="106" t="n"/>
      <c r="BE152" s="106" t="n">
        <v>0</v>
      </c>
      <c r="BF152" s="106" t="n"/>
      <c r="BG152" s="106" t="n">
        <v>0</v>
      </c>
      <c r="BH152" s="106" t="n"/>
      <c r="BJ152" s="106" t="n"/>
      <c r="BK152" s="114" t="n"/>
      <c r="BL152" s="115" t="n">
        <v>318923.158248</v>
      </c>
      <c r="BM152" s="14" t="n">
        <f aca="false" ca="true" dt2D="false" dtr="false" t="normal">SUBTOTAL(9, BN152:CB152)</f>
        <v>1168589.4982480002</v>
      </c>
      <c r="BN152" s="106" t="n"/>
      <c r="BO152" s="106" t="n">
        <v>552436.8</v>
      </c>
      <c r="BP152" s="133" t="n"/>
      <c r="BQ152" s="106" t="n">
        <v>297229.54</v>
      </c>
      <c r="BR152" s="106" t="n">
        <v>0</v>
      </c>
      <c r="BS152" s="106" t="n"/>
      <c r="BT152" s="106" t="n"/>
      <c r="BU152" s="106" t="n">
        <v>0</v>
      </c>
      <c r="BV152" s="106" t="n"/>
      <c r="BW152" s="106" t="n">
        <v>0</v>
      </c>
      <c r="BX152" s="106" t="n"/>
      <c r="BZ152" s="106" t="n"/>
      <c r="CA152" s="114" t="n"/>
      <c r="CB152" s="115" t="n">
        <v>318923.158248</v>
      </c>
      <c r="CD152" s="116" t="n">
        <f aca="false" ca="false" dt2D="false" dtr="false" t="normal">+CD151+1</f>
        <v>135</v>
      </c>
      <c r="CE152" s="117" t="n">
        <f aca="false" ca="false" dt2D="false" dtr="false" t="normal">+CE151+1</f>
        <v>135</v>
      </c>
      <c r="CF152" s="104" t="s">
        <v>221</v>
      </c>
      <c r="CG152" s="104" t="s">
        <v>226</v>
      </c>
      <c r="CH152" s="118" t="n">
        <f aca="false" ca="true" dt2D="false" dtr="false" t="normal">SUBTOTAL(9, CI152:CW152)</f>
        <v>1168589.4982480002</v>
      </c>
      <c r="CI152" s="106" t="n"/>
      <c r="CJ152" s="106" t="n">
        <v>552436.8</v>
      </c>
      <c r="CK152" s="133" t="n"/>
      <c r="CL152" s="106" t="n">
        <v>297229.54</v>
      </c>
      <c r="CM152" s="106" t="n">
        <v>0</v>
      </c>
      <c r="CN152" s="106" t="n"/>
      <c r="CO152" s="106" t="n"/>
      <c r="CP152" s="106" t="n">
        <v>0</v>
      </c>
      <c r="CQ152" s="106" t="n"/>
      <c r="CR152" s="106" t="n">
        <v>0</v>
      </c>
      <c r="CS152" s="106" t="n"/>
      <c r="CU152" s="106" t="n"/>
      <c r="CV152" s="114" t="n"/>
      <c r="CW152" s="115" t="n">
        <v>318923.158248</v>
      </c>
      <c r="CZ152" s="104" t="s">
        <v>226</v>
      </c>
      <c r="DA152" s="119" t="n">
        <f aca="false" ca="true" dt2D="false" dtr="false" t="normal">SUBTOTAL(9, DB152:DP152)</f>
        <v>849666.3400000001</v>
      </c>
      <c r="DB152" s="106" t="n"/>
      <c r="DC152" s="106" t="n">
        <v>552436.8</v>
      </c>
      <c r="DD152" s="133" t="n"/>
      <c r="DE152" s="106" t="n">
        <v>297229.54</v>
      </c>
      <c r="DF152" s="106" t="n">
        <v>0</v>
      </c>
      <c r="DG152" s="106" t="n"/>
      <c r="DH152" s="106" t="n"/>
      <c r="DI152" s="106" t="n">
        <v>0</v>
      </c>
      <c r="DJ152" s="106" t="n"/>
      <c r="DK152" s="106" t="n">
        <v>0</v>
      </c>
      <c r="DL152" s="106" t="n"/>
      <c r="DN152" s="106" t="n"/>
      <c r="DO152" s="114" t="n"/>
      <c r="DP152" s="122" t="n"/>
      <c r="DQ152" s="3" t="n">
        <f aca="false" ca="false" dt2D="false" dtr="false" t="normal">N152-DA152</f>
        <v>0</v>
      </c>
      <c r="DS152" s="9" t="n"/>
    </row>
    <row hidden="false" ht="15" outlineLevel="0" r="153">
      <c r="A153" s="103" t="n">
        <f aca="false" ca="false" dt2D="false" dtr="false" t="normal">+A152+1</f>
        <v>136</v>
      </c>
      <c r="B153" s="104" t="n">
        <f aca="false" ca="false" dt2D="false" dtr="false" t="normal">+B152+1</f>
        <v>136</v>
      </c>
      <c r="C153" s="104" t="s">
        <v>227</v>
      </c>
      <c r="D153" s="104" t="s">
        <v>228</v>
      </c>
      <c r="E153" s="105" t="n">
        <v>1993</v>
      </c>
      <c r="F153" s="105" t="n">
        <v>2015</v>
      </c>
      <c r="G153" s="105" t="s">
        <v>68</v>
      </c>
      <c r="H153" s="105" t="n">
        <v>4</v>
      </c>
      <c r="I153" s="105" t="n">
        <v>2</v>
      </c>
      <c r="J153" s="106" t="n">
        <v>2573</v>
      </c>
      <c r="K153" s="106" t="n">
        <v>2088.4</v>
      </c>
      <c r="L153" s="106" t="n">
        <v>299.9</v>
      </c>
      <c r="M153" s="107" t="n">
        <v>79</v>
      </c>
      <c r="N153" s="108" t="n">
        <f aca="false" ca="false" dt2D="false" dtr="false" t="normal">SUM(P153:T153)</f>
        <v>2592439.69</v>
      </c>
      <c r="O153" s="106" t="n"/>
      <c r="P153" s="114" t="n"/>
      <c r="Q153" s="114" t="n"/>
      <c r="R153" s="114" t="n">
        <v>897791.14</v>
      </c>
      <c r="S153" s="114" t="n">
        <v>1694648.55</v>
      </c>
      <c r="T153" s="106" t="n"/>
      <c r="U153" s="114" t="n">
        <v>1136.78650550127</v>
      </c>
      <c r="V153" s="114" t="n">
        <v>1136.78650550127</v>
      </c>
      <c r="W153" s="110" t="n">
        <v>2022</v>
      </c>
      <c r="X153" s="9" t="e">
        <f aca="false" ca="false" dt2D="false" dtr="false" t="normal">+#REF!-'[9]Приложение №1'!$P818</f>
        <v>#REF!</v>
      </c>
      <c r="Y153" s="1" t="s">
        <v>229</v>
      </c>
      <c r="Z153" s="113" t="n">
        <f aca="false" ca="false" dt2D="false" dtr="false" t="normal">SUM(AA153:AO153)</f>
        <v>18343019.5</v>
      </c>
      <c r="AA153" s="106" t="n">
        <v>6746829.54763272</v>
      </c>
      <c r="AB153" s="106" t="n">
        <v>0</v>
      </c>
      <c r="AC153" s="106" t="n">
        <v>2584833.45481578</v>
      </c>
      <c r="AD153" s="106" t="n">
        <v>0</v>
      </c>
      <c r="AE153" s="106" t="n">
        <v>0</v>
      </c>
      <c r="AF153" s="106" t="n"/>
      <c r="AG153" s="106" t="n">
        <v>222731.8074786</v>
      </c>
      <c r="AH153" s="106" t="n">
        <v>0</v>
      </c>
      <c r="AI153" s="106" t="n">
        <v>0</v>
      </c>
      <c r="AJ153" s="106" t="n">
        <v>0</v>
      </c>
      <c r="AK153" s="106" t="n">
        <v>6590268.32566704</v>
      </c>
      <c r="AL153" s="106" t="n">
        <v>0</v>
      </c>
      <c r="AM153" s="106" t="n">
        <v>1661875.0851</v>
      </c>
      <c r="AN153" s="114" t="n">
        <v>183430.195</v>
      </c>
      <c r="AO153" s="115" t="n">
        <v>353051.08430586</v>
      </c>
      <c r="AP153" s="112" t="n">
        <f aca="false" ca="false" dt2D="false" dtr="false" t="normal">+N153-'Приложение №2'!E153</f>
        <v>0</v>
      </c>
      <c r="AQ153" s="1" t="n">
        <f aca="false" ca="false" dt2D="false" dtr="false" t="normal">1272443.19-648848.45</f>
        <v>623594.74</v>
      </c>
      <c r="AR153" s="3" t="n">
        <f aca="false" ca="false" dt2D="false" dtr="false" t="normal">+(K153*10+L153*20)*12*0.85</f>
        <v>274196.39999999997</v>
      </c>
      <c r="AS153" s="3" t="n">
        <f aca="false" ca="false" dt2D="false" dtr="false" t="normal">+(K153*10+L153*20)*12*30-5206204.7</f>
        <v>4471315.3</v>
      </c>
      <c r="AT153" s="9" t="n">
        <f aca="false" ca="false" dt2D="false" dtr="false" t="normal">+S153-AS153</f>
        <v>-2776666.75</v>
      </c>
      <c r="AW153" s="113" t="n">
        <f aca="false" ca="true" dt2D="false" dtr="false" t="normal">SUBTOTAL(9, AX153:BL153)</f>
        <v>2714987.21108868</v>
      </c>
      <c r="AX153" s="106" t="n">
        <v>2562577.02</v>
      </c>
      <c r="AY153" s="106" t="n">
        <v>0</v>
      </c>
      <c r="AZ153" s="106" t="n"/>
      <c r="BA153" s="106" t="n">
        <v>0</v>
      </c>
      <c r="BB153" s="106" t="n">
        <v>0</v>
      </c>
      <c r="BC153" s="106" t="n"/>
      <c r="BD153" s="106" t="n"/>
      <c r="BE153" s="106" t="n">
        <v>0</v>
      </c>
      <c r="BF153" s="106" t="n">
        <v>0</v>
      </c>
      <c r="BG153" s="106" t="n">
        <v>0</v>
      </c>
      <c r="BH153" s="106" t="n"/>
      <c r="BI153" s="106" t="n">
        <v>0</v>
      </c>
      <c r="BJ153" s="106" t="n"/>
      <c r="BK153" s="114" t="n"/>
      <c r="BL153" s="115" t="n">
        <v>152410.19108868</v>
      </c>
      <c r="BM153" s="14" t="n">
        <f aca="false" ca="true" dt2D="false" dtr="false" t="normal">SUBTOTAL(9, BN153:CB153)</f>
        <v>2714987.21108868</v>
      </c>
      <c r="BN153" s="106" t="n">
        <v>2562577.02</v>
      </c>
      <c r="BO153" s="106" t="n">
        <v>0</v>
      </c>
      <c r="BP153" s="133" t="n"/>
      <c r="BQ153" s="106" t="n">
        <v>0</v>
      </c>
      <c r="BR153" s="106" t="n">
        <v>0</v>
      </c>
      <c r="BS153" s="106" t="n"/>
      <c r="BT153" s="106" t="n"/>
      <c r="BU153" s="106" t="n">
        <v>0</v>
      </c>
      <c r="BV153" s="106" t="n">
        <v>0</v>
      </c>
      <c r="BW153" s="106" t="n">
        <v>0</v>
      </c>
      <c r="BX153" s="106" t="n"/>
      <c r="BY153" s="106" t="n">
        <v>0</v>
      </c>
      <c r="BZ153" s="106" t="n"/>
      <c r="CA153" s="114" t="n"/>
      <c r="CB153" s="115" t="n">
        <v>152410.19108868</v>
      </c>
      <c r="CD153" s="116" t="n">
        <f aca="false" ca="false" dt2D="false" dtr="false" t="normal">+CD152+1</f>
        <v>136</v>
      </c>
      <c r="CE153" s="117" t="n">
        <f aca="false" ca="false" dt2D="false" dtr="false" t="normal">+CE152+1</f>
        <v>136</v>
      </c>
      <c r="CF153" s="104" t="s">
        <v>227</v>
      </c>
      <c r="CG153" s="104" t="s">
        <v>228</v>
      </c>
      <c r="CH153" s="118" t="n">
        <f aca="false" ca="true" dt2D="false" dtr="false" t="normal">SUBTOTAL(9, CI153:CW153)</f>
        <v>2714987.21108868</v>
      </c>
      <c r="CI153" s="106" t="n">
        <v>2562577.02</v>
      </c>
      <c r="CJ153" s="106" t="n">
        <v>0</v>
      </c>
      <c r="CK153" s="133" t="n"/>
      <c r="CL153" s="106" t="n">
        <v>0</v>
      </c>
      <c r="CM153" s="106" t="n">
        <v>0</v>
      </c>
      <c r="CN153" s="106" t="n"/>
      <c r="CO153" s="106" t="n"/>
      <c r="CP153" s="106" t="n">
        <v>0</v>
      </c>
      <c r="CQ153" s="106" t="n">
        <v>0</v>
      </c>
      <c r="CR153" s="106" t="n">
        <v>0</v>
      </c>
      <c r="CS153" s="106" t="n"/>
      <c r="CT153" s="106" t="n">
        <v>0</v>
      </c>
      <c r="CU153" s="106" t="n"/>
      <c r="CV153" s="114" t="n"/>
      <c r="CW153" s="115" t="n">
        <v>152410.19108868</v>
      </c>
      <c r="CZ153" s="104" t="s">
        <v>228</v>
      </c>
      <c r="DA153" s="119" t="n">
        <f aca="false" ca="true" dt2D="false" dtr="false" t="normal">SUBTOTAL(9, DB153:DP153)</f>
        <v>2592439.69</v>
      </c>
      <c r="DB153" s="106" t="n">
        <v>2562577.02</v>
      </c>
      <c r="DC153" s="106" t="n">
        <v>0</v>
      </c>
      <c r="DD153" s="133" t="n"/>
      <c r="DE153" s="106" t="n">
        <v>0</v>
      </c>
      <c r="DF153" s="106" t="n">
        <v>0</v>
      </c>
      <c r="DG153" s="106" t="n"/>
      <c r="DH153" s="106" t="n"/>
      <c r="DI153" s="106" t="n">
        <v>0</v>
      </c>
      <c r="DJ153" s="106" t="n">
        <v>0</v>
      </c>
      <c r="DK153" s="106" t="n">
        <v>0</v>
      </c>
      <c r="DL153" s="106" t="n"/>
      <c r="DM153" s="106" t="n">
        <v>0</v>
      </c>
      <c r="DN153" s="106" t="n"/>
      <c r="DO153" s="114" t="n"/>
      <c r="DP153" s="120" t="n">
        <v>29862.67</v>
      </c>
      <c r="DQ153" s="3" t="n">
        <f aca="false" ca="false" dt2D="false" dtr="false" t="normal">N153-DA153</f>
        <v>0</v>
      </c>
      <c r="DS153" s="9" t="n"/>
    </row>
    <row hidden="false" ht="15" outlineLevel="0" r="154">
      <c r="A154" s="103" t="n">
        <f aca="false" ca="false" dt2D="false" dtr="false" t="normal">+A153+1</f>
        <v>137</v>
      </c>
      <c r="B154" s="104" t="n">
        <f aca="false" ca="false" dt2D="false" dtr="false" t="normal">+B153+1</f>
        <v>137</v>
      </c>
      <c r="C154" s="104" t="s">
        <v>227</v>
      </c>
      <c r="D154" s="104" t="s">
        <v>230</v>
      </c>
      <c r="E154" s="105" t="n">
        <v>1989</v>
      </c>
      <c r="F154" s="105" t="n">
        <v>2014</v>
      </c>
      <c r="G154" s="105" t="s">
        <v>68</v>
      </c>
      <c r="H154" s="105" t="n">
        <v>9</v>
      </c>
      <c r="I154" s="105" t="n">
        <v>3</v>
      </c>
      <c r="J154" s="106" t="n">
        <v>6626.1</v>
      </c>
      <c r="K154" s="106" t="n">
        <v>6102.5</v>
      </c>
      <c r="L154" s="106" t="n">
        <v>67.8</v>
      </c>
      <c r="M154" s="107" t="n">
        <v>265</v>
      </c>
      <c r="N154" s="108" t="n">
        <f aca="false" ca="false" dt2D="false" dtr="false" t="normal">SUM(P154:T154)</f>
        <v>46987316.4</v>
      </c>
      <c r="O154" s="106" t="n"/>
      <c r="P154" s="13" t="n"/>
      <c r="Q154" s="114" t="n"/>
      <c r="R154" s="114" t="n">
        <v>1277946.27</v>
      </c>
      <c r="S154" s="114" t="n">
        <v>29746469.16</v>
      </c>
      <c r="T154" s="114" t="n">
        <v>15962900.97</v>
      </c>
      <c r="U154" s="106" t="n">
        <v>8075.73068747503</v>
      </c>
      <c r="V154" s="106" t="n">
        <v>8075.73068747503</v>
      </c>
      <c r="W154" s="110" t="n">
        <v>2022</v>
      </c>
      <c r="X154" s="9" t="e">
        <f aca="false" ca="false" dt2D="false" dtr="false" t="normal">+#REF!-'[9]Приложение №1'!$P966</f>
        <v>#REF!</v>
      </c>
      <c r="Z154" s="113" t="n">
        <f aca="false" ca="false" dt2D="false" dtr="false" t="normal">SUM(AA154:AO154)</f>
        <v>133828117.4399999</v>
      </c>
      <c r="AA154" s="106" t="n">
        <v>13963940.4881831</v>
      </c>
      <c r="AB154" s="106" t="n">
        <v>9583521.89770962</v>
      </c>
      <c r="AC154" s="106" t="n">
        <v>5833663.06082448</v>
      </c>
      <c r="AD154" s="106" t="n">
        <v>5263338.74138856</v>
      </c>
      <c r="AE154" s="106" t="n">
        <v>0</v>
      </c>
      <c r="AF154" s="106" t="n"/>
      <c r="AG154" s="106" t="n">
        <v>671777.6317728</v>
      </c>
      <c r="AH154" s="106" t="n">
        <v>0</v>
      </c>
      <c r="AI154" s="106" t="n">
        <v>6811959.918141</v>
      </c>
      <c r="AJ154" s="106" t="n">
        <v>0</v>
      </c>
      <c r="AK154" s="106" t="n">
        <v>59138470.0187366</v>
      </c>
      <c r="AL154" s="106" t="n">
        <v>15552139.698892</v>
      </c>
      <c r="AM154" s="106" t="n">
        <v>13116434.0015</v>
      </c>
      <c r="AN154" s="114" t="n">
        <v>1338281.1744</v>
      </c>
      <c r="AO154" s="115" t="n">
        <v>2554590.80845174</v>
      </c>
      <c r="AP154" s="112" t="n">
        <f aca="false" ca="false" dt2D="false" dtr="false" t="normal">+N154-'Приложение №2'!E154</f>
        <v>0</v>
      </c>
      <c r="AQ154" s="121" t="n">
        <v>3444334.74</v>
      </c>
      <c r="AR154" s="3" t="n">
        <f aca="false" ca="false" dt2D="false" dtr="false" t="normal">+(K154*13.29+L154*22.52)*12*0.85</f>
        <v>842816.6261999998</v>
      </c>
      <c r="AS154" s="3" t="n">
        <f aca="false" ca="false" dt2D="false" dtr="false" t="normal">+(K154*13.29+L154*22.52)*12*30</f>
        <v>29746469.159999996</v>
      </c>
      <c r="AT154" s="9" t="n">
        <f aca="false" ca="false" dt2D="false" dtr="false" t="normal">+S154-AS154</f>
        <v>0</v>
      </c>
      <c r="AW154" s="113" t="n">
        <f aca="false" ca="true" dt2D="false" dtr="false" t="normal">SUBTOTAL(9, AX154:BL154)</f>
        <v>49829681.060927205</v>
      </c>
      <c r="AX154" s="106" t="n"/>
      <c r="AY154" s="106" t="n">
        <v>8054732.7</v>
      </c>
      <c r="AZ154" s="106" t="n">
        <v>3326392.27</v>
      </c>
      <c r="BA154" s="106" t="n"/>
      <c r="BB154" s="106" t="n"/>
      <c r="BC154" s="106" t="n"/>
      <c r="BD154" s="106" t="n"/>
      <c r="BE154" s="106" t="n"/>
      <c r="BF154" s="106" t="n">
        <v>6383560.56</v>
      </c>
      <c r="BG154" s="106" t="n">
        <v>0</v>
      </c>
      <c r="BH154" s="106" t="n">
        <v>14384597.8</v>
      </c>
      <c r="BI154" s="106" t="n">
        <v>14838033.07</v>
      </c>
      <c r="BJ154" s="106" t="n"/>
      <c r="BK154" s="114" t="n"/>
      <c r="BL154" s="115" t="n">
        <v>2842364.6609272</v>
      </c>
      <c r="BM154" s="14" t="n">
        <f aca="false" ca="true" dt2D="false" dtr="false" t="normal">SUBTOTAL(9, BN154:CB154)</f>
        <v>49829681.060927205</v>
      </c>
      <c r="BN154" s="106" t="n"/>
      <c r="BO154" s="106" t="n">
        <v>8054732.7</v>
      </c>
      <c r="BP154" s="133" t="n">
        <v>3326392.27</v>
      </c>
      <c r="BQ154" s="106" t="n"/>
      <c r="BR154" s="106" t="n"/>
      <c r="BS154" s="106" t="n"/>
      <c r="BT154" s="106" t="n"/>
      <c r="BU154" s="106" t="n"/>
      <c r="BV154" s="106" t="n">
        <v>6383560.56</v>
      </c>
      <c r="BW154" s="106" t="n">
        <v>0</v>
      </c>
      <c r="BX154" s="106" t="n">
        <v>14384597.8</v>
      </c>
      <c r="BY154" s="106" t="n">
        <v>14838033.07</v>
      </c>
      <c r="BZ154" s="106" t="n"/>
      <c r="CA154" s="114" t="n"/>
      <c r="CB154" s="115" t="n">
        <v>2842364.6609272</v>
      </c>
      <c r="CD154" s="116" t="n">
        <f aca="false" ca="false" dt2D="false" dtr="false" t="normal">+CD153+1</f>
        <v>137</v>
      </c>
      <c r="CE154" s="117" t="n">
        <f aca="false" ca="false" dt2D="false" dtr="false" t="normal">+CE153+1</f>
        <v>137</v>
      </c>
      <c r="CF154" s="104" t="s">
        <v>227</v>
      </c>
      <c r="CG154" s="104" t="s">
        <v>230</v>
      </c>
      <c r="CH154" s="118" t="n">
        <f aca="false" ca="true" dt2D="false" dtr="false" t="normal">SUBTOTAL(9, CI154:CW154)</f>
        <v>49829681.060927205</v>
      </c>
      <c r="CI154" s="106" t="n"/>
      <c r="CJ154" s="106" t="n">
        <v>8054732.7</v>
      </c>
      <c r="CK154" s="133" t="n">
        <v>3326392.27</v>
      </c>
      <c r="CL154" s="106" t="n"/>
      <c r="CM154" s="106" t="n"/>
      <c r="CN154" s="106" t="n"/>
      <c r="CO154" s="106" t="n"/>
      <c r="CP154" s="106" t="n"/>
      <c r="CQ154" s="106" t="n">
        <v>6383560.56</v>
      </c>
      <c r="CR154" s="106" t="n">
        <v>0</v>
      </c>
      <c r="CS154" s="106" t="n">
        <v>14384597.8</v>
      </c>
      <c r="CT154" s="106" t="n">
        <v>14838033.07</v>
      </c>
      <c r="CU154" s="106" t="n"/>
      <c r="CV154" s="114" t="n"/>
      <c r="CW154" s="115" t="n">
        <v>2842364.6609272</v>
      </c>
      <c r="CZ154" s="104" t="s">
        <v>230</v>
      </c>
      <c r="DA154" s="119" t="n">
        <f aca="false" ca="true" dt2D="false" dtr="false" t="normal">SUBTOTAL(9, DB154:DP154)</f>
        <v>46987316.400000006</v>
      </c>
      <c r="DB154" s="106" t="n"/>
      <c r="DC154" s="106" t="n">
        <v>8054732.7</v>
      </c>
      <c r="DD154" s="133" t="n">
        <v>3326392.27</v>
      </c>
      <c r="DE154" s="106" t="n"/>
      <c r="DF154" s="106" t="n"/>
      <c r="DG154" s="106" t="n"/>
      <c r="DH154" s="106" t="n"/>
      <c r="DI154" s="106" t="n"/>
      <c r="DJ154" s="106" t="n">
        <v>6383560.56</v>
      </c>
      <c r="DK154" s="106" t="n">
        <v>0</v>
      </c>
      <c r="DL154" s="106" t="n">
        <v>14384597.8</v>
      </c>
      <c r="DM154" s="106" t="n">
        <v>14838033.07</v>
      </c>
      <c r="DN154" s="106" t="n"/>
      <c r="DO154" s="114" t="n"/>
      <c r="DP154" s="122" t="n"/>
      <c r="DQ154" s="3" t="n">
        <f aca="false" ca="false" dt2D="false" dtr="false" t="normal">N154-DA154</f>
        <v>0</v>
      </c>
      <c r="DS154" s="9" t="n"/>
    </row>
    <row customFormat="true" hidden="false" ht="15" outlineLevel="0" r="155" s="129">
      <c r="A155" s="103" t="n">
        <f aca="false" ca="false" dt2D="false" dtr="false" t="normal">+A154+1</f>
        <v>138</v>
      </c>
      <c r="B155" s="104" t="n">
        <f aca="false" ca="false" dt2D="false" dtr="false" t="normal">+B154+1</f>
        <v>138</v>
      </c>
      <c r="C155" s="104" t="s">
        <v>227</v>
      </c>
      <c r="D155" s="104" t="s">
        <v>231</v>
      </c>
      <c r="E155" s="105" t="s">
        <v>125</v>
      </c>
      <c r="F155" s="105" t="n"/>
      <c r="G155" s="105" t="s">
        <v>68</v>
      </c>
      <c r="H155" s="105" t="s">
        <v>126</v>
      </c>
      <c r="I155" s="105" t="s">
        <v>232</v>
      </c>
      <c r="J155" s="106" t="n">
        <v>2294.4</v>
      </c>
      <c r="K155" s="106" t="n">
        <v>2020</v>
      </c>
      <c r="L155" s="106" t="n">
        <v>0</v>
      </c>
      <c r="M155" s="107" t="n">
        <v>107</v>
      </c>
      <c r="N155" s="108" t="n">
        <f aca="false" ca="false" dt2D="false" dtr="false" t="normal">SUM(P155:T155)</f>
        <v>2998415.7590784</v>
      </c>
      <c r="O155" s="106" t="n">
        <v>0</v>
      </c>
      <c r="P155" s="114" t="n"/>
      <c r="Q155" s="114" t="n">
        <v>0</v>
      </c>
      <c r="R155" s="114" t="n">
        <v>1430983.8</v>
      </c>
      <c r="S155" s="114" t="n">
        <v>1567431.9590784</v>
      </c>
      <c r="T155" s="106" t="n"/>
      <c r="U155" s="114" t="n">
        <v>1521.04554154957</v>
      </c>
      <c r="V155" s="114" t="n">
        <v>1172.283020064</v>
      </c>
      <c r="W155" s="110" t="n">
        <v>2022</v>
      </c>
      <c r="X155" s="129" t="n">
        <v>930783.73</v>
      </c>
      <c r="Y155" s="129" t="n">
        <f aca="false" ca="false" dt2D="false" dtr="false" t="normal">+(K155*12.08+L155*20.47)*12</f>
        <v>292819.19999999995</v>
      </c>
      <c r="AA155" s="130" t="e">
        <f aca="false" ca="false" dt2D="false" dtr="false" t="normal">+N155-'[8]Приложение № 2'!E146</f>
        <v>#REF!</v>
      </c>
      <c r="AD155" s="130" t="e">
        <f aca="false" ca="false" dt2D="false" dtr="false" t="normal">+N155-'[8]Приложение № 2'!E146</f>
        <v>#REF!</v>
      </c>
      <c r="AP155" s="112" t="n">
        <f aca="false" ca="false" dt2D="false" dtr="false" t="normal">+N155-'Приложение №2'!E155</f>
        <v>0</v>
      </c>
      <c r="AQ155" s="129" t="n">
        <v>1157156.64</v>
      </c>
      <c r="AR155" s="3" t="n">
        <f aca="false" ca="false" dt2D="false" dtr="false" t="normal">+(K155*13.29+L155*22.52)*12*0.85</f>
        <v>273827.16</v>
      </c>
      <c r="AS155" s="3" t="n">
        <f aca="false" ca="false" dt2D="false" dtr="false" t="normal">+(K155*13.29+L155*22.52)*12*30</f>
        <v>9664488</v>
      </c>
      <c r="AT155" s="9" t="n">
        <f aca="false" ca="false" dt2D="false" dtr="false" t="normal">+S155-AS155</f>
        <v>-8097056.040921601</v>
      </c>
      <c r="AW155" s="113" t="n">
        <f aca="false" ca="true" dt2D="false" dtr="false" t="normal">SUBTOTAL(9, AX155:BL155)</f>
        <v>3072511.9939301223</v>
      </c>
      <c r="AX155" s="106" t="n"/>
      <c r="AY155" s="106" t="n"/>
      <c r="AZ155" s="106" t="n"/>
      <c r="BA155" s="106" t="n"/>
      <c r="BB155" s="106" t="n"/>
      <c r="BC155" s="106" t="n"/>
      <c r="BD155" s="106" t="n"/>
      <c r="BE155" s="106" t="n">
        <v>2869496.64</v>
      </c>
      <c r="BF155" s="106" t="n"/>
      <c r="BG155" s="106" t="n"/>
      <c r="BH155" s="106" t="n"/>
      <c r="BI155" s="106" t="n"/>
      <c r="BJ155" s="106" t="n">
        <v>104919.1190784</v>
      </c>
      <c r="BK155" s="114" t="n">
        <v>24000</v>
      </c>
      <c r="BL155" s="115" t="n">
        <v>74096.2348517222</v>
      </c>
      <c r="BM155" s="14" t="n">
        <f aca="false" ca="true" dt2D="false" dtr="false" t="normal">SUBTOTAL(9, BN155:CB155)</f>
        <v>3072511.9939301223</v>
      </c>
      <c r="BN155" s="106" t="n"/>
      <c r="BO155" s="106" t="n"/>
      <c r="BP155" s="133" t="n"/>
      <c r="BQ155" s="106" t="n"/>
      <c r="BR155" s="106" t="n"/>
      <c r="BS155" s="106" t="n"/>
      <c r="BT155" s="106" t="n"/>
      <c r="BU155" s="106" t="n">
        <v>2869496.64</v>
      </c>
      <c r="BV155" s="106" t="n"/>
      <c r="BW155" s="106" t="n"/>
      <c r="BX155" s="106" t="n"/>
      <c r="BY155" s="106" t="n"/>
      <c r="BZ155" s="106" t="n">
        <v>104919.1190784</v>
      </c>
      <c r="CA155" s="114" t="n">
        <v>24000</v>
      </c>
      <c r="CB155" s="115" t="n">
        <v>74096.2348517222</v>
      </c>
      <c r="CD155" s="116" t="n">
        <f aca="false" ca="false" dt2D="false" dtr="false" t="normal">+CD154+1</f>
        <v>138</v>
      </c>
      <c r="CE155" s="117" t="n">
        <f aca="false" ca="false" dt2D="false" dtr="false" t="normal">+CE154+1</f>
        <v>138</v>
      </c>
      <c r="CF155" s="104" t="s">
        <v>227</v>
      </c>
      <c r="CG155" s="104" t="s">
        <v>231</v>
      </c>
      <c r="CH155" s="118" t="n">
        <f aca="false" ca="true" dt2D="false" dtr="false" t="normal">SUBTOTAL(9, CI155:CW155)</f>
        <v>3072511.9939301223</v>
      </c>
      <c r="CI155" s="106" t="n"/>
      <c r="CJ155" s="106" t="n"/>
      <c r="CK155" s="133" t="n"/>
      <c r="CL155" s="106" t="n"/>
      <c r="CM155" s="106" t="n"/>
      <c r="CN155" s="106" t="n"/>
      <c r="CO155" s="106" t="n"/>
      <c r="CP155" s="106" t="n">
        <v>2869496.64</v>
      </c>
      <c r="CQ155" s="106" t="n"/>
      <c r="CR155" s="106" t="n"/>
      <c r="CS155" s="106" t="n"/>
      <c r="CT155" s="106" t="n"/>
      <c r="CU155" s="106" t="n">
        <v>104919.1190784</v>
      </c>
      <c r="CV155" s="114" t="n">
        <v>24000</v>
      </c>
      <c r="CW155" s="115" t="n">
        <v>74096.2348517222</v>
      </c>
      <c r="CZ155" s="104" t="s">
        <v>231</v>
      </c>
      <c r="DA155" s="119" t="n">
        <f aca="false" ca="true" dt2D="false" dtr="false" t="normal">SUBTOTAL(9, DB155:DP155)</f>
        <v>2998415.7590784</v>
      </c>
      <c r="DB155" s="106" t="n"/>
      <c r="DC155" s="106" t="n"/>
      <c r="DD155" s="133" t="n"/>
      <c r="DE155" s="106" t="n"/>
      <c r="DF155" s="106" t="n"/>
      <c r="DG155" s="106" t="n"/>
      <c r="DH155" s="106" t="n"/>
      <c r="DI155" s="106" t="n">
        <v>2869496.64</v>
      </c>
      <c r="DJ155" s="106" t="n"/>
      <c r="DK155" s="106" t="n"/>
      <c r="DL155" s="106" t="n"/>
      <c r="DM155" s="106" t="n"/>
      <c r="DN155" s="106" t="n">
        <v>104919.1190784</v>
      </c>
      <c r="DO155" s="114" t="n">
        <v>24000</v>
      </c>
      <c r="DP155" s="122" t="n"/>
      <c r="DQ155" s="3" t="n">
        <f aca="false" ca="false" dt2D="false" dtr="false" t="normal">N155-DA155</f>
        <v>0</v>
      </c>
      <c r="DS155" s="9" t="n"/>
    </row>
    <row customFormat="true" hidden="false" ht="15" outlineLevel="0" r="156" s="129">
      <c r="A156" s="103" t="n">
        <f aca="false" ca="false" dt2D="false" dtr="false" t="normal">+A155+1</f>
        <v>139</v>
      </c>
      <c r="B156" s="104" t="n">
        <f aca="false" ca="false" dt2D="false" dtr="false" t="normal">+B155+1</f>
        <v>139</v>
      </c>
      <c r="C156" s="104" t="s">
        <v>227</v>
      </c>
      <c r="D156" s="104" t="s">
        <v>233</v>
      </c>
      <c r="E156" s="105" t="s">
        <v>125</v>
      </c>
      <c r="F156" s="105" t="n"/>
      <c r="G156" s="105" t="s">
        <v>68</v>
      </c>
      <c r="H156" s="105" t="s">
        <v>126</v>
      </c>
      <c r="I156" s="105" t="s">
        <v>232</v>
      </c>
      <c r="J156" s="106" t="n">
        <v>2291.7</v>
      </c>
      <c r="K156" s="106" t="n">
        <v>2012</v>
      </c>
      <c r="L156" s="106" t="n">
        <v>65.3</v>
      </c>
      <c r="M156" s="107" t="n">
        <v>84</v>
      </c>
      <c r="N156" s="108" t="n">
        <f aca="false" ca="false" dt2D="false" dtr="false" t="normal">SUM(P156:T156)</f>
        <v>2998377.8434528</v>
      </c>
      <c r="O156" s="106" t="n">
        <v>0</v>
      </c>
      <c r="P156" s="114" t="n"/>
      <c r="Q156" s="114" t="n">
        <v>0</v>
      </c>
      <c r="R156" s="114" t="n">
        <v>1331435.4972</v>
      </c>
      <c r="S156" s="114" t="n">
        <v>1666942.3462528</v>
      </c>
      <c r="T156" s="106" t="n"/>
      <c r="U156" s="114" t="n">
        <v>1527.07499498654</v>
      </c>
      <c r="V156" s="114" t="n">
        <v>1172.283020064</v>
      </c>
      <c r="W156" s="110" t="n">
        <v>2022</v>
      </c>
      <c r="X156" s="129" t="n">
        <v>879242.71</v>
      </c>
      <c r="Y156" s="129" t="n">
        <f aca="false" ca="false" dt2D="false" dtr="false" t="normal">+(K156*12.08+L156*20.47)*12</f>
        <v>307699.812</v>
      </c>
      <c r="AA156" s="130" t="e">
        <f aca="false" ca="false" dt2D="false" dtr="false" t="normal">+N156-'[8]Приложение № 2'!E147</f>
        <v>#REF!</v>
      </c>
      <c r="AD156" s="130" t="e">
        <f aca="false" ca="false" dt2D="false" dtr="false" t="normal">+N156-'[8]Приложение № 2'!E147</f>
        <v>#REF!</v>
      </c>
      <c r="AP156" s="112" t="n">
        <f aca="false" ca="false" dt2D="false" dtr="false" t="normal">+N156-'Приложение №2'!E156</f>
        <v>0</v>
      </c>
      <c r="AQ156" s="129" t="n">
        <v>1043693.13</v>
      </c>
      <c r="AR156" s="3" t="n">
        <f aca="false" ca="false" dt2D="false" dtr="false" t="normal">+(K156*13.29+L156*22.52)*12*0.85</f>
        <v>287742.36720000004</v>
      </c>
      <c r="AS156" s="3" t="n">
        <f aca="false" ca="false" dt2D="false" dtr="false" t="normal">+(K156*13.29+L156*22.52)*12*30</f>
        <v>10155612.96</v>
      </c>
      <c r="AT156" s="9" t="n">
        <f aca="false" ca="false" dt2D="false" dtr="false" t="normal">+S156-AS156</f>
        <v>-8488670.613747202</v>
      </c>
      <c r="AW156" s="113" t="n">
        <f aca="false" ca="true" dt2D="false" dtr="false" t="normal">SUBTOTAL(9, AX156:BL156)</f>
        <v>3072474.8799129105</v>
      </c>
      <c r="AX156" s="106" t="n"/>
      <c r="AY156" s="106" t="n"/>
      <c r="AZ156" s="106" t="n"/>
      <c r="BA156" s="106" t="n"/>
      <c r="BB156" s="106" t="n"/>
      <c r="BC156" s="106" t="n"/>
      <c r="BD156" s="106" t="n"/>
      <c r="BE156" s="106" t="n">
        <v>2869496.64</v>
      </c>
      <c r="BF156" s="106" t="n"/>
      <c r="BG156" s="106" t="n"/>
      <c r="BH156" s="106" t="n"/>
      <c r="BI156" s="106" t="n"/>
      <c r="BJ156" s="106" t="n">
        <v>104881.1934528</v>
      </c>
      <c r="BK156" s="114" t="n">
        <v>24000</v>
      </c>
      <c r="BL156" s="115" t="n">
        <v>74097.0464601101</v>
      </c>
      <c r="BM156" s="14" t="n">
        <f aca="false" ca="true" dt2D="false" dtr="false" t="normal">SUBTOTAL(9, BN156:CB156)</f>
        <v>3072474.8899129103</v>
      </c>
      <c r="BN156" s="106" t="n"/>
      <c r="BO156" s="106" t="n"/>
      <c r="BP156" s="133" t="n"/>
      <c r="BQ156" s="106" t="n"/>
      <c r="BR156" s="106" t="n"/>
      <c r="BS156" s="106" t="n"/>
      <c r="BT156" s="106" t="n"/>
      <c r="BU156" s="106" t="n">
        <v>2869496.65</v>
      </c>
      <c r="BV156" s="106" t="n"/>
      <c r="BW156" s="106" t="n"/>
      <c r="BX156" s="106" t="n"/>
      <c r="BY156" s="106" t="n"/>
      <c r="BZ156" s="106" t="n">
        <v>104881.1934528</v>
      </c>
      <c r="CA156" s="114" t="n">
        <v>24000</v>
      </c>
      <c r="CB156" s="115" t="n">
        <v>74097.0464601101</v>
      </c>
      <c r="CD156" s="116" t="n">
        <f aca="false" ca="false" dt2D="false" dtr="false" t="normal">+CD155+1</f>
        <v>139</v>
      </c>
      <c r="CE156" s="117" t="n">
        <f aca="false" ca="false" dt2D="false" dtr="false" t="normal">+CE155+1</f>
        <v>139</v>
      </c>
      <c r="CF156" s="104" t="s">
        <v>227</v>
      </c>
      <c r="CG156" s="104" t="s">
        <v>233</v>
      </c>
      <c r="CH156" s="118" t="n">
        <f aca="false" ca="true" dt2D="false" dtr="false" t="normal">SUBTOTAL(9, CI156:CW156)</f>
        <v>3072474.8899129103</v>
      </c>
      <c r="CI156" s="106" t="n"/>
      <c r="CJ156" s="106" t="n"/>
      <c r="CK156" s="133" t="n"/>
      <c r="CL156" s="106" t="n"/>
      <c r="CM156" s="106" t="n"/>
      <c r="CN156" s="106" t="n"/>
      <c r="CO156" s="106" t="n"/>
      <c r="CP156" s="106" t="n">
        <v>2869496.65</v>
      </c>
      <c r="CQ156" s="106" t="n"/>
      <c r="CR156" s="106" t="n"/>
      <c r="CS156" s="106" t="n"/>
      <c r="CT156" s="106" t="n"/>
      <c r="CU156" s="106" t="n">
        <v>104881.1934528</v>
      </c>
      <c r="CV156" s="114" t="n">
        <v>24000</v>
      </c>
      <c r="CW156" s="115" t="n">
        <v>74097.0464601101</v>
      </c>
      <c r="CZ156" s="104" t="s">
        <v>233</v>
      </c>
      <c r="DA156" s="119" t="n">
        <f aca="false" ca="true" dt2D="false" dtr="false" t="normal">SUBTOTAL(9, DB156:DP156)</f>
        <v>2998377.8434528</v>
      </c>
      <c r="DB156" s="106" t="n"/>
      <c r="DC156" s="106" t="n"/>
      <c r="DD156" s="133" t="n"/>
      <c r="DE156" s="106" t="n"/>
      <c r="DF156" s="106" t="n"/>
      <c r="DG156" s="106" t="n"/>
      <c r="DH156" s="106" t="n"/>
      <c r="DI156" s="106" t="n">
        <v>2869496.65</v>
      </c>
      <c r="DJ156" s="106" t="n"/>
      <c r="DK156" s="106" t="n"/>
      <c r="DL156" s="106" t="n"/>
      <c r="DM156" s="106" t="n"/>
      <c r="DN156" s="106" t="n">
        <v>104881.1934528</v>
      </c>
      <c r="DO156" s="114" t="n">
        <v>24000</v>
      </c>
      <c r="DP156" s="122" t="n"/>
      <c r="DQ156" s="3" t="n">
        <f aca="false" ca="false" dt2D="false" dtr="false" t="normal">N156-DA156</f>
        <v>0</v>
      </c>
      <c r="DS156" s="9" t="n"/>
    </row>
    <row customFormat="true" hidden="false" ht="15" outlineLevel="0" r="157" s="129">
      <c r="A157" s="103" t="n">
        <f aca="false" ca="false" dt2D="false" dtr="false" t="normal">+A156+1</f>
        <v>140</v>
      </c>
      <c r="B157" s="104" t="n">
        <f aca="false" ca="false" dt2D="false" dtr="false" t="normal">+B156+1</f>
        <v>140</v>
      </c>
      <c r="C157" s="104" t="s">
        <v>227</v>
      </c>
      <c r="D157" s="104" t="s">
        <v>234</v>
      </c>
      <c r="E157" s="105" t="s">
        <v>235</v>
      </c>
      <c r="F157" s="105" t="n"/>
      <c r="G157" s="105" t="s">
        <v>68</v>
      </c>
      <c r="H157" s="105" t="s">
        <v>126</v>
      </c>
      <c r="I157" s="105" t="s">
        <v>232</v>
      </c>
      <c r="J157" s="106" t="n">
        <v>2263.9</v>
      </c>
      <c r="K157" s="106" t="n">
        <v>2004.44</v>
      </c>
      <c r="L157" s="106" t="n">
        <v>0</v>
      </c>
      <c r="M157" s="107" t="n">
        <v>82</v>
      </c>
      <c r="N157" s="108" t="n">
        <f aca="false" ca="false" dt2D="false" dtr="false" t="normal">SUM(P157:T157)</f>
        <v>2998746.0699072</v>
      </c>
      <c r="O157" s="106" t="n">
        <v>0</v>
      </c>
      <c r="P157" s="114" t="n"/>
      <c r="Q157" s="114" t="n">
        <v>0</v>
      </c>
      <c r="R157" s="114" t="n">
        <v>1305135.01752</v>
      </c>
      <c r="S157" s="114" t="n">
        <v>1693611.0523872</v>
      </c>
      <c r="T157" s="106" t="n"/>
      <c r="U157" s="114" t="n">
        <v>1533.01432624932</v>
      </c>
      <c r="V157" s="114" t="n">
        <v>1172.283020064</v>
      </c>
      <c r="W157" s="110" t="n">
        <v>2022</v>
      </c>
      <c r="X157" s="129" t="n">
        <v>806093.85</v>
      </c>
      <c r="Y157" s="129" t="n">
        <f aca="false" ca="false" dt2D="false" dtr="false" t="normal">+(K157*12.08+L157*20.47)*12</f>
        <v>290563.6224</v>
      </c>
      <c r="AA157" s="130" t="e">
        <f aca="false" ca="false" dt2D="false" dtr="false" t="normal">+N157-'[8]Приложение № 2'!E148</f>
        <v>#REF!</v>
      </c>
      <c r="AD157" s="130" t="e">
        <f aca="false" ca="false" dt2D="false" dtr="false" t="normal">+N157-'[8]Приложение № 2'!E148</f>
        <v>#REF!</v>
      </c>
      <c r="AP157" s="112" t="n">
        <f aca="false" ca="false" dt2D="false" dtr="false" t="normal">+N157-'Приложение №2'!E157</f>
        <v>0</v>
      </c>
      <c r="AQ157" s="129" t="n">
        <v>1033417.14</v>
      </c>
      <c r="AR157" s="3" t="n">
        <f aca="false" ca="false" dt2D="false" dtr="false" t="normal">+(K157*13.29+L157*22.52)*12*0.85</f>
        <v>271717.87752000004</v>
      </c>
      <c r="AS157" s="3" t="n">
        <f aca="false" ca="false" dt2D="false" dtr="false" t="normal">+(K157*13.29+L157*22.52)*12*30</f>
        <v>9590042.736000001</v>
      </c>
      <c r="AT157" s="9" t="n">
        <f aca="false" ca="false" dt2D="false" dtr="false" t="normal">+S157-AS157</f>
        <v>-7896431.683612801</v>
      </c>
      <c r="AW157" s="113" t="n">
        <f aca="false" ca="true" dt2D="false" dtr="false" t="normal">SUBTOTAL(9, AX157:BL157)</f>
        <v>3072835.236107186</v>
      </c>
      <c r="AX157" s="106" t="n"/>
      <c r="AY157" s="106" t="n"/>
      <c r="AZ157" s="106" t="n"/>
      <c r="BA157" s="106" t="n"/>
      <c r="BB157" s="106" t="n"/>
      <c r="BC157" s="106" t="n"/>
      <c r="BD157" s="106" t="n"/>
      <c r="BE157" s="106" t="n">
        <v>2869496.64</v>
      </c>
      <c r="BF157" s="106" t="n"/>
      <c r="BG157" s="106" t="n"/>
      <c r="BH157" s="106" t="n"/>
      <c r="BI157" s="106" t="n"/>
      <c r="BJ157" s="106" t="n">
        <v>105249.4299072</v>
      </c>
      <c r="BK157" s="114" t="n">
        <v>24000</v>
      </c>
      <c r="BL157" s="115" t="n">
        <v>74089.1661999859</v>
      </c>
      <c r="BM157" s="14" t="n">
        <f aca="false" ca="true" dt2D="false" dtr="false" t="normal">SUBTOTAL(9, BN157:CB157)</f>
        <v>3072835.236107186</v>
      </c>
      <c r="BN157" s="106" t="n"/>
      <c r="BO157" s="106" t="n"/>
      <c r="BP157" s="133" t="n"/>
      <c r="BQ157" s="106" t="n"/>
      <c r="BR157" s="106" t="n"/>
      <c r="BS157" s="106" t="n"/>
      <c r="BT157" s="106" t="n"/>
      <c r="BU157" s="106" t="n">
        <v>2869496.64</v>
      </c>
      <c r="BV157" s="106" t="n"/>
      <c r="BW157" s="106" t="n"/>
      <c r="BX157" s="106" t="n"/>
      <c r="BY157" s="106" t="n"/>
      <c r="BZ157" s="106" t="n">
        <v>105249.4299072</v>
      </c>
      <c r="CA157" s="114" t="n">
        <v>24000</v>
      </c>
      <c r="CB157" s="115" t="n">
        <v>74089.1661999859</v>
      </c>
      <c r="CD157" s="116" t="n">
        <f aca="false" ca="false" dt2D="false" dtr="false" t="normal">+CD156+1</f>
        <v>140</v>
      </c>
      <c r="CE157" s="117" t="n">
        <f aca="false" ca="false" dt2D="false" dtr="false" t="normal">+CE156+1</f>
        <v>140</v>
      </c>
      <c r="CF157" s="104" t="s">
        <v>227</v>
      </c>
      <c r="CG157" s="104" t="s">
        <v>234</v>
      </c>
      <c r="CH157" s="118" t="n">
        <f aca="false" ca="true" dt2D="false" dtr="false" t="normal">SUBTOTAL(9, CI157:CW157)</f>
        <v>3072835.236107186</v>
      </c>
      <c r="CI157" s="106" t="n"/>
      <c r="CJ157" s="106" t="n"/>
      <c r="CK157" s="133" t="n"/>
      <c r="CL157" s="106" t="n"/>
      <c r="CM157" s="106" t="n"/>
      <c r="CN157" s="106" t="n"/>
      <c r="CO157" s="106" t="n"/>
      <c r="CP157" s="106" t="n">
        <v>2869496.64</v>
      </c>
      <c r="CQ157" s="106" t="n"/>
      <c r="CR157" s="106" t="n"/>
      <c r="CS157" s="106" t="n"/>
      <c r="CT157" s="106" t="n"/>
      <c r="CU157" s="106" t="n">
        <v>105249.4299072</v>
      </c>
      <c r="CV157" s="114" t="n">
        <v>24000</v>
      </c>
      <c r="CW157" s="115" t="n">
        <v>74089.1661999859</v>
      </c>
      <c r="CZ157" s="104" t="s">
        <v>234</v>
      </c>
      <c r="DA157" s="119" t="n">
        <f aca="false" ca="true" dt2D="false" dtr="false" t="normal">SUBTOTAL(9, DB157:DP157)</f>
        <v>2998746.0699072</v>
      </c>
      <c r="DB157" s="106" t="n"/>
      <c r="DC157" s="106" t="n"/>
      <c r="DD157" s="133" t="n"/>
      <c r="DE157" s="106" t="n"/>
      <c r="DF157" s="106" t="n"/>
      <c r="DG157" s="106" t="n"/>
      <c r="DH157" s="106" t="n"/>
      <c r="DI157" s="106" t="n">
        <v>2869496.64</v>
      </c>
      <c r="DJ157" s="106" t="n"/>
      <c r="DK157" s="106" t="n"/>
      <c r="DL157" s="106" t="n"/>
      <c r="DM157" s="106" t="n"/>
      <c r="DN157" s="106" t="n">
        <v>105249.4299072</v>
      </c>
      <c r="DO157" s="114" t="n">
        <v>24000</v>
      </c>
      <c r="DP157" s="122" t="n"/>
      <c r="DQ157" s="3" t="n">
        <f aca="false" ca="false" dt2D="false" dtr="false" t="normal">N157-DA157</f>
        <v>0</v>
      </c>
      <c r="DS157" s="9" t="n"/>
    </row>
    <row hidden="false" ht="15" outlineLevel="0" r="158">
      <c r="A158" s="103" t="n">
        <f aca="false" ca="false" dt2D="false" dtr="false" t="normal">+A157+1</f>
        <v>141</v>
      </c>
      <c r="B158" s="104" t="n">
        <f aca="false" ca="false" dt2D="false" dtr="false" t="normal">+B157+1</f>
        <v>141</v>
      </c>
      <c r="C158" s="104" t="s">
        <v>227</v>
      </c>
      <c r="D158" s="104" t="s">
        <v>236</v>
      </c>
      <c r="E158" s="105" t="n">
        <v>1976</v>
      </c>
      <c r="F158" s="105" t="n">
        <v>2011</v>
      </c>
      <c r="G158" s="105" t="s">
        <v>68</v>
      </c>
      <c r="H158" s="105" t="n">
        <v>5</v>
      </c>
      <c r="I158" s="105" t="n">
        <v>3</v>
      </c>
      <c r="J158" s="106" t="n">
        <v>4142.3</v>
      </c>
      <c r="K158" s="106" t="n">
        <v>3019.79</v>
      </c>
      <c r="L158" s="106" t="n">
        <v>533.3</v>
      </c>
      <c r="M158" s="107" t="n">
        <v>117</v>
      </c>
      <c r="N158" s="108" t="n">
        <f aca="false" ca="false" dt2D="false" dtr="false" t="normal">SUM(P158:T158)</f>
        <v>6006663.619999999</v>
      </c>
      <c r="O158" s="106" t="n"/>
      <c r="P158" s="114" t="n">
        <v>645040.81</v>
      </c>
      <c r="Q158" s="114" t="n"/>
      <c r="R158" s="114" t="n"/>
      <c r="S158" s="114" t="n">
        <v>5361622.81</v>
      </c>
      <c r="T158" s="106" t="n"/>
      <c r="U158" s="114" t="n">
        <v>1768.65470656191</v>
      </c>
      <c r="V158" s="114" t="n">
        <v>1768.65470656191</v>
      </c>
      <c r="W158" s="110" t="n">
        <v>2022</v>
      </c>
      <c r="X158" s="9" t="e">
        <f aca="false" ca="false" dt2D="false" dtr="false" t="normal">+#REF!-'[9]Приложение №1'!$P1192</f>
        <v>#REF!</v>
      </c>
      <c r="Z158" s="113" t="n">
        <f aca="false" ca="false" dt2D="false" dtr="false" t="normal">SUM(AA158:AO158)</f>
        <v>14409527.60732996</v>
      </c>
      <c r="AA158" s="106" t="n">
        <v>10235799.6520088</v>
      </c>
      <c r="AB158" s="106" t="n">
        <v>0</v>
      </c>
      <c r="AC158" s="106" t="n">
        <v>0</v>
      </c>
      <c r="AD158" s="106" t="n">
        <v>2771852.98</v>
      </c>
      <c r="AE158" s="106" t="n">
        <v>0</v>
      </c>
      <c r="AF158" s="106" t="n"/>
      <c r="AG158" s="106" t="n">
        <v>0</v>
      </c>
      <c r="AH158" s="106" t="n">
        <v>0</v>
      </c>
      <c r="AI158" s="106" t="n">
        <v>0</v>
      </c>
      <c r="AJ158" s="106" t="n">
        <v>0</v>
      </c>
      <c r="AK158" s="106" t="n">
        <v>0</v>
      </c>
      <c r="AL158" s="106" t="n">
        <v>0</v>
      </c>
      <c r="AM158" s="106" t="n">
        <v>977830.4772</v>
      </c>
      <c r="AN158" s="114" t="n">
        <v>142733.0534</v>
      </c>
      <c r="AO158" s="115" t="n">
        <v>281311.44472116</v>
      </c>
      <c r="AP158" s="112" t="n">
        <f aca="false" ca="false" dt2D="false" dtr="false" t="normal">+N158-'Приложение №2'!E158</f>
        <v>0</v>
      </c>
      <c r="AQ158" s="1" t="n">
        <v>1203751.11</v>
      </c>
      <c r="AR158" s="3" t="n">
        <f aca="false" ca="false" dt2D="false" dtr="false" t="normal">+(K158*10+L158*20)*12*0.85</f>
        <v>416811.78</v>
      </c>
      <c r="AS158" s="3" t="n">
        <f aca="false" ca="false" dt2D="false" dtr="false" t="normal">+(K158*10+L158*20)*12*30</f>
        <v>14711004.000000002</v>
      </c>
      <c r="AT158" s="9" t="n">
        <f aca="false" ca="false" dt2D="false" dtr="false" t="normal">+S158-AS158</f>
        <v>-9349381.190000001</v>
      </c>
      <c r="AW158" s="113" t="n">
        <f aca="false" ca="true" dt2D="false" dtr="false" t="normal">SUBTOTAL(9, AX158:BL158)</f>
        <v>6284189.35133804</v>
      </c>
      <c r="AX158" s="106" t="n">
        <v>3826027.56</v>
      </c>
      <c r="AY158" s="106" t="n">
        <v>0</v>
      </c>
      <c r="AZ158" s="106" t="n">
        <v>0</v>
      </c>
      <c r="BA158" s="106" t="n">
        <v>2180636.06</v>
      </c>
      <c r="BB158" s="106" t="n">
        <v>0</v>
      </c>
      <c r="BC158" s="106" t="n"/>
      <c r="BD158" s="106" t="n"/>
      <c r="BE158" s="106" t="n">
        <v>0</v>
      </c>
      <c r="BF158" s="106" t="n">
        <v>0</v>
      </c>
      <c r="BG158" s="106" t="n">
        <v>0</v>
      </c>
      <c r="BH158" s="106" t="n">
        <v>0</v>
      </c>
      <c r="BI158" s="106" t="n">
        <v>0</v>
      </c>
      <c r="BJ158" s="106" t="n"/>
      <c r="BK158" s="114" t="n"/>
      <c r="BL158" s="115" t="n">
        <v>277525.73133804</v>
      </c>
      <c r="BM158" s="14" t="n">
        <f aca="false" ca="true" dt2D="false" dtr="false" t="normal">SUBTOTAL(9, BN158:CB158)</f>
        <v>6284189.35133804</v>
      </c>
      <c r="BN158" s="106" t="n">
        <v>3826027.56</v>
      </c>
      <c r="BO158" s="106" t="n">
        <v>0</v>
      </c>
      <c r="BP158" s="133" t="n">
        <v>0</v>
      </c>
      <c r="BQ158" s="106" t="n">
        <v>2180636.06</v>
      </c>
      <c r="BR158" s="106" t="n">
        <v>0</v>
      </c>
      <c r="BS158" s="106" t="n"/>
      <c r="BT158" s="106" t="n"/>
      <c r="BU158" s="106" t="n">
        <v>0</v>
      </c>
      <c r="BV158" s="106" t="n">
        <v>0</v>
      </c>
      <c r="BW158" s="106" t="n">
        <v>0</v>
      </c>
      <c r="BX158" s="106" t="n">
        <v>0</v>
      </c>
      <c r="BY158" s="106" t="n">
        <v>0</v>
      </c>
      <c r="BZ158" s="106" t="n"/>
      <c r="CA158" s="114" t="n"/>
      <c r="CB158" s="115" t="n">
        <v>277525.73133804</v>
      </c>
      <c r="CD158" s="116" t="n">
        <f aca="false" ca="false" dt2D="false" dtr="false" t="normal">+CD157+1</f>
        <v>141</v>
      </c>
      <c r="CE158" s="117" t="n">
        <f aca="false" ca="false" dt2D="false" dtr="false" t="normal">+CE157+1</f>
        <v>141</v>
      </c>
      <c r="CF158" s="104" t="s">
        <v>227</v>
      </c>
      <c r="CG158" s="104" t="s">
        <v>236</v>
      </c>
      <c r="CH158" s="118" t="n">
        <f aca="false" ca="true" dt2D="false" dtr="false" t="normal">SUBTOTAL(9, CI158:CW158)</f>
        <v>6284189.35133804</v>
      </c>
      <c r="CI158" s="106" t="n">
        <v>3826027.56</v>
      </c>
      <c r="CJ158" s="106" t="n">
        <v>0</v>
      </c>
      <c r="CK158" s="133" t="n">
        <v>0</v>
      </c>
      <c r="CL158" s="106" t="n">
        <v>2180636.06</v>
      </c>
      <c r="CM158" s="106" t="n">
        <v>0</v>
      </c>
      <c r="CN158" s="106" t="n"/>
      <c r="CO158" s="106" t="n"/>
      <c r="CP158" s="106" t="n">
        <v>0</v>
      </c>
      <c r="CQ158" s="106" t="n">
        <v>0</v>
      </c>
      <c r="CR158" s="106" t="n">
        <v>0</v>
      </c>
      <c r="CS158" s="106" t="n">
        <v>0</v>
      </c>
      <c r="CT158" s="106" t="n">
        <v>0</v>
      </c>
      <c r="CU158" s="106" t="n"/>
      <c r="CV158" s="114" t="n"/>
      <c r="CW158" s="115" t="n">
        <v>277525.73133804</v>
      </c>
      <c r="CZ158" s="104" t="s">
        <v>236</v>
      </c>
      <c r="DA158" s="119" t="n">
        <f aca="false" ca="true" dt2D="false" dtr="false" t="normal">SUBTOTAL(9, DB158:DP158)</f>
        <v>6006663.62</v>
      </c>
      <c r="DB158" s="106" t="n">
        <v>3826027.56</v>
      </c>
      <c r="DC158" s="106" t="n">
        <v>0</v>
      </c>
      <c r="DD158" s="133" t="n">
        <v>0</v>
      </c>
      <c r="DE158" s="106" t="n">
        <v>2180636.06</v>
      </c>
      <c r="DF158" s="106" t="n">
        <v>0</v>
      </c>
      <c r="DG158" s="106" t="n"/>
      <c r="DH158" s="106" t="n"/>
      <c r="DI158" s="106" t="n">
        <v>0</v>
      </c>
      <c r="DJ158" s="106" t="n">
        <v>0</v>
      </c>
      <c r="DK158" s="106" t="n">
        <v>0</v>
      </c>
      <c r="DL158" s="106" t="n">
        <v>0</v>
      </c>
      <c r="DM158" s="106" t="n">
        <v>0</v>
      </c>
      <c r="DN158" s="106" t="n"/>
      <c r="DO158" s="114" t="n"/>
      <c r="DP158" s="122" t="n"/>
      <c r="DQ158" s="3" t="n">
        <f aca="false" ca="false" dt2D="false" dtr="false" t="normal">N158-DA158</f>
        <v>0</v>
      </c>
      <c r="DS158" s="9" t="n"/>
    </row>
    <row hidden="false" ht="15" outlineLevel="0" r="159">
      <c r="A159" s="103" t="n">
        <f aca="false" ca="false" dt2D="false" dtr="false" t="normal">+A158+1</f>
        <v>142</v>
      </c>
      <c r="B159" s="104" t="n">
        <f aca="false" ca="false" dt2D="false" dtr="false" t="normal">+B158+1</f>
        <v>142</v>
      </c>
      <c r="C159" s="104" t="s">
        <v>227</v>
      </c>
      <c r="D159" s="104" t="s">
        <v>237</v>
      </c>
      <c r="E159" s="105" t="n">
        <v>1986</v>
      </c>
      <c r="F159" s="105" t="n">
        <v>2015</v>
      </c>
      <c r="G159" s="105" t="s">
        <v>68</v>
      </c>
      <c r="H159" s="105" t="n">
        <v>9</v>
      </c>
      <c r="I159" s="105" t="n">
        <v>1</v>
      </c>
      <c r="J159" s="106" t="n">
        <v>2267.7</v>
      </c>
      <c r="K159" s="106" t="n">
        <v>1885.78</v>
      </c>
      <c r="L159" s="106" t="n">
        <v>353.8</v>
      </c>
      <c r="M159" s="107" t="n">
        <v>71</v>
      </c>
      <c r="N159" s="108" t="n">
        <f aca="false" ca="false" dt2D="false" dtr="false" t="normal">SUM(P159:T159)</f>
        <v>791011.4199999999</v>
      </c>
      <c r="O159" s="106" t="n"/>
      <c r="P159" s="114" t="n"/>
      <c r="Q159" s="114" t="n"/>
      <c r="R159" s="114" t="n">
        <v>80395.8959124</v>
      </c>
      <c r="S159" s="114" t="n">
        <v>710615.5240876</v>
      </c>
      <c r="T159" s="106" t="n"/>
      <c r="U159" s="114" t="n">
        <v>385.47266269229</v>
      </c>
      <c r="V159" s="114" t="n">
        <v>385.47266269229</v>
      </c>
      <c r="W159" s="110" t="n">
        <v>2022</v>
      </c>
      <c r="X159" s="9" t="e">
        <f aca="false" ca="false" dt2D="false" dtr="false" t="normal">+#REF!-'[9]Приложение №1'!$P499</f>
        <v>#REF!</v>
      </c>
      <c r="Z159" s="113" t="n">
        <f aca="false" ca="false" dt2D="false" dtr="false" t="normal">SUM(AA159:AO159)</f>
        <v>4290984.03</v>
      </c>
      <c r="AA159" s="106" t="n">
        <v>0</v>
      </c>
      <c r="AB159" s="106" t="n">
        <v>0</v>
      </c>
      <c r="AC159" s="106" t="n">
        <v>1932684.67314636</v>
      </c>
      <c r="AD159" s="106" t="n">
        <v>1743736.99694124</v>
      </c>
      <c r="AE159" s="106" t="n">
        <v>0</v>
      </c>
      <c r="AF159" s="106" t="n"/>
      <c r="AG159" s="106" t="n">
        <v>0</v>
      </c>
      <c r="AH159" s="106" t="n">
        <v>0</v>
      </c>
      <c r="AI159" s="106" t="n">
        <v>0</v>
      </c>
      <c r="AJ159" s="106" t="n">
        <v>0</v>
      </c>
      <c r="AK159" s="106" t="n">
        <v>0</v>
      </c>
      <c r="AL159" s="106" t="n">
        <v>0</v>
      </c>
      <c r="AM159" s="106" t="n">
        <v>491256.6237</v>
      </c>
      <c r="AN159" s="114" t="n">
        <v>42909.8403</v>
      </c>
      <c r="AO159" s="115" t="n">
        <v>80395.8959124</v>
      </c>
      <c r="AP159" s="112" t="n">
        <f aca="false" ca="false" dt2D="false" dtr="false" t="normal">+N159-'Приложение №2'!E159</f>
        <v>0</v>
      </c>
      <c r="AQ159" s="1" t="n">
        <v>1383560.53</v>
      </c>
      <c r="AR159" s="3" t="n">
        <f aca="false" ca="false" dt2D="false" dtr="false" t="normal">+(K159*13.29+L159*22.52)*12*0.85</f>
        <v>336901.84044</v>
      </c>
      <c r="AS159" s="3" t="n">
        <f aca="false" ca="false" dt2D="false" dtr="false" t="normal">+(K159*13.29+L159*22.52)*12*30-1239264.3</f>
        <v>10651388.891999999</v>
      </c>
      <c r="AT159" s="9" t="n">
        <f aca="false" ca="false" dt2D="false" dtr="false" t="normal">+S159-AS159</f>
        <v>-9940773.367912399</v>
      </c>
      <c r="AW159" s="113" t="n">
        <f aca="false" ca="true" dt2D="false" dtr="false" t="normal">SUBTOTAL(9, AX159:BL159)</f>
        <v>863296.8659124</v>
      </c>
      <c r="AX159" s="106" t="n">
        <v>0</v>
      </c>
      <c r="AY159" s="106" t="n">
        <v>0</v>
      </c>
      <c r="AZ159" s="106" t="n">
        <v>782900.97</v>
      </c>
      <c r="BA159" s="106" t="n"/>
      <c r="BB159" s="106" t="n">
        <v>0</v>
      </c>
      <c r="BC159" s="106" t="n"/>
      <c r="BD159" s="106" t="n"/>
      <c r="BE159" s="106" t="n">
        <v>0</v>
      </c>
      <c r="BF159" s="106" t="n">
        <v>0</v>
      </c>
      <c r="BG159" s="106" t="n">
        <v>0</v>
      </c>
      <c r="BH159" s="106" t="n">
        <v>0</v>
      </c>
      <c r="BI159" s="106" t="n">
        <v>0</v>
      </c>
      <c r="BJ159" s="106" t="n"/>
      <c r="BK159" s="114" t="n"/>
      <c r="BL159" s="115" t="n">
        <v>80395.8959124</v>
      </c>
      <c r="BM159" s="14" t="n">
        <f aca="false" ca="true" dt2D="false" dtr="false" t="normal">SUBTOTAL(9, BN159:CB159)</f>
        <v>863296.8659124</v>
      </c>
      <c r="BN159" s="106" t="n">
        <v>0</v>
      </c>
      <c r="BO159" s="106" t="n">
        <v>0</v>
      </c>
      <c r="BP159" s="133" t="n">
        <v>782900.97</v>
      </c>
      <c r="BQ159" s="106" t="n"/>
      <c r="BR159" s="106" t="n">
        <v>0</v>
      </c>
      <c r="BS159" s="106" t="n"/>
      <c r="BT159" s="106" t="n"/>
      <c r="BU159" s="106" t="n">
        <v>0</v>
      </c>
      <c r="BV159" s="106" t="n">
        <v>0</v>
      </c>
      <c r="BW159" s="106" t="n">
        <v>0</v>
      </c>
      <c r="BX159" s="106" t="n">
        <v>0</v>
      </c>
      <c r="BY159" s="106" t="n">
        <v>0</v>
      </c>
      <c r="BZ159" s="106" t="n"/>
      <c r="CA159" s="114" t="n"/>
      <c r="CB159" s="115" t="n">
        <v>80395.8959124</v>
      </c>
      <c r="CD159" s="116" t="n">
        <f aca="false" ca="false" dt2D="false" dtr="false" t="normal">+CD158+1</f>
        <v>142</v>
      </c>
      <c r="CE159" s="117" t="n">
        <f aca="false" ca="false" dt2D="false" dtr="false" t="normal">+CE158+1</f>
        <v>142</v>
      </c>
      <c r="CF159" s="104" t="s">
        <v>227</v>
      </c>
      <c r="CG159" s="104" t="s">
        <v>237</v>
      </c>
      <c r="CH159" s="118" t="n">
        <f aca="false" ca="true" dt2D="false" dtr="false" t="normal">SUBTOTAL(9, CI159:CW159)</f>
        <v>863296.8659124</v>
      </c>
      <c r="CI159" s="106" t="n">
        <v>0</v>
      </c>
      <c r="CJ159" s="106" t="n">
        <v>0</v>
      </c>
      <c r="CK159" s="133" t="n">
        <v>782900.97</v>
      </c>
      <c r="CL159" s="106" t="n"/>
      <c r="CM159" s="106" t="n">
        <v>0</v>
      </c>
      <c r="CN159" s="106" t="n"/>
      <c r="CO159" s="106" t="n"/>
      <c r="CP159" s="106" t="n">
        <v>0</v>
      </c>
      <c r="CQ159" s="106" t="n">
        <v>0</v>
      </c>
      <c r="CR159" s="106" t="n">
        <v>0</v>
      </c>
      <c r="CS159" s="106" t="n">
        <v>0</v>
      </c>
      <c r="CT159" s="106" t="n">
        <v>0</v>
      </c>
      <c r="CU159" s="106" t="n"/>
      <c r="CV159" s="114" t="n"/>
      <c r="CW159" s="115" t="n">
        <v>80395.8959124</v>
      </c>
      <c r="CZ159" s="104" t="s">
        <v>237</v>
      </c>
      <c r="DA159" s="119" t="n">
        <f aca="false" ca="true" dt2D="false" dtr="false" t="normal">SUBTOTAL(9, DB159:DP159)</f>
        <v>791011.4199999999</v>
      </c>
      <c r="DB159" s="106" t="n">
        <v>0</v>
      </c>
      <c r="DC159" s="106" t="n">
        <v>0</v>
      </c>
      <c r="DD159" s="133" t="n">
        <v>782900.97</v>
      </c>
      <c r="DE159" s="106" t="n"/>
      <c r="DF159" s="106" t="n">
        <v>0</v>
      </c>
      <c r="DG159" s="106" t="n"/>
      <c r="DH159" s="106" t="n"/>
      <c r="DI159" s="106" t="n">
        <v>0</v>
      </c>
      <c r="DJ159" s="106" t="n">
        <v>0</v>
      </c>
      <c r="DK159" s="106" t="n">
        <v>0</v>
      </c>
      <c r="DL159" s="106" t="n">
        <v>0</v>
      </c>
      <c r="DM159" s="106" t="n">
        <v>0</v>
      </c>
      <c r="DN159" s="106" t="n"/>
      <c r="DO159" s="114" t="n"/>
      <c r="DP159" s="120" t="n">
        <v>8110.45</v>
      </c>
      <c r="DQ159" s="3" t="n">
        <f aca="false" ca="false" dt2D="false" dtr="false" t="normal">N159-DA159</f>
        <v>0</v>
      </c>
      <c r="DS159" s="9" t="n"/>
    </row>
    <row hidden="false" ht="15" outlineLevel="0" r="160">
      <c r="A160" s="103" t="n">
        <f aca="false" ca="false" dt2D="false" dtr="false" t="normal">+A159+1</f>
        <v>143</v>
      </c>
      <c r="B160" s="104" t="n">
        <f aca="false" ca="false" dt2D="false" dtr="false" t="normal">+B159+1</f>
        <v>143</v>
      </c>
      <c r="C160" s="104" t="s">
        <v>227</v>
      </c>
      <c r="D160" s="104" t="s">
        <v>238</v>
      </c>
      <c r="E160" s="105" t="n">
        <v>1985</v>
      </c>
      <c r="F160" s="105" t="n">
        <v>2015</v>
      </c>
      <c r="G160" s="105" t="s">
        <v>68</v>
      </c>
      <c r="H160" s="105" t="n">
        <v>9</v>
      </c>
      <c r="I160" s="105" t="n">
        <v>1</v>
      </c>
      <c r="J160" s="106" t="n">
        <v>2293.5</v>
      </c>
      <c r="K160" s="106" t="n">
        <v>1892.9</v>
      </c>
      <c r="L160" s="106" t="n">
        <v>103.9</v>
      </c>
      <c r="M160" s="107" t="n">
        <v>75</v>
      </c>
      <c r="N160" s="108" t="n">
        <f aca="false" ca="false" dt2D="false" dtr="false" t="normal">SUM(P160:T160)</f>
        <v>11170211.870000001</v>
      </c>
      <c r="O160" s="106" t="n"/>
      <c r="P160" s="114" t="n">
        <v>4582722.4</v>
      </c>
      <c r="Q160" s="114" t="n"/>
      <c r="R160" s="114" t="n"/>
      <c r="S160" s="114" t="n">
        <v>6587489.47</v>
      </c>
      <c r="T160" s="106" t="n"/>
      <c r="U160" s="114" t="n">
        <v>5669.59700151813</v>
      </c>
      <c r="V160" s="114" t="n">
        <v>5669.59700151813</v>
      </c>
      <c r="W160" s="110" t="n">
        <v>2022</v>
      </c>
      <c r="X160" s="9" t="e">
        <f aca="false" ca="false" dt2D="false" dtr="false" t="normal">+#REF!-'[9]Приложение №1'!$P1195</f>
        <v>#REF!</v>
      </c>
      <c r="Z160" s="113" t="n">
        <f aca="false" ca="false" dt2D="false" dtr="false" t="normal">SUM(AA160:AO160)</f>
        <v>19409539.310000002</v>
      </c>
      <c r="AA160" s="106" t="n">
        <v>4657498.8457725</v>
      </c>
      <c r="AB160" s="106" t="n">
        <v>3196464.65512752</v>
      </c>
      <c r="AC160" s="106" t="n">
        <v>1945745.83029288</v>
      </c>
      <c r="AD160" s="106" t="n">
        <v>1755521.2429482</v>
      </c>
      <c r="AE160" s="106" t="n">
        <v>0</v>
      </c>
      <c r="AF160" s="106" t="n"/>
      <c r="AG160" s="106" t="n">
        <v>224063.0821968</v>
      </c>
      <c r="AH160" s="106" t="n">
        <v>0</v>
      </c>
      <c r="AI160" s="106" t="n">
        <v>0</v>
      </c>
      <c r="AJ160" s="106" t="n">
        <v>0</v>
      </c>
      <c r="AK160" s="106" t="n">
        <v>0</v>
      </c>
      <c r="AL160" s="106" t="n">
        <v>5187222.96456714</v>
      </c>
      <c r="AM160" s="106" t="n">
        <v>1877903.9405</v>
      </c>
      <c r="AN160" s="114" t="n">
        <v>194095.3931</v>
      </c>
      <c r="AO160" s="115" t="n">
        <v>371023.35549496</v>
      </c>
      <c r="AP160" s="112" t="n">
        <f aca="false" ca="false" dt2D="false" dtr="false" t="normal">+N160-'Приложение №2'!E160</f>
        <v>0</v>
      </c>
      <c r="AQ160" s="1" t="n">
        <v>1237727.3</v>
      </c>
      <c r="AR160" s="3" t="n">
        <f aca="false" ca="false" dt2D="false" dtr="false" t="normal">+(K160*13.29+L160*22.52)*12*0.85</f>
        <v>280463.9838</v>
      </c>
      <c r="AS160" s="3" t="n">
        <f aca="false" ca="false" dt2D="false" dtr="false" t="normal">+(K160*13.29+L160*22.52)*12*30</f>
        <v>9898728.84</v>
      </c>
      <c r="AT160" s="9" t="n">
        <f aca="false" ca="false" dt2D="false" dtr="false" t="normal">+S160-AS160</f>
        <v>-3311239.37</v>
      </c>
      <c r="AW160" s="113" t="n">
        <f aca="false" ca="true" dt2D="false" dtr="false" t="normal">SUBTOTAL(9, AX160:BL160)</f>
        <v>11321051.292631399</v>
      </c>
      <c r="AX160" s="106" t="n">
        <v>3735913.84</v>
      </c>
      <c r="AY160" s="106" t="n">
        <v>627030.85</v>
      </c>
      <c r="AZ160" s="106" t="n">
        <v>1443652.49</v>
      </c>
      <c r="BA160" s="106" t="n">
        <v>1126366.88</v>
      </c>
      <c r="BB160" s="106" t="n">
        <v>0</v>
      </c>
      <c r="BC160" s="106" t="n"/>
      <c r="BD160" s="106" t="n"/>
      <c r="BE160" s="106" t="n">
        <v>0</v>
      </c>
      <c r="BF160" s="106" t="n">
        <v>0</v>
      </c>
      <c r="BG160" s="106" t="n">
        <v>0</v>
      </c>
      <c r="BH160" s="106" t="n">
        <v>0</v>
      </c>
      <c r="BI160" s="106" t="n">
        <v>4237247.81</v>
      </c>
      <c r="BJ160" s="106" t="n"/>
      <c r="BK160" s="114" t="n"/>
      <c r="BL160" s="115" t="n">
        <v>150839.4226314</v>
      </c>
      <c r="BM160" s="14" t="n">
        <f aca="false" ca="true" dt2D="false" dtr="false" t="normal">SUBTOTAL(9, BN160:CB160)</f>
        <v>11321051.292631399</v>
      </c>
      <c r="BN160" s="106" t="n">
        <v>3735913.84</v>
      </c>
      <c r="BO160" s="106" t="n">
        <v>627030.85</v>
      </c>
      <c r="BP160" s="133" t="n">
        <v>1443652.49</v>
      </c>
      <c r="BQ160" s="106" t="n">
        <v>1126366.88</v>
      </c>
      <c r="BR160" s="106" t="n">
        <v>0</v>
      </c>
      <c r="BS160" s="106" t="n"/>
      <c r="BT160" s="106" t="n"/>
      <c r="BU160" s="106" t="n">
        <v>0</v>
      </c>
      <c r="BV160" s="106" t="n">
        <v>0</v>
      </c>
      <c r="BW160" s="106" t="n">
        <v>0</v>
      </c>
      <c r="BX160" s="106" t="n">
        <v>0</v>
      </c>
      <c r="BY160" s="106" t="n">
        <v>4237247.81</v>
      </c>
      <c r="BZ160" s="106" t="n"/>
      <c r="CA160" s="114" t="n"/>
      <c r="CB160" s="115" t="n">
        <v>150839.4226314</v>
      </c>
      <c r="CD160" s="116" t="n">
        <f aca="false" ca="false" dt2D="false" dtr="false" t="normal">+CD159+1</f>
        <v>143</v>
      </c>
      <c r="CE160" s="117" t="n">
        <f aca="false" ca="false" dt2D="false" dtr="false" t="normal">+CE159+1</f>
        <v>143</v>
      </c>
      <c r="CF160" s="104" t="s">
        <v>227</v>
      </c>
      <c r="CG160" s="104" t="s">
        <v>238</v>
      </c>
      <c r="CH160" s="118" t="n">
        <f aca="false" ca="true" dt2D="false" dtr="false" t="normal">SUBTOTAL(9, CI160:CW160)</f>
        <v>11321051.292631399</v>
      </c>
      <c r="CI160" s="106" t="n">
        <v>3735913.84</v>
      </c>
      <c r="CJ160" s="106" t="n">
        <v>627030.85</v>
      </c>
      <c r="CK160" s="133" t="n">
        <v>1443652.49</v>
      </c>
      <c r="CL160" s="106" t="n">
        <v>1126366.88</v>
      </c>
      <c r="CM160" s="106" t="n">
        <v>0</v>
      </c>
      <c r="CN160" s="106" t="n"/>
      <c r="CO160" s="106" t="n"/>
      <c r="CP160" s="106" t="n">
        <v>0</v>
      </c>
      <c r="CQ160" s="106" t="n">
        <v>0</v>
      </c>
      <c r="CR160" s="106" t="n">
        <v>0</v>
      </c>
      <c r="CS160" s="106" t="n">
        <v>0</v>
      </c>
      <c r="CT160" s="106" t="n">
        <v>4237247.81</v>
      </c>
      <c r="CU160" s="106" t="n"/>
      <c r="CV160" s="114" t="n"/>
      <c r="CW160" s="115" t="n">
        <v>150839.4226314</v>
      </c>
      <c r="CZ160" s="104" t="s">
        <v>238</v>
      </c>
      <c r="DA160" s="119" t="n">
        <f aca="false" ca="true" dt2D="false" dtr="false" t="normal">SUBTOTAL(9, DB160:DP160)</f>
        <v>11170211.87</v>
      </c>
      <c r="DB160" s="106" t="n">
        <v>3735913.84</v>
      </c>
      <c r="DC160" s="106" t="n">
        <v>627030.85</v>
      </c>
      <c r="DD160" s="133" t="n">
        <v>1443652.49</v>
      </c>
      <c r="DE160" s="106" t="n">
        <v>1126366.88</v>
      </c>
      <c r="DF160" s="106" t="n">
        <v>0</v>
      </c>
      <c r="DG160" s="106" t="n"/>
      <c r="DH160" s="106" t="n"/>
      <c r="DI160" s="106" t="n">
        <v>0</v>
      </c>
      <c r="DJ160" s="106" t="n">
        <v>0</v>
      </c>
      <c r="DK160" s="106" t="n">
        <v>0</v>
      </c>
      <c r="DL160" s="106" t="n">
        <v>0</v>
      </c>
      <c r="DM160" s="106" t="n">
        <v>4237247.81</v>
      </c>
      <c r="DN160" s="106" t="n"/>
      <c r="DO160" s="114" t="n"/>
      <c r="DP160" s="122" t="n"/>
      <c r="DQ160" s="3" t="n">
        <f aca="false" ca="false" dt2D="false" dtr="false" t="normal">N160-DA160</f>
        <v>0</v>
      </c>
      <c r="DS160" s="9" t="n"/>
    </row>
    <row hidden="false" ht="15" outlineLevel="0" r="161">
      <c r="A161" s="103" t="n">
        <f aca="false" ca="false" dt2D="false" dtr="false" t="normal">+A160+1</f>
        <v>144</v>
      </c>
      <c r="B161" s="104" t="n">
        <f aca="false" ca="false" dt2D="false" dtr="false" t="normal">+B160+1</f>
        <v>144</v>
      </c>
      <c r="C161" s="104" t="s">
        <v>227</v>
      </c>
      <c r="D161" s="104" t="s">
        <v>239</v>
      </c>
      <c r="E161" s="105" t="n">
        <v>1975</v>
      </c>
      <c r="F161" s="105" t="n">
        <v>2013</v>
      </c>
      <c r="G161" s="105" t="s">
        <v>68</v>
      </c>
      <c r="H161" s="105" t="n">
        <v>4</v>
      </c>
      <c r="I161" s="105" t="n">
        <v>3</v>
      </c>
      <c r="J161" s="106" t="n">
        <v>2231.4</v>
      </c>
      <c r="K161" s="106" t="n">
        <v>2050.7</v>
      </c>
      <c r="L161" s="106" t="n">
        <v>57.4</v>
      </c>
      <c r="M161" s="107" t="n">
        <v>91</v>
      </c>
      <c r="N161" s="108" t="n">
        <f aca="false" ca="false" dt2D="false" dtr="false" t="normal">SUM(P161:T161)</f>
        <v>681605.38</v>
      </c>
      <c r="O161" s="106" t="n"/>
      <c r="P161" s="114" t="n"/>
      <c r="Q161" s="114" t="n"/>
      <c r="R161" s="114" t="n"/>
      <c r="S161" s="114" t="n">
        <v>681605.38</v>
      </c>
      <c r="T161" s="106" t="n"/>
      <c r="U161" s="114" t="n">
        <v>323.326872539253</v>
      </c>
      <c r="V161" s="114" t="n">
        <v>323.326872539253</v>
      </c>
      <c r="W161" s="110" t="n">
        <v>2022</v>
      </c>
      <c r="X161" s="9" t="e">
        <f aca="false" ca="false" dt2D="false" dtr="false" t="normal">+#REF!-'[9]Приложение №1'!$P501</f>
        <v>#REF!</v>
      </c>
      <c r="Z161" s="113" t="n">
        <f aca="false" ca="false" dt2D="false" dtr="false" t="normal">SUM(AA161:AO161)</f>
        <v>31294041.869999997</v>
      </c>
      <c r="AA161" s="106" t="n">
        <v>0</v>
      </c>
      <c r="AB161" s="106" t="n">
        <v>2153754.7550967</v>
      </c>
      <c r="AC161" s="106" t="n">
        <v>2250168.3177519</v>
      </c>
      <c r="AD161" s="106" t="n">
        <v>0</v>
      </c>
      <c r="AE161" s="106" t="n">
        <v>0</v>
      </c>
      <c r="AF161" s="106" t="n"/>
      <c r="AG161" s="106" t="n">
        <v>0</v>
      </c>
      <c r="AH161" s="106" t="n">
        <v>0</v>
      </c>
      <c r="AI161" s="106" t="n">
        <v>11049571.3164732</v>
      </c>
      <c r="AJ161" s="106" t="n">
        <v>0</v>
      </c>
      <c r="AK161" s="106" t="n">
        <v>5737009.06260804</v>
      </c>
      <c r="AL161" s="106" t="n">
        <v>6187940.50554162</v>
      </c>
      <c r="AM161" s="106" t="n">
        <v>3003946.3752</v>
      </c>
      <c r="AN161" s="114" t="n">
        <v>312940.4187</v>
      </c>
      <c r="AO161" s="115" t="n">
        <v>598711.11862854</v>
      </c>
      <c r="AP161" s="112" t="n">
        <f aca="false" ca="false" dt2D="false" dtr="false" t="normal">+N161-'Приложение №2'!E161</f>
        <v>0</v>
      </c>
      <c r="AQ161" s="1" t="n">
        <v>972243.21</v>
      </c>
      <c r="AR161" s="3" t="n">
        <f aca="false" ca="false" dt2D="false" dtr="false" t="normal">+(K161*10+L161*20)*12*0.85</f>
        <v>220881</v>
      </c>
      <c r="AS161" s="3" t="n">
        <f aca="false" ca="false" dt2D="false" dtr="false" t="normal">+(K161*10+L161*20)*12*30</f>
        <v>7795800</v>
      </c>
      <c r="AT161" s="9" t="n">
        <f aca="false" ca="false" dt2D="false" dtr="false" t="normal">+S161-AS161</f>
        <v>-7114194.62</v>
      </c>
      <c r="AW161" s="113" t="n">
        <f aca="false" ca="true" dt2D="false" dtr="false" t="normal">SUBTOTAL(9, AX161:BL161)</f>
        <v>681605.38</v>
      </c>
      <c r="AX161" s="106" t="n">
        <v>0</v>
      </c>
      <c r="AY161" s="106" t="n"/>
      <c r="AZ161" s="106" t="n">
        <v>681605.38</v>
      </c>
      <c r="BA161" s="106" t="n">
        <v>0</v>
      </c>
      <c r="BB161" s="106" t="n">
        <v>0</v>
      </c>
      <c r="BC161" s="106" t="n"/>
      <c r="BD161" s="106" t="n"/>
      <c r="BE161" s="106" t="n">
        <v>0</v>
      </c>
      <c r="BF161" s="106" t="n"/>
      <c r="BG161" s="106" t="n">
        <v>0</v>
      </c>
      <c r="BH161" s="106" t="n"/>
      <c r="BI161" s="106" t="n"/>
      <c r="BJ161" s="106" t="n"/>
      <c r="BK161" s="114" t="n"/>
      <c r="BL161" s="115" t="n"/>
      <c r="BM161" s="14" t="n">
        <f aca="false" ca="true" dt2D="false" dtr="false" t="normal">SUBTOTAL(9, BN161:CB161)</f>
        <v>681605.38</v>
      </c>
      <c r="BN161" s="106" t="n">
        <v>0</v>
      </c>
      <c r="BO161" s="106" t="n"/>
      <c r="BP161" s="133" t="n">
        <v>681605.38</v>
      </c>
      <c r="BQ161" s="106" t="n">
        <v>0</v>
      </c>
      <c r="BR161" s="106" t="n">
        <v>0</v>
      </c>
      <c r="BS161" s="106" t="n"/>
      <c r="BT161" s="106" t="n"/>
      <c r="BU161" s="106" t="n">
        <v>0</v>
      </c>
      <c r="BV161" s="106" t="n"/>
      <c r="BW161" s="106" t="n">
        <v>0</v>
      </c>
      <c r="BX161" s="106" t="n"/>
      <c r="BY161" s="106" t="n"/>
      <c r="BZ161" s="106" t="n"/>
      <c r="CA161" s="114" t="n"/>
      <c r="CB161" s="115" t="n"/>
      <c r="CD161" s="116" t="n">
        <f aca="false" ca="false" dt2D="false" dtr="false" t="normal">+CD160+1</f>
        <v>144</v>
      </c>
      <c r="CE161" s="117" t="n">
        <f aca="false" ca="false" dt2D="false" dtr="false" t="normal">+CE160+1</f>
        <v>144</v>
      </c>
      <c r="CF161" s="104" t="s">
        <v>227</v>
      </c>
      <c r="CG161" s="104" t="s">
        <v>239</v>
      </c>
      <c r="CH161" s="118" t="n">
        <f aca="false" ca="true" dt2D="false" dtr="false" t="normal">SUBTOTAL(9, CI161:CW161)</f>
        <v>681605.38</v>
      </c>
      <c r="CI161" s="106" t="n">
        <v>0</v>
      </c>
      <c r="CJ161" s="106" t="n"/>
      <c r="CK161" s="133" t="n">
        <v>681605.38</v>
      </c>
      <c r="CL161" s="106" t="n">
        <v>0</v>
      </c>
      <c r="CM161" s="106" t="n">
        <v>0</v>
      </c>
      <c r="CN161" s="106" t="n"/>
      <c r="CO161" s="106" t="n"/>
      <c r="CP161" s="106" t="n">
        <v>0</v>
      </c>
      <c r="CQ161" s="106" t="n"/>
      <c r="CR161" s="106" t="n">
        <v>0</v>
      </c>
      <c r="CS161" s="106" t="n"/>
      <c r="CT161" s="106" t="n"/>
      <c r="CU161" s="106" t="n"/>
      <c r="CV161" s="114" t="n"/>
      <c r="CW161" s="115" t="n"/>
      <c r="CZ161" s="104" t="s">
        <v>239</v>
      </c>
      <c r="DA161" s="119" t="n">
        <f aca="false" ca="true" dt2D="false" dtr="false" t="normal">SUBTOTAL(9, DB161:DP161)</f>
        <v>681605.38</v>
      </c>
      <c r="DB161" s="106" t="n">
        <v>0</v>
      </c>
      <c r="DC161" s="106" t="n"/>
      <c r="DD161" s="133" t="n">
        <v>681605.38</v>
      </c>
      <c r="DE161" s="106" t="n">
        <v>0</v>
      </c>
      <c r="DF161" s="106" t="n">
        <v>0</v>
      </c>
      <c r="DG161" s="106" t="n"/>
      <c r="DH161" s="106" t="n"/>
      <c r="DI161" s="106" t="n">
        <v>0</v>
      </c>
      <c r="DJ161" s="106" t="n"/>
      <c r="DK161" s="106" t="n">
        <v>0</v>
      </c>
      <c r="DL161" s="106" t="n"/>
      <c r="DM161" s="106" t="n"/>
      <c r="DN161" s="106" t="n"/>
      <c r="DO161" s="114" t="n"/>
      <c r="DP161" s="120" t="n"/>
      <c r="DQ161" s="3" t="n">
        <f aca="false" ca="false" dt2D="false" dtr="false" t="normal">N161-DA161</f>
        <v>0</v>
      </c>
      <c r="DS161" s="9" t="n"/>
    </row>
    <row hidden="false" ht="15" outlineLevel="0" r="162">
      <c r="A162" s="103" t="n">
        <f aca="false" ca="false" dt2D="false" dtr="false" t="normal">+A161+1</f>
        <v>145</v>
      </c>
      <c r="B162" s="104" t="n">
        <f aca="false" ca="false" dt2D="false" dtr="false" t="normal">+B161+1</f>
        <v>145</v>
      </c>
      <c r="C162" s="104" t="s">
        <v>227</v>
      </c>
      <c r="D162" s="104" t="s">
        <v>240</v>
      </c>
      <c r="E162" s="105" t="n">
        <v>1974</v>
      </c>
      <c r="F162" s="105" t="n">
        <v>2014</v>
      </c>
      <c r="G162" s="105" t="s">
        <v>68</v>
      </c>
      <c r="H162" s="105" t="n">
        <v>4</v>
      </c>
      <c r="I162" s="105" t="n">
        <v>6</v>
      </c>
      <c r="J162" s="106" t="n">
        <v>4464.7</v>
      </c>
      <c r="K162" s="106" t="n">
        <v>4072.9</v>
      </c>
      <c r="L162" s="106" t="n">
        <v>35.1</v>
      </c>
      <c r="M162" s="107" t="n">
        <v>161</v>
      </c>
      <c r="N162" s="108" t="n">
        <f aca="false" ca="false" dt2D="false" dtr="false" t="normal">SUM(P162:T162)</f>
        <v>2689617.46</v>
      </c>
      <c r="O162" s="106" t="n"/>
      <c r="P162" s="114" t="n">
        <v>1182697.55</v>
      </c>
      <c r="Q162" s="114" t="n"/>
      <c r="R162" s="114" t="n">
        <v>1506919.91</v>
      </c>
      <c r="S162" s="114" t="n">
        <v>0</v>
      </c>
      <c r="T162" s="106" t="n"/>
      <c r="U162" s="114" t="n">
        <v>654.726742940604</v>
      </c>
      <c r="V162" s="114" t="n">
        <v>654.726742940604</v>
      </c>
      <c r="W162" s="110" t="n">
        <v>2022</v>
      </c>
      <c r="X162" s="9" t="e">
        <f aca="false" ca="false" dt2D="false" dtr="false" t="normal">+#REF!-'[9]Приложение №1'!$P1619</f>
        <v>#REF!</v>
      </c>
      <c r="Z162" s="113" t="n">
        <f aca="false" ca="false" dt2D="false" dtr="false" t="normal">SUM(AA162:AO162)</f>
        <v>5164492.489999999</v>
      </c>
      <c r="AA162" s="106" t="n">
        <v>0</v>
      </c>
      <c r="AB162" s="106" t="n">
        <v>0</v>
      </c>
      <c r="AC162" s="106" t="n">
        <v>4498035.39213546</v>
      </c>
      <c r="AD162" s="106" t="n">
        <v>0</v>
      </c>
      <c r="AE162" s="106" t="n">
        <v>0</v>
      </c>
      <c r="AF162" s="106" t="n"/>
      <c r="AG162" s="106" t="n">
        <v>0</v>
      </c>
      <c r="AH162" s="106" t="n">
        <v>0</v>
      </c>
      <c r="AI162" s="106" t="n">
        <v>0</v>
      </c>
      <c r="AJ162" s="106" t="n">
        <v>0</v>
      </c>
      <c r="AK162" s="106" t="n">
        <v>0</v>
      </c>
      <c r="AL162" s="106" t="n">
        <v>0</v>
      </c>
      <c r="AM162" s="106" t="n">
        <v>516449.249</v>
      </c>
      <c r="AN162" s="114" t="n">
        <v>51644.9249</v>
      </c>
      <c r="AO162" s="115" t="n">
        <v>98362.92396454</v>
      </c>
      <c r="AP162" s="112" t="n">
        <f aca="false" ca="false" dt2D="false" dtr="false" t="normal">+N162-'Приложение №2'!E162</f>
        <v>0</v>
      </c>
      <c r="AQ162" s="1" t="n">
        <v>1783982.53</v>
      </c>
      <c r="AR162" s="3" t="n">
        <f aca="false" ca="false" dt2D="false" dtr="false" t="normal">+(K162*10+L162*20)*12*0.85</f>
        <v>422596.2</v>
      </c>
      <c r="AS162" s="3" t="n">
        <f aca="false" ca="false" dt2D="false" dtr="false" t="normal">+(K162*10+L162*20)*12*30</f>
        <v>14915160</v>
      </c>
      <c r="AT162" s="9" t="n">
        <f aca="false" ca="false" dt2D="false" dtr="false" t="normal">+S162-AS162</f>
        <v>-14915160</v>
      </c>
      <c r="AW162" s="113" t="n">
        <f aca="false" ca="true" dt2D="false" dtr="false" t="normal">SUBTOTAL(9, AX162:BL162)</f>
        <v>2689617.46</v>
      </c>
      <c r="AX162" s="106" t="n">
        <v>0</v>
      </c>
      <c r="AY162" s="106" t="n">
        <v>0</v>
      </c>
      <c r="AZ162" s="106" t="n">
        <v>2689617.46</v>
      </c>
      <c r="BA162" s="106" t="n">
        <v>0</v>
      </c>
      <c r="BB162" s="106" t="n">
        <v>0</v>
      </c>
      <c r="BC162" s="106" t="n"/>
      <c r="BD162" s="106" t="n"/>
      <c r="BE162" s="106" t="n">
        <v>0</v>
      </c>
      <c r="BF162" s="106" t="n">
        <v>0</v>
      </c>
      <c r="BG162" s="106" t="n">
        <v>0</v>
      </c>
      <c r="BH162" s="106" t="n">
        <v>0</v>
      </c>
      <c r="BI162" s="106" t="n">
        <v>0</v>
      </c>
      <c r="BJ162" s="106" t="n"/>
      <c r="BK162" s="114" t="n"/>
      <c r="BL162" s="115" t="n"/>
      <c r="BM162" s="14" t="n">
        <f aca="false" ca="true" dt2D="false" dtr="false" t="normal">SUBTOTAL(9, BN162:CB162)</f>
        <v>2689617.46</v>
      </c>
      <c r="BN162" s="106" t="n">
        <v>0</v>
      </c>
      <c r="BO162" s="106" t="n">
        <v>0</v>
      </c>
      <c r="BP162" s="133" t="n">
        <v>2689617.46</v>
      </c>
      <c r="BQ162" s="106" t="n">
        <v>0</v>
      </c>
      <c r="BR162" s="106" t="n">
        <v>0</v>
      </c>
      <c r="BS162" s="106" t="n"/>
      <c r="BT162" s="106" t="n"/>
      <c r="BU162" s="106" t="n">
        <v>0</v>
      </c>
      <c r="BV162" s="106" t="n">
        <v>0</v>
      </c>
      <c r="BW162" s="106" t="n">
        <v>0</v>
      </c>
      <c r="BX162" s="106" t="n">
        <v>0</v>
      </c>
      <c r="BY162" s="106" t="n">
        <v>0</v>
      </c>
      <c r="BZ162" s="106" t="n"/>
      <c r="CA162" s="114" t="n"/>
      <c r="CB162" s="115" t="n"/>
      <c r="CD162" s="116" t="n">
        <f aca="false" ca="false" dt2D="false" dtr="false" t="normal">+CD161+1</f>
        <v>145</v>
      </c>
      <c r="CE162" s="117" t="n">
        <f aca="false" ca="false" dt2D="false" dtr="false" t="normal">+CE161+1</f>
        <v>145</v>
      </c>
      <c r="CF162" s="104" t="s">
        <v>227</v>
      </c>
      <c r="CG162" s="104" t="s">
        <v>240</v>
      </c>
      <c r="CH162" s="118" t="n">
        <f aca="false" ca="true" dt2D="false" dtr="false" t="normal">SUBTOTAL(9, CI162:CW162)</f>
        <v>2689617.46</v>
      </c>
      <c r="CI162" s="106" t="n">
        <v>0</v>
      </c>
      <c r="CJ162" s="106" t="n">
        <v>0</v>
      </c>
      <c r="CK162" s="133" t="n">
        <v>2689617.46</v>
      </c>
      <c r="CL162" s="106" t="n">
        <v>0</v>
      </c>
      <c r="CM162" s="106" t="n">
        <v>0</v>
      </c>
      <c r="CN162" s="106" t="n"/>
      <c r="CO162" s="106" t="n"/>
      <c r="CP162" s="106" t="n">
        <v>0</v>
      </c>
      <c r="CQ162" s="106" t="n">
        <v>0</v>
      </c>
      <c r="CR162" s="106" t="n">
        <v>0</v>
      </c>
      <c r="CS162" s="106" t="n">
        <v>0</v>
      </c>
      <c r="CT162" s="106" t="n">
        <v>0</v>
      </c>
      <c r="CU162" s="106" t="n"/>
      <c r="CV162" s="114" t="n"/>
      <c r="CW162" s="115" t="n"/>
      <c r="CZ162" s="104" t="s">
        <v>240</v>
      </c>
      <c r="DA162" s="119" t="n">
        <f aca="false" ca="true" dt2D="false" dtr="false" t="normal">SUBTOTAL(9, DB162:DP162)</f>
        <v>2689617.46</v>
      </c>
      <c r="DB162" s="106" t="n">
        <v>0</v>
      </c>
      <c r="DC162" s="106" t="n">
        <v>0</v>
      </c>
      <c r="DD162" s="133" t="n">
        <v>2689617.46</v>
      </c>
      <c r="DE162" s="106" t="n">
        <v>0</v>
      </c>
      <c r="DF162" s="106" t="n">
        <v>0</v>
      </c>
      <c r="DG162" s="106" t="n"/>
      <c r="DH162" s="106" t="n"/>
      <c r="DI162" s="106" t="n">
        <v>0</v>
      </c>
      <c r="DJ162" s="106" t="n">
        <v>0</v>
      </c>
      <c r="DK162" s="106" t="n">
        <v>0</v>
      </c>
      <c r="DL162" s="106" t="n">
        <v>0</v>
      </c>
      <c r="DM162" s="106" t="n">
        <v>0</v>
      </c>
      <c r="DN162" s="106" t="n"/>
      <c r="DO162" s="114" t="n"/>
      <c r="DP162" s="115" t="n"/>
      <c r="DQ162" s="3" t="n">
        <f aca="false" ca="false" dt2D="false" dtr="false" t="normal">N162-DA162</f>
        <v>0</v>
      </c>
      <c r="DS162" s="9" t="n"/>
    </row>
    <row hidden="false" ht="15" outlineLevel="0" r="163">
      <c r="A163" s="103" t="n">
        <f aca="false" ca="false" dt2D="false" dtr="false" t="normal">+A162+1</f>
        <v>146</v>
      </c>
      <c r="B163" s="104" t="n">
        <f aca="false" ca="false" dt2D="false" dtr="false" t="normal">+B162+1</f>
        <v>146</v>
      </c>
      <c r="C163" s="104" t="s">
        <v>227</v>
      </c>
      <c r="D163" s="104" t="s">
        <v>241</v>
      </c>
      <c r="E163" s="105" t="n">
        <v>1989</v>
      </c>
      <c r="F163" s="105" t="n">
        <v>2015</v>
      </c>
      <c r="G163" s="105" t="s">
        <v>68</v>
      </c>
      <c r="H163" s="105" t="n">
        <v>9</v>
      </c>
      <c r="I163" s="105" t="n">
        <v>4</v>
      </c>
      <c r="J163" s="106" t="n">
        <v>9199.3</v>
      </c>
      <c r="K163" s="106" t="n">
        <v>8072</v>
      </c>
      <c r="L163" s="106" t="n">
        <v>65.6</v>
      </c>
      <c r="M163" s="107" t="n">
        <v>366</v>
      </c>
      <c r="N163" s="108" t="n">
        <f aca="false" ca="false" dt2D="false" dtr="false" t="normal">SUM(P163:T163)</f>
        <v>25727773.27</v>
      </c>
      <c r="O163" s="106" t="n"/>
      <c r="P163" s="114" t="n"/>
      <c r="Q163" s="114" t="n"/>
      <c r="R163" s="114" t="n">
        <v>1050151.86</v>
      </c>
      <c r="S163" s="114" t="n">
        <v>24677621.41</v>
      </c>
      <c r="T163" s="114" t="n"/>
      <c r="U163" s="106" t="n">
        <v>3161.59227167715</v>
      </c>
      <c r="V163" s="106" t="n">
        <v>3161.59227167715</v>
      </c>
      <c r="W163" s="110" t="n">
        <v>2022</v>
      </c>
      <c r="X163" s="9" t="e">
        <f aca="false" ca="false" dt2D="false" dtr="false" t="normal">+#REF!-'[9]Приложение №1'!$P1207</f>
        <v>#REF!</v>
      </c>
      <c r="Z163" s="113" t="n">
        <f aca="false" ca="false" dt2D="false" dtr="false" t="normal">SUM(AA163:AO163)</f>
        <v>77772109.15999995</v>
      </c>
      <c r="AA163" s="106" t="n">
        <v>18662138.4025549</v>
      </c>
      <c r="AB163" s="106" t="n">
        <v>12807918.5266418</v>
      </c>
      <c r="AC163" s="106" t="n">
        <v>7796411.58542904</v>
      </c>
      <c r="AD163" s="106" t="n">
        <v>7034200.4194896</v>
      </c>
      <c r="AE163" s="106" t="n">
        <v>0</v>
      </c>
      <c r="AF163" s="106" t="n"/>
      <c r="AG163" s="106" t="n">
        <v>897798.6655344</v>
      </c>
      <c r="AH163" s="106" t="n">
        <v>0</v>
      </c>
      <c r="AI163" s="106" t="n">
        <v>0</v>
      </c>
      <c r="AJ163" s="106" t="n">
        <v>0</v>
      </c>
      <c r="AK163" s="106" t="n">
        <v>0</v>
      </c>
      <c r="AL163" s="106" t="n">
        <v>20784690.6631115</v>
      </c>
      <c r="AM163" s="106" t="n">
        <v>7524575.8236</v>
      </c>
      <c r="AN163" s="114" t="n">
        <v>777721.0916</v>
      </c>
      <c r="AO163" s="115" t="n">
        <v>1486653.98203872</v>
      </c>
      <c r="AP163" s="112" t="n">
        <f aca="false" ca="false" dt2D="false" dtr="false" t="normal">+N163-'Приложение №2'!E163</f>
        <v>0</v>
      </c>
      <c r="AQ163" s="1" t="n">
        <v>4641267.93</v>
      </c>
      <c r="AR163" s="3" t="n">
        <f aca="false" ca="false" dt2D="false" dtr="false" t="normal">+(K163*13.29+L163*22.52)*12*0.85</f>
        <v>1109292.7584</v>
      </c>
      <c r="AS163" s="3" t="n">
        <v>24677621.41</v>
      </c>
      <c r="AT163" s="9" t="n">
        <f aca="false" ca="false" dt2D="false" dtr="false" t="normal">+S163-AS163</f>
        <v>0</v>
      </c>
      <c r="AW163" s="113" t="n">
        <f aca="false" ca="true" dt2D="false" dtr="false" t="normal">SUBTOTAL(9, AX163:BL163)</f>
        <v>25727773.27</v>
      </c>
      <c r="AX163" s="106" t="n"/>
      <c r="AY163" s="106" t="n">
        <v>3182426.63</v>
      </c>
      <c r="AZ163" s="106" t="n"/>
      <c r="BA163" s="106" t="n"/>
      <c r="BB163" s="106" t="n">
        <v>0</v>
      </c>
      <c r="BC163" s="106" t="n"/>
      <c r="BD163" s="106" t="n"/>
      <c r="BE163" s="106" t="n">
        <v>0</v>
      </c>
      <c r="BF163" s="106" t="n">
        <v>0</v>
      </c>
      <c r="BG163" s="106" t="n">
        <v>0</v>
      </c>
      <c r="BH163" s="106" t="n">
        <v>0</v>
      </c>
      <c r="BI163" s="106" t="n">
        <v>22545346.64</v>
      </c>
      <c r="BJ163" s="106" t="n"/>
      <c r="BK163" s="114" t="n"/>
      <c r="BL163" s="115" t="n"/>
      <c r="BM163" s="14" t="n">
        <f aca="false" ca="true" dt2D="false" dtr="false" t="normal">SUBTOTAL(9, BN163:CB163)</f>
        <v>25727773.27</v>
      </c>
      <c r="BN163" s="106" t="n"/>
      <c r="BO163" s="106" t="n">
        <v>3182426.63</v>
      </c>
      <c r="BP163" s="133" t="n"/>
      <c r="BQ163" s="106" t="n"/>
      <c r="BR163" s="106" t="n">
        <v>0</v>
      </c>
      <c r="BS163" s="106" t="n"/>
      <c r="BT163" s="106" t="n"/>
      <c r="BU163" s="106" t="n">
        <v>0</v>
      </c>
      <c r="BV163" s="106" t="n">
        <v>0</v>
      </c>
      <c r="BW163" s="106" t="n">
        <v>0</v>
      </c>
      <c r="BX163" s="106" t="n">
        <v>0</v>
      </c>
      <c r="BY163" s="106" t="n">
        <v>22545346.64</v>
      </c>
      <c r="BZ163" s="106" t="n"/>
      <c r="CA163" s="114" t="n"/>
      <c r="CB163" s="115" t="n"/>
      <c r="CD163" s="116" t="n">
        <f aca="false" ca="false" dt2D="false" dtr="false" t="normal">+CD162+1</f>
        <v>146</v>
      </c>
      <c r="CE163" s="117" t="n">
        <f aca="false" ca="false" dt2D="false" dtr="false" t="normal">+CE162+1</f>
        <v>146</v>
      </c>
      <c r="CF163" s="104" t="s">
        <v>227</v>
      </c>
      <c r="CG163" s="104" t="s">
        <v>241</v>
      </c>
      <c r="CH163" s="118" t="n">
        <f aca="false" ca="true" dt2D="false" dtr="false" t="normal">SUBTOTAL(9, CI163:CW163)</f>
        <v>25727773.27</v>
      </c>
      <c r="CI163" s="106" t="n"/>
      <c r="CJ163" s="106" t="n">
        <v>3182426.63</v>
      </c>
      <c r="CK163" s="133" t="n"/>
      <c r="CL163" s="106" t="n"/>
      <c r="CM163" s="106" t="n">
        <v>0</v>
      </c>
      <c r="CN163" s="106" t="n"/>
      <c r="CO163" s="106" t="n"/>
      <c r="CP163" s="106" t="n">
        <v>0</v>
      </c>
      <c r="CQ163" s="106" t="n">
        <v>0</v>
      </c>
      <c r="CR163" s="106" t="n">
        <v>0</v>
      </c>
      <c r="CS163" s="106" t="n">
        <v>0</v>
      </c>
      <c r="CT163" s="106" t="n">
        <v>22545346.64</v>
      </c>
      <c r="CU163" s="106" t="n"/>
      <c r="CV163" s="114" t="n"/>
      <c r="CW163" s="115" t="n"/>
      <c r="CZ163" s="104" t="s">
        <v>241</v>
      </c>
      <c r="DA163" s="119" t="n">
        <f aca="false" ca="true" dt2D="false" dtr="false" t="normal">SUBTOTAL(9, DB163:DP163)</f>
        <v>25727773.27</v>
      </c>
      <c r="DB163" s="106" t="n"/>
      <c r="DC163" s="106" t="n">
        <v>3182426.63</v>
      </c>
      <c r="DD163" s="133" t="n"/>
      <c r="DE163" s="106" t="n"/>
      <c r="DF163" s="106" t="n">
        <v>0</v>
      </c>
      <c r="DG163" s="106" t="n"/>
      <c r="DH163" s="106" t="n"/>
      <c r="DI163" s="106" t="n">
        <v>0</v>
      </c>
      <c r="DJ163" s="106" t="n">
        <v>0</v>
      </c>
      <c r="DK163" s="106" t="n">
        <v>0</v>
      </c>
      <c r="DL163" s="106" t="n">
        <v>0</v>
      </c>
      <c r="DM163" s="106" t="n">
        <v>22545346.64</v>
      </c>
      <c r="DN163" s="106" t="n"/>
      <c r="DO163" s="114" t="n"/>
      <c r="DP163" s="115" t="n"/>
      <c r="DQ163" s="3" t="n">
        <f aca="false" ca="false" dt2D="false" dtr="false" t="normal">N163-DA163</f>
        <v>0</v>
      </c>
      <c r="DS163" s="9" t="n"/>
    </row>
    <row hidden="false" ht="15" outlineLevel="0" r="164">
      <c r="A164" s="103" t="n">
        <f aca="false" ca="false" dt2D="false" dtr="false" t="normal">+A163+1</f>
        <v>147</v>
      </c>
      <c r="B164" s="104" t="n">
        <f aca="false" ca="false" dt2D="false" dtr="false" t="normal">+B163+1</f>
        <v>147</v>
      </c>
      <c r="C164" s="104" t="s">
        <v>227</v>
      </c>
      <c r="D164" s="104" t="s">
        <v>242</v>
      </c>
      <c r="E164" s="105" t="n">
        <v>1992</v>
      </c>
      <c r="F164" s="105" t="n">
        <v>2015</v>
      </c>
      <c r="G164" s="105" t="s">
        <v>68</v>
      </c>
      <c r="H164" s="105" t="n">
        <v>9</v>
      </c>
      <c r="I164" s="105" t="n">
        <v>3</v>
      </c>
      <c r="J164" s="106" t="n">
        <v>6872</v>
      </c>
      <c r="K164" s="106" t="n">
        <v>6094.4</v>
      </c>
      <c r="L164" s="106" t="n">
        <v>0</v>
      </c>
      <c r="M164" s="107" t="n">
        <v>259</v>
      </c>
      <c r="N164" s="108" t="n">
        <f aca="false" ca="false" dt2D="false" dtr="false" t="normal">SUM(P164:T164)</f>
        <v>9722924.29</v>
      </c>
      <c r="O164" s="106" t="n"/>
      <c r="P164" s="114" t="n">
        <v>5994717.77</v>
      </c>
      <c r="Q164" s="114" t="n"/>
      <c r="R164" s="114" t="n"/>
      <c r="S164" s="114" t="n">
        <v>3728206.52</v>
      </c>
      <c r="T164" s="106" t="n"/>
      <c r="U164" s="114" t="n">
        <v>1634.76770564658</v>
      </c>
      <c r="V164" s="114" t="n">
        <v>1634.76770564658</v>
      </c>
      <c r="W164" s="110" t="n">
        <v>2022</v>
      </c>
      <c r="X164" s="9" t="e">
        <f aca="false" ca="false" dt2D="false" dtr="false" t="normal">+#REF!-'[9]Приложение №1'!$P829</f>
        <v>#REF!</v>
      </c>
      <c r="Y164" s="1" t="s">
        <v>229</v>
      </c>
      <c r="Z164" s="113" t="n">
        <f aca="false" ca="false" dt2D="false" dtr="false" t="normal">SUM(AA164:AO164)</f>
        <v>58070573.9</v>
      </c>
      <c r="AA164" s="106" t="n">
        <v>13934572.4189763</v>
      </c>
      <c r="AB164" s="106" t="n">
        <v>9563366.44572288</v>
      </c>
      <c r="AC164" s="106" t="n">
        <v>5821394.07117912</v>
      </c>
      <c r="AD164" s="106" t="n">
        <v>5252269.2207846</v>
      </c>
      <c r="AE164" s="106" t="n">
        <v>0</v>
      </c>
      <c r="AF164" s="106" t="n"/>
      <c r="AG164" s="106" t="n">
        <v>670364.7917232</v>
      </c>
      <c r="AH164" s="106" t="n">
        <v>0</v>
      </c>
      <c r="AI164" s="106" t="n">
        <v>0</v>
      </c>
      <c r="AJ164" s="106" t="n">
        <v>0</v>
      </c>
      <c r="AK164" s="106" t="n">
        <v>0</v>
      </c>
      <c r="AL164" s="106" t="n">
        <v>15519431.4307704</v>
      </c>
      <c r="AM164" s="106" t="n">
        <v>5618420.8085</v>
      </c>
      <c r="AN164" s="114" t="n">
        <v>580705.739</v>
      </c>
      <c r="AO164" s="115" t="n">
        <v>1110048.9733435</v>
      </c>
      <c r="AP164" s="112" t="n">
        <f aca="false" ca="false" dt2D="false" dtr="false" t="normal">+N164-'Приложение №2'!E164</f>
        <v>0</v>
      </c>
      <c r="AQ164" s="1" t="n">
        <f aca="false" ca="false" dt2D="false" dtr="false" t="normal">3336709.09-263343.45</f>
        <v>3073365.6399999997</v>
      </c>
      <c r="AR164" s="3" t="n">
        <f aca="false" ca="false" dt2D="false" dtr="false" t="normal">+(K164*13.29+L164*22.52)*12*0.85</f>
        <v>826144.6751999998</v>
      </c>
      <c r="AS164" s="3" t="n">
        <f aca="false" ca="false" dt2D="false" dtr="false" t="normal">+(K164*13.29+L164*22.52)*12*30-1442656.44</f>
        <v>27715390.91999999</v>
      </c>
      <c r="AT164" s="9" t="n">
        <f aca="false" ca="false" dt2D="false" dtr="false" t="normal">+S164-AS164</f>
        <v>-23987184.39999999</v>
      </c>
      <c r="AW164" s="113" t="n">
        <f aca="false" ca="true" dt2D="false" dtr="false" t="normal">SUBTOTAL(9, AX164:BL164)</f>
        <v>9962928.305292519</v>
      </c>
      <c r="AX164" s="106" t="n"/>
      <c r="AY164" s="106" t="n">
        <v>7323917.46</v>
      </c>
      <c r="AZ164" s="106" t="n"/>
      <c r="BA164" s="106" t="n">
        <v>2315022.9</v>
      </c>
      <c r="BB164" s="106" t="n">
        <v>0</v>
      </c>
      <c r="BC164" s="106" t="n"/>
      <c r="BD164" s="106" t="n"/>
      <c r="BE164" s="106" t="n">
        <v>0</v>
      </c>
      <c r="BF164" s="106" t="n">
        <v>0</v>
      </c>
      <c r="BG164" s="106" t="n">
        <v>0</v>
      </c>
      <c r="BH164" s="106" t="n">
        <v>0</v>
      </c>
      <c r="BI164" s="106" t="n"/>
      <c r="BJ164" s="106" t="n"/>
      <c r="BK164" s="114" t="n"/>
      <c r="BL164" s="115" t="n">
        <v>323987.94529252</v>
      </c>
      <c r="BM164" s="14" t="n">
        <f aca="false" ca="true" dt2D="false" dtr="false" t="normal">SUBTOTAL(9, BN164:CB164)</f>
        <v>9962928.305292519</v>
      </c>
      <c r="BN164" s="106" t="n"/>
      <c r="BO164" s="106" t="n">
        <v>7323917.46</v>
      </c>
      <c r="BP164" s="133" t="n"/>
      <c r="BQ164" s="106" t="n">
        <v>2315022.9</v>
      </c>
      <c r="BR164" s="106" t="n">
        <v>0</v>
      </c>
      <c r="BS164" s="106" t="n"/>
      <c r="BT164" s="106" t="n"/>
      <c r="BU164" s="106" t="n">
        <v>0</v>
      </c>
      <c r="BV164" s="106" t="n">
        <v>0</v>
      </c>
      <c r="BW164" s="106" t="n">
        <v>0</v>
      </c>
      <c r="BX164" s="106" t="n">
        <v>0</v>
      </c>
      <c r="BY164" s="106" t="n"/>
      <c r="BZ164" s="106" t="n"/>
      <c r="CA164" s="114" t="n"/>
      <c r="CB164" s="115" t="n">
        <v>323987.94529252</v>
      </c>
      <c r="CD164" s="116" t="n">
        <f aca="false" ca="false" dt2D="false" dtr="false" t="normal">+CD163+1</f>
        <v>147</v>
      </c>
      <c r="CE164" s="117" t="n">
        <f aca="false" ca="false" dt2D="false" dtr="false" t="normal">+CE163+1</f>
        <v>147</v>
      </c>
      <c r="CF164" s="104" t="s">
        <v>227</v>
      </c>
      <c r="CG164" s="104" t="s">
        <v>242</v>
      </c>
      <c r="CH164" s="118" t="n">
        <f aca="false" ca="true" dt2D="false" dtr="false" t="normal">SUBTOTAL(9, CI164:CW164)</f>
        <v>9962928.305292519</v>
      </c>
      <c r="CI164" s="106" t="n"/>
      <c r="CJ164" s="106" t="n">
        <v>7323917.46</v>
      </c>
      <c r="CK164" s="133" t="n"/>
      <c r="CL164" s="106" t="n">
        <v>2315022.9</v>
      </c>
      <c r="CM164" s="106" t="n">
        <v>0</v>
      </c>
      <c r="CN164" s="106" t="n"/>
      <c r="CO164" s="106" t="n"/>
      <c r="CP164" s="106" t="n">
        <v>0</v>
      </c>
      <c r="CQ164" s="106" t="n">
        <v>0</v>
      </c>
      <c r="CR164" s="106" t="n">
        <v>0</v>
      </c>
      <c r="CS164" s="106" t="n">
        <v>0</v>
      </c>
      <c r="CT164" s="106" t="n"/>
      <c r="CU164" s="106" t="n"/>
      <c r="CV164" s="114" t="n"/>
      <c r="CW164" s="115" t="n">
        <v>323987.94529252</v>
      </c>
      <c r="CZ164" s="104" t="s">
        <v>242</v>
      </c>
      <c r="DA164" s="119" t="n">
        <f aca="false" ca="true" dt2D="false" dtr="false" t="normal">SUBTOTAL(9, DB164:DP164)</f>
        <v>9722924.29</v>
      </c>
      <c r="DB164" s="106" t="n"/>
      <c r="DC164" s="106" t="n">
        <v>7323917.46</v>
      </c>
      <c r="DD164" s="133" t="n"/>
      <c r="DE164" s="106" t="n">
        <v>2315022.9</v>
      </c>
      <c r="DF164" s="106" t="n">
        <v>0</v>
      </c>
      <c r="DG164" s="106" t="n"/>
      <c r="DH164" s="106" t="n"/>
      <c r="DI164" s="106" t="n">
        <v>0</v>
      </c>
      <c r="DJ164" s="106" t="n">
        <v>0</v>
      </c>
      <c r="DK164" s="106" t="n">
        <v>0</v>
      </c>
      <c r="DL164" s="106" t="n">
        <v>0</v>
      </c>
      <c r="DM164" s="106" t="n"/>
      <c r="DN164" s="106" t="n"/>
      <c r="DO164" s="114" t="n"/>
      <c r="DP164" s="120" t="n">
        <f aca="false" ca="false" dt2D="false" dtr="false" t="normal">53840.63+30143.3</f>
        <v>83983.93</v>
      </c>
      <c r="DQ164" s="3" t="n">
        <f aca="false" ca="false" dt2D="false" dtr="false" t="normal">N164-DA164</f>
        <v>0</v>
      </c>
      <c r="DS164" s="9" t="n"/>
    </row>
    <row hidden="false" ht="15" outlineLevel="0" r="165">
      <c r="A165" s="103" t="n">
        <f aca="false" ca="false" dt2D="false" dtr="false" t="normal">+A164+1</f>
        <v>148</v>
      </c>
      <c r="B165" s="104" t="n">
        <f aca="false" ca="false" dt2D="false" dtr="false" t="normal">+B164+1</f>
        <v>148</v>
      </c>
      <c r="C165" s="104" t="s">
        <v>227</v>
      </c>
      <c r="D165" s="104" t="s">
        <v>243</v>
      </c>
      <c r="E165" s="105" t="n">
        <v>1984</v>
      </c>
      <c r="F165" s="105" t="n">
        <v>2013</v>
      </c>
      <c r="G165" s="105" t="s">
        <v>68</v>
      </c>
      <c r="H165" s="105" t="n">
        <v>9</v>
      </c>
      <c r="I165" s="105" t="n">
        <v>2</v>
      </c>
      <c r="J165" s="106" t="n">
        <v>8198.7</v>
      </c>
      <c r="K165" s="106" t="n">
        <v>7324.41</v>
      </c>
      <c r="L165" s="106" t="n">
        <v>0</v>
      </c>
      <c r="M165" s="107" t="n">
        <v>272</v>
      </c>
      <c r="N165" s="108" t="n">
        <f aca="false" ca="false" dt2D="false" dtr="false" t="normal">SUM(P165:T165)</f>
        <v>50864072.46000001</v>
      </c>
      <c r="O165" s="106" t="n"/>
      <c r="P165" s="114" t="n">
        <v>10676631.48</v>
      </c>
      <c r="Q165" s="114" t="n"/>
      <c r="R165" s="114" t="n">
        <v>1088675.32</v>
      </c>
      <c r="S165" s="114" t="n">
        <v>30794766.454</v>
      </c>
      <c r="T165" s="106" t="n">
        <v>8303999.20600001</v>
      </c>
      <c r="U165" s="114" t="n">
        <v>7343.96086237663</v>
      </c>
      <c r="V165" s="114" t="n">
        <v>7343.96086237663</v>
      </c>
      <c r="W165" s="110" t="n">
        <v>2022</v>
      </c>
      <c r="X165" s="9" t="e">
        <f aca="false" ca="false" dt2D="false" dtr="false" t="normal">+#REF!-'[9]Приложение №1'!$P831</f>
        <v>#REF!</v>
      </c>
      <c r="Z165" s="113" t="n">
        <f aca="false" ca="false" dt2D="false" dtr="false" t="normal">SUM(AA165:AO165)</f>
        <v>153375371.99</v>
      </c>
      <c r="AA165" s="106" t="n">
        <v>16985175.195665</v>
      </c>
      <c r="AB165" s="106" t="n">
        <v>11657010.3247345</v>
      </c>
      <c r="AC165" s="106" t="n">
        <v>7095832.95369354</v>
      </c>
      <c r="AD165" s="106" t="n">
        <v>6402113.40647172</v>
      </c>
      <c r="AE165" s="106" t="n">
        <v>0</v>
      </c>
      <c r="AF165" s="106" t="n"/>
      <c r="AG165" s="106" t="n">
        <v>817123.27375728</v>
      </c>
      <c r="AH165" s="106" t="n">
        <v>0</v>
      </c>
      <c r="AI165" s="106" t="n">
        <v>0</v>
      </c>
      <c r="AJ165" s="106" t="n">
        <v>0</v>
      </c>
      <c r="AK165" s="106" t="n">
        <v>71933654.7362929</v>
      </c>
      <c r="AL165" s="106" t="n">
        <v>18916996.7951836</v>
      </c>
      <c r="AM165" s="106" t="n">
        <v>15107603.6719</v>
      </c>
      <c r="AN165" s="114" t="n">
        <v>1533753.7199</v>
      </c>
      <c r="AO165" s="115" t="n">
        <v>2926107.91240148</v>
      </c>
      <c r="AP165" s="112" t="n">
        <f aca="false" ca="false" dt2D="false" dtr="false" t="normal">+N165-'Приложение №2'!E165</f>
        <v>0</v>
      </c>
      <c r="AQ165" s="1" t="n">
        <f aca="false" ca="false" dt2D="false" dtr="false" t="normal">4296548.24-1633012.98</f>
        <v>2663535.2600000002</v>
      </c>
      <c r="AR165" s="3" t="n">
        <f aca="false" ca="false" dt2D="false" dtr="false" t="normal">+(K165*13.29+L165*22.52)*12*0.85</f>
        <v>992882.37078</v>
      </c>
      <c r="AS165" s="3" t="n">
        <f aca="false" ca="false" dt2D="false" dtr="false" t="normal">+(K165*13.29+L165*22.52)*12*30-4248140.75</f>
        <v>30794766.453999996</v>
      </c>
      <c r="AT165" s="9" t="n">
        <f aca="false" ca="false" dt2D="false" dtr="false" t="normal">+S165-AS165</f>
        <v>0</v>
      </c>
      <c r="AW165" s="113" t="n">
        <f aca="false" ca="true" dt2D="false" dtr="false" t="normal">SUBTOTAL(9, AX165:BL165)</f>
        <v>53790180.38000001</v>
      </c>
      <c r="AX165" s="106" t="n">
        <v>5141989.9</v>
      </c>
      <c r="AY165" s="106" t="n"/>
      <c r="AZ165" s="106" t="n">
        <v>2714177.72</v>
      </c>
      <c r="BA165" s="106" t="n"/>
      <c r="BB165" s="106" t="n">
        <v>0</v>
      </c>
      <c r="BC165" s="106" t="n"/>
      <c r="BD165" s="106" t="n"/>
      <c r="BE165" s="106" t="n">
        <v>0</v>
      </c>
      <c r="BF165" s="106" t="n">
        <v>0</v>
      </c>
      <c r="BG165" s="106" t="n">
        <v>0</v>
      </c>
      <c r="BH165" s="106" t="n">
        <f aca="false" ca="false" dt2D="false" dtr="false" t="normal">37030869.74+5977035.1</f>
        <v>43007904.84</v>
      </c>
      <c r="BI165" s="106" t="n"/>
      <c r="BJ165" s="106" t="n"/>
      <c r="BK165" s="114" t="n"/>
      <c r="BL165" s="115" t="n">
        <v>2926107.92</v>
      </c>
      <c r="BM165" s="14" t="n">
        <f aca="false" ca="true" dt2D="false" dtr="false" t="normal">SUBTOTAL(9, BN165:CB165)</f>
        <v>53790180.38000001</v>
      </c>
      <c r="BN165" s="106" t="n">
        <v>5141989.9</v>
      </c>
      <c r="BO165" s="106" t="n"/>
      <c r="BP165" s="133" t="n">
        <v>2714177.72</v>
      </c>
      <c r="BQ165" s="106" t="n"/>
      <c r="BR165" s="106" t="n">
        <v>0</v>
      </c>
      <c r="BS165" s="106" t="n"/>
      <c r="BT165" s="106" t="n"/>
      <c r="BU165" s="106" t="n">
        <v>0</v>
      </c>
      <c r="BV165" s="106" t="n">
        <v>0</v>
      </c>
      <c r="BW165" s="106" t="n">
        <v>0</v>
      </c>
      <c r="BX165" s="106" t="n">
        <f aca="false" ca="false" dt2D="false" dtr="false" t="normal">37030869.74+5977035.1</f>
        <v>43007904.84</v>
      </c>
      <c r="BY165" s="106" t="n"/>
      <c r="BZ165" s="106" t="n"/>
      <c r="CA165" s="114" t="n"/>
      <c r="CB165" s="115" t="n">
        <v>2926107.92</v>
      </c>
      <c r="CD165" s="116" t="n">
        <f aca="false" ca="false" dt2D="false" dtr="false" t="normal">+CD164+1</f>
        <v>148</v>
      </c>
      <c r="CE165" s="117" t="n">
        <f aca="false" ca="false" dt2D="false" dtr="false" t="normal">+CE164+1</f>
        <v>148</v>
      </c>
      <c r="CF165" s="104" t="s">
        <v>227</v>
      </c>
      <c r="CG165" s="104" t="s">
        <v>243</v>
      </c>
      <c r="CH165" s="118" t="n">
        <f aca="false" ca="true" dt2D="false" dtr="false" t="normal">SUBTOTAL(9, CI165:CW165)</f>
        <v>53790180.38000001</v>
      </c>
      <c r="CI165" s="106" t="n">
        <v>5141989.9</v>
      </c>
      <c r="CJ165" s="106" t="n"/>
      <c r="CK165" s="133" t="n">
        <v>2714177.72</v>
      </c>
      <c r="CL165" s="106" t="n"/>
      <c r="CM165" s="106" t="n">
        <v>0</v>
      </c>
      <c r="CN165" s="106" t="n"/>
      <c r="CO165" s="106" t="n"/>
      <c r="CP165" s="106" t="n">
        <v>0</v>
      </c>
      <c r="CQ165" s="106" t="n">
        <v>0</v>
      </c>
      <c r="CR165" s="106" t="n">
        <v>0</v>
      </c>
      <c r="CS165" s="106" t="n">
        <f aca="false" ca="false" dt2D="false" dtr="false" t="normal">37030869.74+5977035.1</f>
        <v>43007904.84</v>
      </c>
      <c r="CT165" s="106" t="n"/>
      <c r="CU165" s="106" t="n"/>
      <c r="CV165" s="114" t="n"/>
      <c r="CW165" s="115" t="n">
        <v>2926107.92</v>
      </c>
      <c r="CZ165" s="104" t="s">
        <v>243</v>
      </c>
      <c r="DA165" s="119" t="n">
        <f aca="false" ca="true" dt2D="false" dtr="false" t="normal">SUBTOTAL(9, DB165:DP165)</f>
        <v>50864072.46000001</v>
      </c>
      <c r="DB165" s="106" t="n">
        <v>5141989.9</v>
      </c>
      <c r="DC165" s="106" t="n"/>
      <c r="DD165" s="133" t="n">
        <v>2714177.72</v>
      </c>
      <c r="DE165" s="106" t="n"/>
      <c r="DF165" s="106" t="n">
        <v>0</v>
      </c>
      <c r="DG165" s="106" t="n"/>
      <c r="DH165" s="106" t="n"/>
      <c r="DI165" s="106" t="n">
        <v>0</v>
      </c>
      <c r="DJ165" s="106" t="n">
        <v>0</v>
      </c>
      <c r="DK165" s="106" t="n">
        <v>0</v>
      </c>
      <c r="DL165" s="106" t="n">
        <f aca="false" ca="false" dt2D="false" dtr="false" t="normal">37030869.74+5977035.1</f>
        <v>43007904.84</v>
      </c>
      <c r="DM165" s="106" t="n"/>
      <c r="DN165" s="106" t="n"/>
      <c r="DO165" s="114" t="n"/>
      <c r="DP165" s="122" t="n"/>
      <c r="DQ165" s="3" t="n">
        <f aca="false" ca="false" dt2D="false" dtr="false" t="normal">N165-DA165</f>
        <v>0</v>
      </c>
      <c r="DS165" s="9" t="n"/>
    </row>
    <row hidden="false" ht="15" outlineLevel="0" r="166">
      <c r="A166" s="103" t="n">
        <f aca="false" ca="false" dt2D="false" dtr="false" t="normal">+A165+1</f>
        <v>149</v>
      </c>
      <c r="B166" s="104" t="n">
        <f aca="false" ca="false" dt2D="false" dtr="false" t="normal">+B165+1</f>
        <v>149</v>
      </c>
      <c r="C166" s="104" t="s">
        <v>227</v>
      </c>
      <c r="D166" s="104" t="s">
        <v>244</v>
      </c>
      <c r="E166" s="105" t="n">
        <v>1981</v>
      </c>
      <c r="F166" s="105" t="n">
        <v>2012</v>
      </c>
      <c r="G166" s="105" t="s">
        <v>68</v>
      </c>
      <c r="H166" s="105" t="n">
        <v>5</v>
      </c>
      <c r="I166" s="105" t="n">
        <v>7</v>
      </c>
      <c r="J166" s="106" t="n">
        <v>6927.5</v>
      </c>
      <c r="K166" s="106" t="n">
        <v>5314.16</v>
      </c>
      <c r="L166" s="106" t="n">
        <v>83.1</v>
      </c>
      <c r="M166" s="107" t="n">
        <v>173</v>
      </c>
      <c r="N166" s="108" t="n">
        <f aca="false" ca="false" dt2D="false" dtr="false" t="normal">SUM(P166:T166)</f>
        <v>15646094.83</v>
      </c>
      <c r="O166" s="106" t="n"/>
      <c r="P166" s="114" t="n">
        <v>0</v>
      </c>
      <c r="Q166" s="114" t="n"/>
      <c r="R166" s="114" t="n">
        <v>1307532.44</v>
      </c>
      <c r="S166" s="114" t="n">
        <v>14338562.39</v>
      </c>
      <c r="T166" s="106" t="n"/>
      <c r="U166" s="114" t="n">
        <v>3181.13099694292</v>
      </c>
      <c r="V166" s="114" t="n">
        <v>3181.13099694292</v>
      </c>
      <c r="W166" s="110" t="n">
        <v>2022</v>
      </c>
      <c r="X166" s="9" t="e">
        <f aca="false" ca="false" dt2D="false" dtr="false" t="normal">+#REF!-'[9]Приложение №1'!$P1205</f>
        <v>#REF!</v>
      </c>
      <c r="Z166" s="113" t="n">
        <f aca="false" ca="false" dt2D="false" dtr="false" t="normal">SUM(AA166:AO166)</f>
        <v>106077568.57000004</v>
      </c>
      <c r="AA166" s="106" t="n">
        <v>18055119.9571361</v>
      </c>
      <c r="AB166" s="106" t="n">
        <v>0</v>
      </c>
      <c r="AC166" s="106" t="n">
        <v>0</v>
      </c>
      <c r="AD166" s="106" t="n">
        <v>4330714.88484852</v>
      </c>
      <c r="AE166" s="106" t="n">
        <v>0</v>
      </c>
      <c r="AF166" s="106" t="n"/>
      <c r="AG166" s="106" t="n">
        <v>0</v>
      </c>
      <c r="AH166" s="106" t="n">
        <v>0</v>
      </c>
      <c r="AI166" s="106" t="n">
        <v>33967503.6578262</v>
      </c>
      <c r="AJ166" s="106" t="n">
        <v>0</v>
      </c>
      <c r="AK166" s="106" t="n">
        <v>17636148.1005776</v>
      </c>
      <c r="AL166" s="106" t="n">
        <v>19022357.1369989</v>
      </c>
      <c r="AM166" s="106" t="n">
        <v>9970968.5052</v>
      </c>
      <c r="AN166" s="114" t="n">
        <v>1060775.6857</v>
      </c>
      <c r="AO166" s="115" t="n">
        <v>2033980.64171274</v>
      </c>
      <c r="AP166" s="112" t="n">
        <f aca="false" ca="false" dt2D="false" dtr="false" t="normal">+N166-'Приложение №2'!E166</f>
        <v>0</v>
      </c>
      <c r="AQ166" s="1" t="n">
        <v>2353388.21</v>
      </c>
      <c r="AR166" s="3" t="n">
        <f aca="false" ca="false" dt2D="false" dtr="false" t="normal">+(K166*10+L166*20)*12*0.85</f>
        <v>558996.72</v>
      </c>
      <c r="AS166" s="3" t="n">
        <f aca="false" ca="false" dt2D="false" dtr="false" t="normal">+(K166*10+L166*20)*12*30</f>
        <v>19729296</v>
      </c>
      <c r="AT166" s="9" t="n">
        <f aca="false" ca="false" dt2D="false" dtr="false" t="normal">+S166-AS166</f>
        <v>-5390733.609999999</v>
      </c>
      <c r="AW166" s="113" t="n">
        <f aca="false" ca="true" dt2D="false" dtr="false" t="normal">SUBTOTAL(9, AX166:BL166)</f>
        <v>17169391.084560137</v>
      </c>
      <c r="AX166" s="106" t="n">
        <v>3172690.78</v>
      </c>
      <c r="AY166" s="106" t="n">
        <v>0</v>
      </c>
      <c r="AZ166" s="106" t="n">
        <v>0</v>
      </c>
      <c r="BA166" s="106" t="n"/>
      <c r="BB166" s="106" t="n">
        <v>0</v>
      </c>
      <c r="BC166" s="106" t="n"/>
      <c r="BD166" s="106" t="n"/>
      <c r="BE166" s="106" t="n">
        <v>0</v>
      </c>
      <c r="BF166" s="106" t="n">
        <v>5090700.49</v>
      </c>
      <c r="BG166" s="106" t="n">
        <v>0</v>
      </c>
      <c r="BH166" s="106" t="n">
        <v>7382703.56</v>
      </c>
      <c r="BI166" s="106" t="n"/>
      <c r="BJ166" s="106" t="n"/>
      <c r="BK166" s="114" t="n"/>
      <c r="BL166" s="115" t="n">
        <v>1523296.25456014</v>
      </c>
      <c r="BM166" s="14" t="n">
        <f aca="false" ca="true" dt2D="false" dtr="false" t="normal">SUBTOTAL(9, BN166:CB166)</f>
        <v>17169391.084560137</v>
      </c>
      <c r="BN166" s="106" t="n">
        <v>3172690.78</v>
      </c>
      <c r="BO166" s="106" t="n">
        <v>0</v>
      </c>
      <c r="BP166" s="133" t="n">
        <v>0</v>
      </c>
      <c r="BQ166" s="106" t="n"/>
      <c r="BR166" s="106" t="n">
        <v>0</v>
      </c>
      <c r="BS166" s="106" t="n"/>
      <c r="BT166" s="106" t="n"/>
      <c r="BU166" s="106" t="n">
        <v>0</v>
      </c>
      <c r="BV166" s="106" t="n">
        <v>5090700.49</v>
      </c>
      <c r="BW166" s="106" t="n">
        <v>0</v>
      </c>
      <c r="BX166" s="106" t="n">
        <v>7382703.56</v>
      </c>
      <c r="BY166" s="106" t="n"/>
      <c r="BZ166" s="106" t="n"/>
      <c r="CA166" s="114" t="n"/>
      <c r="CB166" s="115" t="n">
        <v>1523296.25456014</v>
      </c>
      <c r="CD166" s="116" t="n">
        <f aca="false" ca="false" dt2D="false" dtr="false" t="normal">+CD165+1</f>
        <v>149</v>
      </c>
      <c r="CE166" s="117" t="n">
        <f aca="false" ca="false" dt2D="false" dtr="false" t="normal">+CE165+1</f>
        <v>149</v>
      </c>
      <c r="CF166" s="104" t="s">
        <v>227</v>
      </c>
      <c r="CG166" s="104" t="s">
        <v>244</v>
      </c>
      <c r="CH166" s="118" t="n">
        <f aca="false" ca="true" dt2D="false" dtr="false" t="normal">SUBTOTAL(9, CI166:CW166)</f>
        <v>17169391.084560137</v>
      </c>
      <c r="CI166" s="106" t="n">
        <v>3172690.78</v>
      </c>
      <c r="CJ166" s="106" t="n">
        <v>0</v>
      </c>
      <c r="CK166" s="133" t="n">
        <v>0</v>
      </c>
      <c r="CL166" s="106" t="n"/>
      <c r="CM166" s="106" t="n">
        <v>0</v>
      </c>
      <c r="CN166" s="106" t="n"/>
      <c r="CO166" s="106" t="n"/>
      <c r="CP166" s="106" t="n">
        <v>0</v>
      </c>
      <c r="CQ166" s="106" t="n">
        <v>5090700.49</v>
      </c>
      <c r="CR166" s="106" t="n">
        <v>0</v>
      </c>
      <c r="CS166" s="106" t="n">
        <v>7382703.56</v>
      </c>
      <c r="CT166" s="106" t="n"/>
      <c r="CU166" s="106" t="n"/>
      <c r="CV166" s="114" t="n"/>
      <c r="CW166" s="115" t="n">
        <v>1523296.25456014</v>
      </c>
      <c r="CZ166" s="104" t="s">
        <v>244</v>
      </c>
      <c r="DA166" s="119" t="n">
        <f aca="false" ca="true" dt2D="false" dtr="false" t="normal">SUBTOTAL(9, DB166:DP166)</f>
        <v>15646094.829999998</v>
      </c>
      <c r="DB166" s="106" t="n">
        <v>3172690.78</v>
      </c>
      <c r="DC166" s="106" t="n">
        <v>0</v>
      </c>
      <c r="DD166" s="133" t="n">
        <v>0</v>
      </c>
      <c r="DE166" s="106" t="n"/>
      <c r="DF166" s="106" t="n">
        <v>0</v>
      </c>
      <c r="DG166" s="106" t="n"/>
      <c r="DH166" s="106" t="n"/>
      <c r="DI166" s="106" t="n">
        <v>0</v>
      </c>
      <c r="DJ166" s="106" t="n">
        <v>5090700.49</v>
      </c>
      <c r="DK166" s="106" t="n">
        <v>0</v>
      </c>
      <c r="DL166" s="106" t="n">
        <v>7382703.56</v>
      </c>
      <c r="DM166" s="106" t="n"/>
      <c r="DN166" s="106" t="n"/>
      <c r="DO166" s="114" t="n"/>
      <c r="DP166" s="122" t="n"/>
      <c r="DQ166" s="3" t="n">
        <f aca="false" ca="false" dt2D="false" dtr="false" t="normal">N166-DA166</f>
        <v>0</v>
      </c>
      <c r="DS166" s="9" t="n"/>
    </row>
    <row hidden="false" ht="15" outlineLevel="0" r="167">
      <c r="A167" s="103" t="n">
        <f aca="false" ca="false" dt2D="false" dtr="false" t="normal">+A166+1</f>
        <v>150</v>
      </c>
      <c r="B167" s="104" t="n">
        <f aca="false" ca="false" dt2D="false" dtr="false" t="normal">+B166+1</f>
        <v>150</v>
      </c>
      <c r="C167" s="104" t="s">
        <v>227</v>
      </c>
      <c r="D167" s="104" t="s">
        <v>245</v>
      </c>
      <c r="E167" s="105" t="n">
        <v>1993</v>
      </c>
      <c r="F167" s="105" t="n">
        <v>2014</v>
      </c>
      <c r="G167" s="105" t="s">
        <v>68</v>
      </c>
      <c r="H167" s="105" t="n">
        <v>9</v>
      </c>
      <c r="I167" s="105" t="n">
        <v>1</v>
      </c>
      <c r="J167" s="106" t="n">
        <v>2553.4</v>
      </c>
      <c r="K167" s="106" t="n">
        <v>2128.8</v>
      </c>
      <c r="L167" s="106" t="n">
        <v>0</v>
      </c>
      <c r="M167" s="107" t="n">
        <v>78</v>
      </c>
      <c r="N167" s="108" t="n">
        <f aca="false" ca="false" dt2D="false" dtr="false" t="normal">SUM(P167:T167)</f>
        <v>580989.24</v>
      </c>
      <c r="O167" s="106" t="n"/>
      <c r="P167" s="114" t="n"/>
      <c r="Q167" s="114" t="n"/>
      <c r="R167" s="114" t="n">
        <v>580989.24</v>
      </c>
      <c r="S167" s="114" t="n"/>
      <c r="T167" s="106" t="n"/>
      <c r="U167" s="114" t="n">
        <v>543.057560212007</v>
      </c>
      <c r="V167" s="114" t="n">
        <v>543.057560212007</v>
      </c>
      <c r="W167" s="110" t="n">
        <v>2022</v>
      </c>
      <c r="X167" s="9" t="e">
        <f aca="false" ca="false" dt2D="false" dtr="false" t="normal">+#REF!-'[9]Приложение №1'!$P833</f>
        <v>#REF!</v>
      </c>
      <c r="Z167" s="113" t="n">
        <f aca="false" ca="false" dt2D="false" dtr="false" t="normal">SUM(AA167:AO167)</f>
        <v>44395710.679999955</v>
      </c>
      <c r="AA167" s="106" t="n">
        <v>4916492.87334114</v>
      </c>
      <c r="AB167" s="106" t="n">
        <v>3374213.54608464</v>
      </c>
      <c r="AC167" s="106" t="n">
        <v>2053944.79409448</v>
      </c>
      <c r="AD167" s="106" t="n">
        <v>1853142.20463204</v>
      </c>
      <c r="AE167" s="106" t="n">
        <v>0</v>
      </c>
      <c r="AF167" s="106" t="n"/>
      <c r="AG167" s="106" t="n">
        <v>236522.7739728</v>
      </c>
      <c r="AH167" s="106" t="n">
        <v>0</v>
      </c>
      <c r="AI167" s="106" t="n">
        <v>0</v>
      </c>
      <c r="AJ167" s="106" t="n">
        <v>0</v>
      </c>
      <c r="AK167" s="106" t="n">
        <v>20821763.5081751</v>
      </c>
      <c r="AL167" s="106" t="n">
        <v>5475673.87144554</v>
      </c>
      <c r="AM167" s="106" t="n">
        <v>4373014.9959</v>
      </c>
      <c r="AN167" s="114" t="n">
        <v>443957.1068</v>
      </c>
      <c r="AO167" s="115" t="n">
        <v>846985.00555422</v>
      </c>
      <c r="AP167" s="112" t="n">
        <f aca="false" ca="false" dt2D="false" dtr="false" t="normal">+N167-'Приложение №2'!E167</f>
        <v>0</v>
      </c>
      <c r="AQ167" s="1" t="n">
        <f aca="false" ca="false" dt2D="false" dtr="false" t="normal">1103126.79-79353.74-714183.7328</f>
        <v>309589.31720000005</v>
      </c>
      <c r="AR167" s="3" t="n">
        <f aca="false" ca="false" dt2D="false" dtr="false" t="normal">+(K167*13.29+L167*22.52)*12*0.85</f>
        <v>288575.87039999996</v>
      </c>
      <c r="AS167" s="3" t="n">
        <f aca="false" ca="false" dt2D="false" dtr="false" t="normal">+(K167*13.29+L167*22.52)*12*30-300950.5-2600695.91</f>
        <v>7283384.309999999</v>
      </c>
      <c r="AT167" s="9" t="n">
        <f aca="false" ca="false" dt2D="false" dtr="false" t="normal">+S167-AS167</f>
        <v>-7283384.309999999</v>
      </c>
      <c r="AW167" s="113" t="n">
        <f aca="false" ca="true" dt2D="false" dtr="false" t="normal">SUBTOTAL(9, AX167:BL167)</f>
        <v>1156060.93417932</v>
      </c>
      <c r="AX167" s="106" t="n"/>
      <c r="AY167" s="106" t="n"/>
      <c r="AZ167" s="106" t="n"/>
      <c r="BA167" s="106" t="n"/>
      <c r="BB167" s="106" t="n"/>
      <c r="BC167" s="106" t="n"/>
      <c r="BD167" s="106" t="n"/>
      <c r="BE167" s="106" t="n">
        <v>0</v>
      </c>
      <c r="BF167" s="106" t="n">
        <v>0</v>
      </c>
      <c r="BG167" s="106" t="n">
        <v>0</v>
      </c>
      <c r="BH167" s="106" t="n"/>
      <c r="BI167" s="106" t="n">
        <v>580989.24</v>
      </c>
      <c r="BJ167" s="106" t="n"/>
      <c r="BK167" s="114" t="n"/>
      <c r="BL167" s="115" t="n">
        <v>575071.69417932</v>
      </c>
      <c r="BM167" s="14" t="n">
        <f aca="false" ca="true" dt2D="false" dtr="false" t="normal">SUBTOTAL(9, BN167:CB167)</f>
        <v>1156060.93417932</v>
      </c>
      <c r="BN167" s="106" t="n"/>
      <c r="BO167" s="106" t="n"/>
      <c r="BP167" s="133" t="n"/>
      <c r="BQ167" s="106" t="n"/>
      <c r="BR167" s="106" t="n"/>
      <c r="BS167" s="106" t="n"/>
      <c r="BT167" s="106" t="n"/>
      <c r="BU167" s="106" t="n">
        <v>0</v>
      </c>
      <c r="BV167" s="106" t="n">
        <v>0</v>
      </c>
      <c r="BW167" s="106" t="n">
        <v>0</v>
      </c>
      <c r="BX167" s="106" t="n"/>
      <c r="BY167" s="106" t="n">
        <v>580989.24</v>
      </c>
      <c r="BZ167" s="106" t="n"/>
      <c r="CA167" s="114" t="n"/>
      <c r="CB167" s="115" t="n">
        <v>575071.69417932</v>
      </c>
      <c r="CD167" s="116" t="n">
        <f aca="false" ca="false" dt2D="false" dtr="false" t="normal">+CD166+1</f>
        <v>150</v>
      </c>
      <c r="CE167" s="117" t="n">
        <f aca="false" ca="false" dt2D="false" dtr="false" t="normal">+CE166+1</f>
        <v>150</v>
      </c>
      <c r="CF167" s="104" t="s">
        <v>227</v>
      </c>
      <c r="CG167" s="104" t="s">
        <v>245</v>
      </c>
      <c r="CH167" s="118" t="n">
        <f aca="false" ca="true" dt2D="false" dtr="false" t="normal">SUBTOTAL(9, CI167:CW167)</f>
        <v>1156060.93417932</v>
      </c>
      <c r="CI167" s="106" t="n"/>
      <c r="CJ167" s="106" t="n"/>
      <c r="CK167" s="133" t="n"/>
      <c r="CL167" s="106" t="n"/>
      <c r="CM167" s="106" t="n"/>
      <c r="CN167" s="106" t="n"/>
      <c r="CO167" s="106" t="n"/>
      <c r="CP167" s="106" t="n">
        <v>0</v>
      </c>
      <c r="CQ167" s="106" t="n">
        <v>0</v>
      </c>
      <c r="CR167" s="106" t="n">
        <v>0</v>
      </c>
      <c r="CS167" s="106" t="n"/>
      <c r="CT167" s="106" t="n">
        <v>580989.24</v>
      </c>
      <c r="CU167" s="106" t="n"/>
      <c r="CV167" s="114" t="n"/>
      <c r="CW167" s="115" t="n">
        <v>575071.69417932</v>
      </c>
      <c r="CZ167" s="104" t="s">
        <v>245</v>
      </c>
      <c r="DA167" s="119" t="n">
        <f aca="false" ca="true" dt2D="false" dtr="false" t="normal">SUBTOTAL(9, DB167:DP167)</f>
        <v>580989.24</v>
      </c>
      <c r="DB167" s="106" t="n"/>
      <c r="DC167" s="106" t="n"/>
      <c r="DD167" s="133" t="n"/>
      <c r="DE167" s="106" t="n"/>
      <c r="DF167" s="106" t="n"/>
      <c r="DG167" s="106" t="n"/>
      <c r="DH167" s="106" t="n"/>
      <c r="DI167" s="106" t="n">
        <v>0</v>
      </c>
      <c r="DJ167" s="106" t="n">
        <v>0</v>
      </c>
      <c r="DK167" s="106" t="n">
        <v>0</v>
      </c>
      <c r="DL167" s="106" t="n"/>
      <c r="DM167" s="106" t="n">
        <v>580989.24</v>
      </c>
      <c r="DN167" s="106" t="n"/>
      <c r="DO167" s="114" t="n"/>
      <c r="DP167" s="122" t="n"/>
      <c r="DQ167" s="3" t="n">
        <f aca="false" ca="false" dt2D="false" dtr="false" t="normal">N167-DA167</f>
        <v>0</v>
      </c>
      <c r="DS167" s="9" t="n"/>
    </row>
    <row hidden="false" ht="15" outlineLevel="0" r="168">
      <c r="A168" s="103" t="n">
        <f aca="false" ca="false" dt2D="false" dtr="false" t="normal">+A167+1</f>
        <v>151</v>
      </c>
      <c r="B168" s="104" t="n">
        <f aca="false" ca="false" dt2D="false" dtr="false" t="normal">+B167+1</f>
        <v>151</v>
      </c>
      <c r="C168" s="104" t="s">
        <v>227</v>
      </c>
      <c r="D168" s="104" t="s">
        <v>246</v>
      </c>
      <c r="E168" s="105" t="n">
        <v>1972</v>
      </c>
      <c r="F168" s="105" t="n">
        <v>2013</v>
      </c>
      <c r="G168" s="105" t="s">
        <v>68</v>
      </c>
      <c r="H168" s="105" t="n">
        <v>4</v>
      </c>
      <c r="I168" s="105" t="n">
        <v>6</v>
      </c>
      <c r="J168" s="106" t="n">
        <v>4437.9</v>
      </c>
      <c r="K168" s="106" t="n">
        <v>4088.2</v>
      </c>
      <c r="L168" s="106" t="n">
        <v>0</v>
      </c>
      <c r="M168" s="107" t="n">
        <v>207</v>
      </c>
      <c r="N168" s="108" t="n">
        <f aca="false" ca="false" dt2D="false" dtr="false" t="normal">SUM(P168:T168)</f>
        <v>7632409.283</v>
      </c>
      <c r="O168" s="106" t="n"/>
      <c r="P168" s="114" t="n">
        <v>2746655.59</v>
      </c>
      <c r="Q168" s="114" t="n"/>
      <c r="R168" s="114" t="n">
        <v>501539.16</v>
      </c>
      <c r="S168" s="114" t="n">
        <v>4384214.533</v>
      </c>
      <c r="T168" s="106" t="n"/>
      <c r="U168" s="114" t="n">
        <v>1973.00885691057</v>
      </c>
      <c r="V168" s="114" t="n">
        <v>1973.00885691057</v>
      </c>
      <c r="W168" s="110" t="n">
        <v>2022</v>
      </c>
      <c r="X168" s="9" t="e">
        <f aca="false" ca="false" dt2D="false" dtr="false" t="normal">+#REF!-'[9]Приложение №1'!$P1223</f>
        <v>#REF!</v>
      </c>
      <c r="Z168" s="113" t="n">
        <f aca="false" ca="false" dt2D="false" dtr="false" t="normal">SUM(AA168:AO168)</f>
        <v>26371012.2924</v>
      </c>
      <c r="AA168" s="106" t="n">
        <v>12305507</v>
      </c>
      <c r="AB168" s="106" t="n">
        <v>4288000.488975</v>
      </c>
      <c r="AC168" s="106" t="n">
        <v>4479954.27387144</v>
      </c>
      <c r="AD168" s="106" t="n">
        <v>3127291</v>
      </c>
      <c r="AE168" s="106" t="n">
        <v>0</v>
      </c>
      <c r="AF168" s="106" t="n"/>
      <c r="AG168" s="106" t="n">
        <v>386031.94970676</v>
      </c>
      <c r="AH168" s="106" t="n">
        <v>0</v>
      </c>
      <c r="AI168" s="106" t="n">
        <v>0</v>
      </c>
      <c r="AJ168" s="106" t="n">
        <v>0</v>
      </c>
      <c r="AK168" s="106" t="n">
        <v>0</v>
      </c>
      <c r="AL168" s="106" t="n">
        <v>0</v>
      </c>
      <c r="AM168" s="106" t="n">
        <v>1122564.2277</v>
      </c>
      <c r="AN168" s="114" t="n">
        <v>134247.9403</v>
      </c>
      <c r="AO168" s="115" t="n">
        <v>527415.4118468</v>
      </c>
      <c r="AP168" s="112" t="n">
        <f aca="false" ca="false" dt2D="false" dtr="false" t="normal">+N168-'Приложение №2'!E168</f>
        <v>0</v>
      </c>
      <c r="AQ168" s="1" t="n">
        <v>1932968.35</v>
      </c>
      <c r="AR168" s="3" t="n">
        <f aca="false" ca="false" dt2D="false" dtr="false" t="normal">+(K168*10+L168*20)*12*0.85</f>
        <v>416996.39999999997</v>
      </c>
      <c r="AS168" s="3" t="n">
        <f aca="false" ca="false" dt2D="false" dtr="false" t="normal">+(K168*10+L168*20)*12*30</f>
        <v>14717520</v>
      </c>
      <c r="AT168" s="9" t="n">
        <f aca="false" ca="false" dt2D="false" dtr="false" t="normal">+S168-AS168</f>
        <v>-10333305.467</v>
      </c>
      <c r="AW168" s="113" t="n">
        <f aca="false" ca="true" dt2D="false" dtr="false" t="normal">SUBTOTAL(9, AX168:BL168)</f>
        <v>8066054.8088218</v>
      </c>
      <c r="AX168" s="106" t="n"/>
      <c r="AY168" s="106" t="n"/>
      <c r="AZ168" s="106" t="n">
        <v>3648621.62</v>
      </c>
      <c r="BA168" s="106" t="n">
        <v>3268542.62</v>
      </c>
      <c r="BB168" s="106" t="n">
        <v>0</v>
      </c>
      <c r="BC168" s="106" t="n"/>
      <c r="BD168" s="106" t="n"/>
      <c r="BE168" s="106" t="n">
        <v>0</v>
      </c>
      <c r="BF168" s="106" t="n">
        <v>0</v>
      </c>
      <c r="BG168" s="106" t="n">
        <v>0</v>
      </c>
      <c r="BH168" s="106" t="n">
        <v>0</v>
      </c>
      <c r="BI168" s="106" t="n">
        <v>0</v>
      </c>
      <c r="BJ168" s="106" t="n">
        <v>630230.4777</v>
      </c>
      <c r="BK168" s="114" t="n">
        <v>85014.5653</v>
      </c>
      <c r="BL168" s="115" t="n">
        <v>433645.5258218</v>
      </c>
      <c r="BM168" s="14" t="n">
        <f aca="false" ca="true" dt2D="false" dtr="false" t="normal">SUBTOTAL(9, BN168:CB168)</f>
        <v>8066054.8088218</v>
      </c>
      <c r="BN168" s="106" t="n"/>
      <c r="BO168" s="106" t="n"/>
      <c r="BP168" s="133" t="n">
        <v>3648621.62</v>
      </c>
      <c r="BQ168" s="106" t="n">
        <v>3268542.62</v>
      </c>
      <c r="BR168" s="106" t="n">
        <v>0</v>
      </c>
      <c r="BS168" s="106" t="n"/>
      <c r="BT168" s="106" t="n"/>
      <c r="BU168" s="106" t="n">
        <v>0</v>
      </c>
      <c r="BV168" s="106" t="n">
        <v>0</v>
      </c>
      <c r="BW168" s="106" t="n">
        <v>0</v>
      </c>
      <c r="BX168" s="106" t="n">
        <v>0</v>
      </c>
      <c r="BY168" s="106" t="n">
        <v>0</v>
      </c>
      <c r="BZ168" s="106" t="n">
        <v>630230.4777</v>
      </c>
      <c r="CA168" s="114" t="n">
        <v>85014.5653</v>
      </c>
      <c r="CB168" s="115" t="n">
        <v>433645.5258218</v>
      </c>
      <c r="CD168" s="116" t="n">
        <f aca="false" ca="false" dt2D="false" dtr="false" t="normal">+CD167+1</f>
        <v>151</v>
      </c>
      <c r="CE168" s="117" t="n">
        <f aca="false" ca="false" dt2D="false" dtr="false" t="normal">+CE167+1</f>
        <v>151</v>
      </c>
      <c r="CF168" s="104" t="s">
        <v>227</v>
      </c>
      <c r="CG168" s="104" t="s">
        <v>246</v>
      </c>
      <c r="CH168" s="118" t="n">
        <f aca="false" ca="true" dt2D="false" dtr="false" t="normal">SUBTOTAL(9, CI168:CW168)</f>
        <v>8066054.8088218</v>
      </c>
      <c r="CI168" s="106" t="n"/>
      <c r="CJ168" s="106" t="n"/>
      <c r="CK168" s="133" t="n">
        <v>3648621.62</v>
      </c>
      <c r="CL168" s="106" t="n">
        <v>3268542.62</v>
      </c>
      <c r="CM168" s="106" t="n">
        <v>0</v>
      </c>
      <c r="CN168" s="106" t="n"/>
      <c r="CO168" s="106" t="n"/>
      <c r="CP168" s="106" t="n">
        <v>0</v>
      </c>
      <c r="CQ168" s="106" t="n">
        <v>0</v>
      </c>
      <c r="CR168" s="106" t="n">
        <v>0</v>
      </c>
      <c r="CS168" s="106" t="n">
        <v>0</v>
      </c>
      <c r="CT168" s="106" t="n">
        <v>0</v>
      </c>
      <c r="CU168" s="106" t="n">
        <v>630230.4777</v>
      </c>
      <c r="CV168" s="114" t="n">
        <v>85014.5653</v>
      </c>
      <c r="CW168" s="115" t="n">
        <v>433645.5258218</v>
      </c>
      <c r="CZ168" s="104" t="s">
        <v>246</v>
      </c>
      <c r="DA168" s="119" t="n">
        <f aca="false" ca="true" dt2D="false" dtr="false" t="normal">SUBTOTAL(9, DB168:DP168)</f>
        <v>7632409.283</v>
      </c>
      <c r="DB168" s="106" t="n"/>
      <c r="DC168" s="106" t="n"/>
      <c r="DD168" s="133" t="n">
        <v>3648621.62</v>
      </c>
      <c r="DE168" s="106" t="n">
        <v>3268542.62</v>
      </c>
      <c r="DF168" s="106" t="n">
        <v>0</v>
      </c>
      <c r="DG168" s="106" t="n"/>
      <c r="DH168" s="106" t="n"/>
      <c r="DI168" s="106" t="n">
        <v>0</v>
      </c>
      <c r="DJ168" s="106" t="n">
        <v>0</v>
      </c>
      <c r="DK168" s="106" t="n">
        <v>0</v>
      </c>
      <c r="DL168" s="106" t="n">
        <v>0</v>
      </c>
      <c r="DM168" s="106" t="n">
        <v>0</v>
      </c>
      <c r="DN168" s="106" t="n">
        <v>630230.4777</v>
      </c>
      <c r="DO168" s="114" t="n">
        <v>85014.5653</v>
      </c>
      <c r="DP168" s="122" t="n"/>
      <c r="DQ168" s="3" t="n">
        <f aca="false" ca="false" dt2D="false" dtr="false" t="normal">N168-DA168</f>
        <v>0</v>
      </c>
      <c r="DS168" s="9" t="n"/>
    </row>
    <row hidden="false" ht="15" outlineLevel="0" r="169">
      <c r="A169" s="103" t="n">
        <f aca="false" ca="false" dt2D="false" dtr="false" t="normal">+A168+1</f>
        <v>152</v>
      </c>
      <c r="B169" s="104" t="n">
        <f aca="false" ca="false" dt2D="false" dtr="false" t="normal">+B168+1</f>
        <v>152</v>
      </c>
      <c r="C169" s="104" t="s">
        <v>247</v>
      </c>
      <c r="D169" s="104" t="s">
        <v>248</v>
      </c>
      <c r="E169" s="105" t="n">
        <v>1985</v>
      </c>
      <c r="F169" s="105" t="n">
        <v>1985</v>
      </c>
      <c r="G169" s="105" t="s">
        <v>68</v>
      </c>
      <c r="H169" s="105" t="n">
        <v>5</v>
      </c>
      <c r="I169" s="105" t="n">
        <v>4</v>
      </c>
      <c r="J169" s="106" t="n">
        <v>4957.5</v>
      </c>
      <c r="K169" s="106" t="n">
        <v>4305.4</v>
      </c>
      <c r="L169" s="106" t="n">
        <v>651.2</v>
      </c>
      <c r="M169" s="107" t="n">
        <v>166</v>
      </c>
      <c r="N169" s="108" t="n">
        <f aca="false" ca="false" dt2D="false" dtr="false" t="normal">SUM(P169:T169)</f>
        <v>9398785.45</v>
      </c>
      <c r="O169" s="106" t="n"/>
      <c r="P169" s="114" t="n"/>
      <c r="Q169" s="114" t="n"/>
      <c r="R169" s="114" t="n">
        <v>2359386</v>
      </c>
      <c r="S169" s="114" t="n">
        <v>7039399.45</v>
      </c>
      <c r="T169" s="106" t="n"/>
      <c r="U169" s="114" t="n">
        <v>2081.42907697214</v>
      </c>
      <c r="V169" s="114" t="n">
        <v>2081.42907697214</v>
      </c>
      <c r="W169" s="110" t="n">
        <v>2022</v>
      </c>
      <c r="X169" s="9" t="e">
        <f aca="false" ca="false" dt2D="false" dtr="false" t="normal">+#REF!-'[9]Приложение №1'!$P1399</f>
        <v>#REF!</v>
      </c>
      <c r="Z169" s="113" t="n">
        <f aca="false" ca="false" dt2D="false" dtr="false" t="normal">SUM(AA169:AO169)</f>
        <v>19423335.669999976</v>
      </c>
      <c r="AA169" s="106" t="n">
        <v>12305784.6204766</v>
      </c>
      <c r="AB169" s="106" t="n">
        <v>4512564.08064336</v>
      </c>
      <c r="AC169" s="106" t="n">
        <v>0</v>
      </c>
      <c r="AD169" s="106" t="n">
        <v>0</v>
      </c>
      <c r="AE169" s="106" t="n">
        <v>0</v>
      </c>
      <c r="AF169" s="106" t="n"/>
      <c r="AG169" s="106" t="n">
        <v>406248.53806488</v>
      </c>
      <c r="AH169" s="106" t="n">
        <v>0</v>
      </c>
      <c r="AI169" s="106" t="n">
        <v>0</v>
      </c>
      <c r="AJ169" s="106" t="n">
        <v>0</v>
      </c>
      <c r="AK169" s="106" t="n">
        <v>0</v>
      </c>
      <c r="AL169" s="106" t="n">
        <v>0</v>
      </c>
      <c r="AM169" s="106" t="n">
        <v>1627838.0182</v>
      </c>
      <c r="AN169" s="114" t="n">
        <v>194233.3567</v>
      </c>
      <c r="AO169" s="115" t="n">
        <v>376667.05591514</v>
      </c>
      <c r="AP169" s="112" t="n">
        <f aca="false" ca="false" dt2D="false" dtr="false" t="normal">+N169-'Приложение №2'!E169</f>
        <v>0</v>
      </c>
      <c r="AQ169" s="1" t="n">
        <v>2028653.94</v>
      </c>
      <c r="AR169" s="3" t="n">
        <f aca="false" ca="false" dt2D="false" dtr="false" t="normal">+(K169*10+L169*20)*12*0.85</f>
        <v>571995.6</v>
      </c>
      <c r="AS169" s="3" t="n">
        <f aca="false" ca="false" dt2D="false" dtr="false" t="normal">+(K169*10+L169*20)*12*30</f>
        <v>20188080</v>
      </c>
      <c r="AT169" s="9" t="n">
        <f aca="false" ca="false" dt2D="false" dtr="false" t="normal">+S169-AS169</f>
        <v>-13148680.55</v>
      </c>
      <c r="AW169" s="113" t="n">
        <f aca="false" ca="true" dt2D="false" dtr="false" t="normal">SUBTOTAL(9, AX169:BL169)</f>
        <v>10316811.362920118</v>
      </c>
      <c r="AX169" s="106" t="n"/>
      <c r="AY169" s="106" t="n"/>
      <c r="AZ169" s="106" t="n">
        <v>0</v>
      </c>
      <c r="BA169" s="106" t="n">
        <v>0</v>
      </c>
      <c r="BB169" s="106" t="n">
        <v>0</v>
      </c>
      <c r="BC169" s="106" t="n"/>
      <c r="BD169" s="106" t="n"/>
      <c r="BE169" s="106" t="n">
        <v>0</v>
      </c>
      <c r="BF169" s="106" t="n">
        <v>9398785.45</v>
      </c>
      <c r="BG169" s="106" t="n">
        <v>0</v>
      </c>
      <c r="BH169" s="106" t="n">
        <v>0</v>
      </c>
      <c r="BI169" s="106" t="n">
        <v>0</v>
      </c>
      <c r="BJ169" s="106" t="n"/>
      <c r="BK169" s="114" t="n"/>
      <c r="BL169" s="115" t="n">
        <v>918025.91292012</v>
      </c>
      <c r="BM169" s="14" t="n">
        <f aca="false" ca="true" dt2D="false" dtr="false" t="normal">SUBTOTAL(9, BN169:CB169)</f>
        <v>10316811.362920118</v>
      </c>
      <c r="BN169" s="106" t="n"/>
      <c r="BO169" s="106" t="n"/>
      <c r="BP169" s="133" t="n">
        <v>0</v>
      </c>
      <c r="BQ169" s="106" t="n">
        <v>0</v>
      </c>
      <c r="BR169" s="106" t="n">
        <v>0</v>
      </c>
      <c r="BS169" s="106" t="n"/>
      <c r="BT169" s="106" t="n"/>
      <c r="BU169" s="106" t="n">
        <v>0</v>
      </c>
      <c r="BV169" s="106" t="n">
        <v>9398785.45</v>
      </c>
      <c r="BW169" s="106" t="n">
        <v>0</v>
      </c>
      <c r="BX169" s="106" t="n">
        <v>0</v>
      </c>
      <c r="BY169" s="106" t="n">
        <v>0</v>
      </c>
      <c r="BZ169" s="106" t="n"/>
      <c r="CA169" s="114" t="n"/>
      <c r="CB169" s="115" t="n">
        <v>918025.91292012</v>
      </c>
      <c r="CD169" s="116" t="n">
        <f aca="false" ca="false" dt2D="false" dtr="false" t="normal">+CD168+1</f>
        <v>152</v>
      </c>
      <c r="CE169" s="117" t="n">
        <f aca="false" ca="false" dt2D="false" dtr="false" t="normal">+CE168+1</f>
        <v>152</v>
      </c>
      <c r="CF169" s="104" t="s">
        <v>247</v>
      </c>
      <c r="CG169" s="104" t="s">
        <v>248</v>
      </c>
      <c r="CH169" s="118" t="n">
        <f aca="false" ca="true" dt2D="false" dtr="false" t="normal">SUBTOTAL(9, CI169:CW169)</f>
        <v>10316811.362920118</v>
      </c>
      <c r="CI169" s="106" t="n"/>
      <c r="CJ169" s="106" t="n"/>
      <c r="CK169" s="133" t="n">
        <v>0</v>
      </c>
      <c r="CL169" s="106" t="n">
        <v>0</v>
      </c>
      <c r="CM169" s="106" t="n">
        <v>0</v>
      </c>
      <c r="CN169" s="106" t="n"/>
      <c r="CO169" s="106" t="n"/>
      <c r="CP169" s="106" t="n">
        <v>0</v>
      </c>
      <c r="CQ169" s="106" t="n">
        <v>9398785.45</v>
      </c>
      <c r="CR169" s="106" t="n">
        <v>0</v>
      </c>
      <c r="CS169" s="106" t="n">
        <v>0</v>
      </c>
      <c r="CT169" s="106" t="n">
        <v>0</v>
      </c>
      <c r="CU169" s="106" t="n"/>
      <c r="CV169" s="114" t="n"/>
      <c r="CW169" s="115" t="n">
        <v>918025.91292012</v>
      </c>
      <c r="CZ169" s="104" t="s">
        <v>248</v>
      </c>
      <c r="DA169" s="119" t="n">
        <f aca="false" ca="true" dt2D="false" dtr="false" t="normal">SUBTOTAL(9, DB169:DP169)</f>
        <v>9398785.45</v>
      </c>
      <c r="DB169" s="106" t="n"/>
      <c r="DC169" s="106" t="n"/>
      <c r="DD169" s="133" t="n">
        <v>0</v>
      </c>
      <c r="DE169" s="106" t="n">
        <v>0</v>
      </c>
      <c r="DF169" s="106" t="n">
        <v>0</v>
      </c>
      <c r="DG169" s="106" t="n"/>
      <c r="DH169" s="106" t="n"/>
      <c r="DI169" s="106" t="n">
        <v>0</v>
      </c>
      <c r="DJ169" s="106" t="n">
        <v>9398785.45</v>
      </c>
      <c r="DK169" s="106" t="n">
        <v>0</v>
      </c>
      <c r="DL169" s="106" t="n">
        <v>0</v>
      </c>
      <c r="DM169" s="106" t="n">
        <v>0</v>
      </c>
      <c r="DN169" s="106" t="n"/>
      <c r="DO169" s="114" t="n"/>
      <c r="DP169" s="122" t="n"/>
      <c r="DQ169" s="3" t="n">
        <f aca="false" ca="false" dt2D="false" dtr="false" t="normal">N169-DA169</f>
        <v>0</v>
      </c>
      <c r="DS169" s="9" t="n"/>
    </row>
    <row hidden="false" ht="15" outlineLevel="0" r="170">
      <c r="A170" s="103" t="n">
        <f aca="false" ca="false" dt2D="false" dtr="false" t="normal">+A169+1</f>
        <v>153</v>
      </c>
      <c r="B170" s="104" t="n">
        <f aca="false" ca="false" dt2D="false" dtr="false" t="normal">+B169+1</f>
        <v>153</v>
      </c>
      <c r="C170" s="104" t="s">
        <v>247</v>
      </c>
      <c r="D170" s="104" t="s">
        <v>249</v>
      </c>
      <c r="E170" s="105" t="n">
        <v>1988</v>
      </c>
      <c r="F170" s="105" t="n">
        <v>1988</v>
      </c>
      <c r="G170" s="105" t="s">
        <v>68</v>
      </c>
      <c r="H170" s="105" t="n">
        <v>5</v>
      </c>
      <c r="I170" s="105" t="n">
        <v>4</v>
      </c>
      <c r="J170" s="106" t="n">
        <v>5038.4</v>
      </c>
      <c r="K170" s="106" t="n">
        <v>3442.8</v>
      </c>
      <c r="L170" s="106" t="n">
        <v>1586</v>
      </c>
      <c r="M170" s="107" t="n">
        <v>156</v>
      </c>
      <c r="N170" s="108" t="n">
        <f aca="false" ca="false" dt2D="false" dtr="false" t="normal">SUM(P170:T170)</f>
        <v>9546866.397</v>
      </c>
      <c r="O170" s="106" t="n"/>
      <c r="P170" s="114" t="n"/>
      <c r="Q170" s="114" t="n"/>
      <c r="R170" s="114" t="n">
        <v>2876903.01</v>
      </c>
      <c r="S170" s="114" t="n">
        <v>6669963.387</v>
      </c>
      <c r="T170" s="106" t="n"/>
      <c r="U170" s="114" t="n">
        <v>1998.57862395387</v>
      </c>
      <c r="V170" s="114" t="n">
        <v>1998.57862395387</v>
      </c>
      <c r="W170" s="110" t="n">
        <v>2022</v>
      </c>
      <c r="X170" s="9" t="e">
        <f aca="false" ca="false" dt2D="false" dtr="false" t="normal">+#REF!-'[9]Приложение №1'!$P1216</f>
        <v>#REF!</v>
      </c>
      <c r="Z170" s="113" t="n">
        <f aca="false" ca="false" dt2D="false" dtr="false" t="normal">SUM(AA170:AO170)</f>
        <v>50851543.90999999</v>
      </c>
      <c r="AA170" s="106" t="n">
        <v>12240570.2260023</v>
      </c>
      <c r="AB170" s="106" t="n">
        <v>4488649.79151204</v>
      </c>
      <c r="AC170" s="106" t="n">
        <v>4689585.71630094</v>
      </c>
      <c r="AD170" s="106" t="n">
        <v>0</v>
      </c>
      <c r="AE170" s="106" t="n">
        <v>0</v>
      </c>
      <c r="AF170" s="106" t="n"/>
      <c r="AG170" s="106" t="n">
        <v>404095.62569796</v>
      </c>
      <c r="AH170" s="106" t="n">
        <v>0</v>
      </c>
      <c r="AI170" s="106" t="n">
        <v>23028460.3408608</v>
      </c>
      <c r="AJ170" s="106" t="n">
        <v>0</v>
      </c>
      <c r="AK170" s="106" t="n">
        <v>0</v>
      </c>
      <c r="AL170" s="106" t="n">
        <v>0</v>
      </c>
      <c r="AM170" s="106" t="n">
        <v>4510858.3295</v>
      </c>
      <c r="AN170" s="114" t="n">
        <v>508515.4391</v>
      </c>
      <c r="AO170" s="115" t="n">
        <v>980808.44102596</v>
      </c>
      <c r="AP170" s="112" t="n">
        <f aca="false" ca="false" dt2D="false" dtr="false" t="normal">+N170-'Приложение №2'!E170</f>
        <v>0</v>
      </c>
      <c r="AQ170" s="1" t="n">
        <v>2748459.05</v>
      </c>
      <c r="AR170" s="3" t="n">
        <f aca="false" ca="false" dt2D="false" dtr="false" t="normal">+(K170*10+L170*20)*12*0.85</f>
        <v>674709.6</v>
      </c>
      <c r="AS170" s="3" t="n">
        <f aca="false" ca="false" dt2D="false" dtr="false" t="normal">+(K170*10+L170*20)*12*30</f>
        <v>23813280</v>
      </c>
      <c r="AT170" s="9" t="n">
        <f aca="false" ca="false" dt2D="false" dtr="false" t="normal">+S170-AS170</f>
        <v>-17143316.612999998</v>
      </c>
      <c r="AW170" s="113" t="n">
        <f aca="false" ca="true" dt2D="false" dtr="false" t="normal">SUBTOTAL(9, AX170:BL170)</f>
        <v>10050452.1841392</v>
      </c>
      <c r="AX170" s="106" t="n"/>
      <c r="AY170" s="106" t="n"/>
      <c r="AZ170" s="106" t="n"/>
      <c r="BA170" s="106" t="n">
        <v>0</v>
      </c>
      <c r="BB170" s="106" t="n">
        <v>0</v>
      </c>
      <c r="BC170" s="106" t="n"/>
      <c r="BD170" s="106" t="n"/>
      <c r="BE170" s="106" t="n">
        <v>0</v>
      </c>
      <c r="BF170" s="106" t="n">
        <v>9546866.397</v>
      </c>
      <c r="BG170" s="106" t="n">
        <v>0</v>
      </c>
      <c r="BH170" s="106" t="n">
        <v>0</v>
      </c>
      <c r="BI170" s="106" t="n">
        <v>0</v>
      </c>
      <c r="BJ170" s="106" t="n"/>
      <c r="BK170" s="114" t="n"/>
      <c r="BL170" s="115" t="n">
        <v>503585.7871392</v>
      </c>
      <c r="BM170" s="14" t="n">
        <f aca="false" ca="true" dt2D="false" dtr="false" t="normal">SUBTOTAL(9, BN170:CB170)</f>
        <v>10050452.1841392</v>
      </c>
      <c r="BN170" s="106" t="n"/>
      <c r="BO170" s="106" t="n"/>
      <c r="BP170" s="133" t="n"/>
      <c r="BQ170" s="106" t="n">
        <v>0</v>
      </c>
      <c r="BR170" s="106" t="n">
        <v>0</v>
      </c>
      <c r="BS170" s="106" t="n"/>
      <c r="BT170" s="106" t="n"/>
      <c r="BU170" s="106" t="n">
        <v>0</v>
      </c>
      <c r="BV170" s="106" t="n">
        <v>9546866.397</v>
      </c>
      <c r="BW170" s="106" t="n">
        <v>0</v>
      </c>
      <c r="BX170" s="106" t="n">
        <v>0</v>
      </c>
      <c r="BY170" s="106" t="n">
        <v>0</v>
      </c>
      <c r="BZ170" s="106" t="n"/>
      <c r="CA170" s="114" t="n"/>
      <c r="CB170" s="115" t="n">
        <v>503585.7871392</v>
      </c>
      <c r="CD170" s="116" t="n">
        <f aca="false" ca="false" dt2D="false" dtr="false" t="normal">+CD169+1</f>
        <v>153</v>
      </c>
      <c r="CE170" s="117" t="n">
        <f aca="false" ca="false" dt2D="false" dtr="false" t="normal">+CE169+1</f>
        <v>153</v>
      </c>
      <c r="CF170" s="104" t="s">
        <v>247</v>
      </c>
      <c r="CG170" s="104" t="s">
        <v>249</v>
      </c>
      <c r="CH170" s="118" t="n">
        <f aca="false" ca="true" dt2D="false" dtr="false" t="normal">SUBTOTAL(9, CI170:CW170)</f>
        <v>10050452.1841392</v>
      </c>
      <c r="CI170" s="106" t="n"/>
      <c r="CJ170" s="106" t="n"/>
      <c r="CK170" s="133" t="n"/>
      <c r="CL170" s="106" t="n">
        <v>0</v>
      </c>
      <c r="CM170" s="106" t="n">
        <v>0</v>
      </c>
      <c r="CN170" s="106" t="n"/>
      <c r="CO170" s="106" t="n"/>
      <c r="CP170" s="106" t="n">
        <v>0</v>
      </c>
      <c r="CQ170" s="106" t="n">
        <v>9546866.397</v>
      </c>
      <c r="CR170" s="106" t="n">
        <v>0</v>
      </c>
      <c r="CS170" s="106" t="n">
        <v>0</v>
      </c>
      <c r="CT170" s="106" t="n">
        <v>0</v>
      </c>
      <c r="CU170" s="106" t="n"/>
      <c r="CV170" s="114" t="n"/>
      <c r="CW170" s="115" t="n">
        <v>503585.7871392</v>
      </c>
      <c r="CZ170" s="104" t="s">
        <v>249</v>
      </c>
      <c r="DA170" s="119" t="n">
        <f aca="false" ca="true" dt2D="false" dtr="false" t="normal">SUBTOTAL(9, DB170:DP170)</f>
        <v>9546866.397</v>
      </c>
      <c r="DB170" s="106" t="n"/>
      <c r="DC170" s="106" t="n"/>
      <c r="DD170" s="133" t="n"/>
      <c r="DE170" s="106" t="n">
        <v>0</v>
      </c>
      <c r="DF170" s="106" t="n">
        <v>0</v>
      </c>
      <c r="DG170" s="106" t="n"/>
      <c r="DH170" s="106" t="n"/>
      <c r="DI170" s="106" t="n">
        <v>0</v>
      </c>
      <c r="DJ170" s="106" t="n">
        <v>9546866.397</v>
      </c>
      <c r="DK170" s="106" t="n">
        <v>0</v>
      </c>
      <c r="DL170" s="106" t="n">
        <v>0</v>
      </c>
      <c r="DM170" s="106" t="n">
        <v>0</v>
      </c>
      <c r="DN170" s="106" t="n"/>
      <c r="DO170" s="114" t="n"/>
      <c r="DP170" s="122" t="n"/>
      <c r="DQ170" s="3" t="n">
        <f aca="false" ca="false" dt2D="false" dtr="false" t="normal">N170-DA170</f>
        <v>0</v>
      </c>
      <c r="DS170" s="9" t="n"/>
    </row>
    <row hidden="false" ht="15" outlineLevel="0" r="171">
      <c r="A171" s="103" t="n">
        <f aca="false" ca="false" dt2D="false" dtr="false" t="normal">+A170+1</f>
        <v>154</v>
      </c>
      <c r="B171" s="104" t="n">
        <f aca="false" ca="false" dt2D="false" dtr="false" t="normal">+B170+1</f>
        <v>154</v>
      </c>
      <c r="C171" s="104" t="s">
        <v>247</v>
      </c>
      <c r="D171" s="104" t="s">
        <v>250</v>
      </c>
      <c r="E171" s="105" t="n">
        <v>1986</v>
      </c>
      <c r="F171" s="105" t="n">
        <v>1986</v>
      </c>
      <c r="G171" s="105" t="s">
        <v>68</v>
      </c>
      <c r="H171" s="105" t="n">
        <v>5</v>
      </c>
      <c r="I171" s="105" t="n">
        <v>4</v>
      </c>
      <c r="J171" s="106" t="n">
        <v>4691.9</v>
      </c>
      <c r="K171" s="106" t="n">
        <v>4321.1</v>
      </c>
      <c r="L171" s="106" t="n">
        <v>298</v>
      </c>
      <c r="M171" s="107" t="n">
        <v>195</v>
      </c>
      <c r="N171" s="108" t="n">
        <f aca="false" ca="false" dt2D="false" dtr="false" t="normal">SUM(P171:T171)</f>
        <v>16106664.95</v>
      </c>
      <c r="O171" s="106" t="n"/>
      <c r="P171" s="114" t="n">
        <v>5030178.26</v>
      </c>
      <c r="Q171" s="114" t="n"/>
      <c r="R171" s="114" t="n">
        <v>1064681.94</v>
      </c>
      <c r="S171" s="114" t="n">
        <v>10011804.75</v>
      </c>
      <c r="T171" s="114" t="n"/>
      <c r="U171" s="106" t="n">
        <v>3686.65382562199</v>
      </c>
      <c r="V171" s="106" t="n">
        <v>3686.65382562199</v>
      </c>
      <c r="W171" s="110" t="n">
        <v>2022</v>
      </c>
      <c r="X171" s="9" t="e">
        <f aca="false" ca="false" dt2D="false" dtr="false" t="normal">+#REF!-'[9]Приложение №1'!$P1364</f>
        <v>#REF!</v>
      </c>
      <c r="Z171" s="113" t="n">
        <f aca="false" ca="false" dt2D="false" dtr="false" t="normal">SUM(AA171:AO171)</f>
        <v>19513628.469999976</v>
      </c>
      <c r="AA171" s="106" t="n">
        <v>12362990.2296646</v>
      </c>
      <c r="AB171" s="106" t="n">
        <v>4533541.53030576</v>
      </c>
      <c r="AC171" s="106" t="n">
        <v>0</v>
      </c>
      <c r="AD171" s="106" t="n">
        <v>0</v>
      </c>
      <c r="AE171" s="106" t="n">
        <v>0</v>
      </c>
      <c r="AF171" s="106" t="n"/>
      <c r="AG171" s="106" t="n">
        <v>408137.05600248</v>
      </c>
      <c r="AH171" s="106" t="n">
        <v>0</v>
      </c>
      <c r="AI171" s="106" t="n">
        <v>0</v>
      </c>
      <c r="AJ171" s="106" t="n">
        <v>0</v>
      </c>
      <c r="AK171" s="106" t="n">
        <v>0</v>
      </c>
      <c r="AL171" s="106" t="n">
        <v>0</v>
      </c>
      <c r="AM171" s="106" t="n">
        <v>1635405.3102</v>
      </c>
      <c r="AN171" s="114" t="n">
        <v>195136.2847</v>
      </c>
      <c r="AO171" s="115" t="n">
        <v>378418.05912714</v>
      </c>
      <c r="AP171" s="112" t="n">
        <f aca="false" ca="false" dt2D="false" dtr="false" t="normal">+N171-'Приложение №2'!E171</f>
        <v>0</v>
      </c>
      <c r="AQ171" s="1" t="n">
        <v>1886055.9</v>
      </c>
      <c r="AR171" s="3" t="n">
        <f aca="false" ca="false" dt2D="false" dtr="false" t="normal">+(K171*10+L171*20)*12*0.85</f>
        <v>501544.2</v>
      </c>
      <c r="AS171" s="3" t="n">
        <f aca="false" ca="false" dt2D="false" dtr="false" t="normal">+(K171*10+L171*20)*12*30</f>
        <v>17701560</v>
      </c>
      <c r="AT171" s="9" t="n">
        <f aca="false" ca="false" dt2D="false" dtr="false" t="normal">+S171-AS171</f>
        <v>-7689755.25</v>
      </c>
      <c r="AU171" s="9" t="e">
        <f aca="false" ca="false" dt2D="false" dtr="false" t="normal">+P171-'[5]Приложение №1'!$P149</f>
        <v>#REF!</v>
      </c>
      <c r="AV171" s="9" t="e">
        <f aca="false" ca="false" dt2D="false" dtr="false" t="normal">+Q171-'[5]Приложение №1'!$Q149</f>
        <v>#REF!</v>
      </c>
      <c r="AW171" s="113" t="n">
        <f aca="false" ca="true" dt2D="false" dtr="false" t="normal">SUBTOTAL(9, AX171:BL171)</f>
        <v>17029022.68593052</v>
      </c>
      <c r="AX171" s="106" t="n"/>
      <c r="AY171" s="106" t="n"/>
      <c r="AZ171" s="106" t="n">
        <v>0</v>
      </c>
      <c r="BA171" s="106" t="n">
        <v>0</v>
      </c>
      <c r="BB171" s="106" t="n">
        <v>0</v>
      </c>
      <c r="BC171" s="106" t="n"/>
      <c r="BD171" s="106" t="n"/>
      <c r="BE171" s="106" t="n">
        <v>0</v>
      </c>
      <c r="BF171" s="106" t="n">
        <v>16106664.95</v>
      </c>
      <c r="BG171" s="106" t="n">
        <v>0</v>
      </c>
      <c r="BH171" s="106" t="n">
        <v>0</v>
      </c>
      <c r="BI171" s="106" t="n">
        <v>0</v>
      </c>
      <c r="BJ171" s="106" t="n"/>
      <c r="BK171" s="114" t="n"/>
      <c r="BL171" s="115" t="n">
        <v>922357.73593052</v>
      </c>
      <c r="BM171" s="14" t="n">
        <f aca="false" ca="true" dt2D="false" dtr="false" t="normal">SUBTOTAL(9, BN171:CB171)</f>
        <v>17029022.68593052</v>
      </c>
      <c r="BN171" s="106" t="n"/>
      <c r="BO171" s="106" t="n"/>
      <c r="BP171" s="133" t="n">
        <v>0</v>
      </c>
      <c r="BQ171" s="106" t="n">
        <v>0</v>
      </c>
      <c r="BR171" s="106" t="n">
        <v>0</v>
      </c>
      <c r="BS171" s="106" t="n"/>
      <c r="BT171" s="106" t="n"/>
      <c r="BU171" s="106" t="n">
        <v>0</v>
      </c>
      <c r="BV171" s="106" t="n">
        <v>16106664.95</v>
      </c>
      <c r="BW171" s="106" t="n">
        <v>0</v>
      </c>
      <c r="BX171" s="106" t="n">
        <v>0</v>
      </c>
      <c r="BY171" s="106" t="n">
        <v>0</v>
      </c>
      <c r="BZ171" s="106" t="n"/>
      <c r="CA171" s="114" t="n"/>
      <c r="CB171" s="115" t="n">
        <v>922357.73593052</v>
      </c>
      <c r="CD171" s="116" t="n">
        <f aca="false" ca="false" dt2D="false" dtr="false" t="normal">+CD170+1</f>
        <v>154</v>
      </c>
      <c r="CE171" s="117" t="n">
        <f aca="false" ca="false" dt2D="false" dtr="false" t="normal">+CE170+1</f>
        <v>154</v>
      </c>
      <c r="CF171" s="104" t="s">
        <v>247</v>
      </c>
      <c r="CG171" s="104" t="s">
        <v>250</v>
      </c>
      <c r="CH171" s="118" t="n">
        <f aca="false" ca="true" dt2D="false" dtr="false" t="normal">SUBTOTAL(9, CI171:CW171)</f>
        <v>17029022.68593052</v>
      </c>
      <c r="CI171" s="106" t="n"/>
      <c r="CJ171" s="106" t="n"/>
      <c r="CK171" s="133" t="n">
        <v>0</v>
      </c>
      <c r="CL171" s="106" t="n">
        <v>0</v>
      </c>
      <c r="CM171" s="106" t="n">
        <v>0</v>
      </c>
      <c r="CN171" s="106" t="n"/>
      <c r="CO171" s="106" t="n"/>
      <c r="CP171" s="106" t="n">
        <v>0</v>
      </c>
      <c r="CQ171" s="106" t="n">
        <v>16106664.95</v>
      </c>
      <c r="CR171" s="106" t="n">
        <v>0</v>
      </c>
      <c r="CS171" s="106" t="n">
        <v>0</v>
      </c>
      <c r="CT171" s="106" t="n">
        <v>0</v>
      </c>
      <c r="CU171" s="106" t="n"/>
      <c r="CV171" s="114" t="n"/>
      <c r="CW171" s="115" t="n">
        <v>922357.73593052</v>
      </c>
      <c r="CZ171" s="104" t="s">
        <v>250</v>
      </c>
      <c r="DA171" s="119" t="n">
        <f aca="false" ca="true" dt2D="false" dtr="false" t="normal">SUBTOTAL(9, DB171:DP171)</f>
        <v>16106664.95</v>
      </c>
      <c r="DB171" s="106" t="n"/>
      <c r="DC171" s="106" t="n"/>
      <c r="DD171" s="133" t="n">
        <v>0</v>
      </c>
      <c r="DE171" s="106" t="n">
        <v>0</v>
      </c>
      <c r="DF171" s="106" t="n">
        <v>0</v>
      </c>
      <c r="DG171" s="106" t="n"/>
      <c r="DH171" s="106" t="n"/>
      <c r="DI171" s="106" t="n">
        <v>0</v>
      </c>
      <c r="DJ171" s="106" t="n">
        <v>16106664.95</v>
      </c>
      <c r="DK171" s="106" t="n">
        <v>0</v>
      </c>
      <c r="DL171" s="106" t="n">
        <v>0</v>
      </c>
      <c r="DM171" s="106" t="n">
        <v>0</v>
      </c>
      <c r="DN171" s="106" t="n"/>
      <c r="DO171" s="114" t="n"/>
      <c r="DP171" s="122" t="n"/>
      <c r="DQ171" s="3" t="n">
        <f aca="false" ca="false" dt2D="false" dtr="false" t="normal">N171-DA171</f>
        <v>0</v>
      </c>
      <c r="DS171" s="9" t="n"/>
    </row>
    <row hidden="false" ht="15" outlineLevel="0" r="172">
      <c r="A172" s="103" t="n">
        <f aca="false" ca="false" dt2D="false" dtr="false" t="normal">+A171+1</f>
        <v>155</v>
      </c>
      <c r="B172" s="104" t="n">
        <f aca="false" ca="false" dt2D="false" dtr="false" t="normal">+B171+1</f>
        <v>155</v>
      </c>
      <c r="C172" s="104" t="s">
        <v>251</v>
      </c>
      <c r="D172" s="104" t="s">
        <v>252</v>
      </c>
      <c r="E172" s="105" t="n">
        <v>1994</v>
      </c>
      <c r="F172" s="105" t="n">
        <v>1994</v>
      </c>
      <c r="G172" s="105" t="s">
        <v>68</v>
      </c>
      <c r="H172" s="105" t="n">
        <v>2</v>
      </c>
      <c r="I172" s="105" t="n">
        <v>2</v>
      </c>
      <c r="J172" s="106" t="n">
        <v>1089.5</v>
      </c>
      <c r="K172" s="106" t="n">
        <v>978.3</v>
      </c>
      <c r="L172" s="106" t="n">
        <v>0</v>
      </c>
      <c r="M172" s="107" t="n">
        <v>43</v>
      </c>
      <c r="N172" s="108" t="n">
        <f aca="false" ca="false" dt2D="false" dtr="false" t="normal">SUM(P172:T172)</f>
        <v>638349.5900000002</v>
      </c>
      <c r="O172" s="106" t="n"/>
      <c r="P172" s="114" t="n">
        <v>327001.24</v>
      </c>
      <c r="Q172" s="114" t="n"/>
      <c r="R172" s="114" t="n">
        <v>252886.06</v>
      </c>
      <c r="S172" s="114" t="n">
        <v>35183.9070440001</v>
      </c>
      <c r="T172" s="106" t="n">
        <v>23278.382956</v>
      </c>
      <c r="U172" s="114" t="n">
        <v>664.647262643361</v>
      </c>
      <c r="V172" s="114" t="n">
        <v>664.647262643361</v>
      </c>
      <c r="W172" s="110" t="n">
        <v>2022</v>
      </c>
      <c r="X172" s="9" t="e">
        <f aca="false" ca="false" dt2D="false" dtr="false" t="normal">+#REF!-'[9]Приложение №1'!$P1242</f>
        <v>#REF!</v>
      </c>
      <c r="Z172" s="113" t="n">
        <f aca="false" ca="false" dt2D="false" dtr="false" t="normal">SUM(AA172:AO172)</f>
        <v>593748.16</v>
      </c>
      <c r="AA172" s="106" t="n">
        <v>0</v>
      </c>
      <c r="AB172" s="106" t="n">
        <v>0</v>
      </c>
      <c r="AC172" s="106" t="n">
        <v>0</v>
      </c>
      <c r="AD172" s="106" t="n">
        <v>0</v>
      </c>
      <c r="AE172" s="106" t="n">
        <v>543023.632956</v>
      </c>
      <c r="AF172" s="106" t="n"/>
      <c r="AG172" s="106" t="n">
        <v>0</v>
      </c>
      <c r="AH172" s="106" t="n">
        <v>0</v>
      </c>
      <c r="AI172" s="106" t="n">
        <v>0</v>
      </c>
      <c r="AJ172" s="106" t="n">
        <v>0</v>
      </c>
      <c r="AK172" s="106" t="n">
        <v>0</v>
      </c>
      <c r="AL172" s="106" t="n">
        <v>0</v>
      </c>
      <c r="AM172" s="106" t="n">
        <v>34646.21</v>
      </c>
      <c r="AN172" s="106" t="n">
        <v>4203.49</v>
      </c>
      <c r="AO172" s="115" t="n">
        <v>11874.827044</v>
      </c>
      <c r="AP172" s="112" t="n">
        <f aca="false" ca="false" dt2D="false" dtr="false" t="normal">+N172-'Приложение №2'!E172</f>
        <v>0</v>
      </c>
      <c r="AQ172" s="1" t="n">
        <v>431386</v>
      </c>
      <c r="AR172" s="3" t="n">
        <f aca="false" ca="false" dt2D="false" dtr="false" t="normal">+(K172*10+L172*20)*12*0.85</f>
        <v>99786.59999999999</v>
      </c>
      <c r="AS172" s="3" t="n">
        <f aca="false" ca="false" dt2D="false" dtr="false" t="normal">+(K172*10+L172*20)*12*30</f>
        <v>3521880</v>
      </c>
      <c r="AT172" s="9" t="n">
        <f aca="false" ca="false" dt2D="false" dtr="false" t="normal">+S172-AS172</f>
        <v>-3486696.092956</v>
      </c>
      <c r="AW172" s="113" t="n">
        <f aca="false" ca="true" dt2D="false" dtr="false" t="normal">SUBTOTAL(9, AX172:BL172)</f>
        <v>650224.4170440001</v>
      </c>
      <c r="AX172" s="106" t="n">
        <v>0</v>
      </c>
      <c r="AY172" s="106" t="n">
        <v>0</v>
      </c>
      <c r="AZ172" s="106" t="n">
        <v>0</v>
      </c>
      <c r="BA172" s="106" t="n">
        <v>0</v>
      </c>
      <c r="BB172" s="106" t="n">
        <v>579887.3</v>
      </c>
      <c r="BC172" s="106" t="n"/>
      <c r="BD172" s="106" t="n"/>
      <c r="BE172" s="106" t="n">
        <v>0</v>
      </c>
      <c r="BF172" s="106" t="n">
        <v>0</v>
      </c>
      <c r="BG172" s="106" t="n">
        <v>0</v>
      </c>
      <c r="BH172" s="106" t="n">
        <v>0</v>
      </c>
      <c r="BI172" s="106" t="n">
        <v>0</v>
      </c>
      <c r="BJ172" s="106" t="n">
        <v>58462.29</v>
      </c>
      <c r="BK172" s="106" t="n"/>
      <c r="BL172" s="115" t="n">
        <v>11874.827044</v>
      </c>
      <c r="BM172" s="14" t="n">
        <f aca="false" ca="true" dt2D="false" dtr="false" t="normal">SUBTOTAL(9, BN172:CB172)</f>
        <v>650224.4170440001</v>
      </c>
      <c r="BN172" s="106" t="n">
        <v>0</v>
      </c>
      <c r="BO172" s="106" t="n">
        <v>0</v>
      </c>
      <c r="BP172" s="133" t="n">
        <v>0</v>
      </c>
      <c r="BQ172" s="106" t="n">
        <v>0</v>
      </c>
      <c r="BR172" s="106" t="n">
        <v>579887.3</v>
      </c>
      <c r="BS172" s="106" t="n"/>
      <c r="BT172" s="106" t="n"/>
      <c r="BU172" s="106" t="n">
        <v>0</v>
      </c>
      <c r="BV172" s="106" t="n">
        <v>0</v>
      </c>
      <c r="BW172" s="106" t="n">
        <v>0</v>
      </c>
      <c r="BX172" s="106" t="n">
        <v>0</v>
      </c>
      <c r="BY172" s="106" t="n">
        <v>0</v>
      </c>
      <c r="BZ172" s="106" t="n">
        <v>58462.29</v>
      </c>
      <c r="CA172" s="106" t="n"/>
      <c r="CB172" s="115" t="n">
        <v>11874.827044</v>
      </c>
      <c r="CD172" s="116" t="n">
        <f aca="false" ca="false" dt2D="false" dtr="false" t="normal">+CD171+1</f>
        <v>155</v>
      </c>
      <c r="CE172" s="117" t="n">
        <f aca="false" ca="false" dt2D="false" dtr="false" t="normal">+CE171+1</f>
        <v>155</v>
      </c>
      <c r="CF172" s="104" t="s">
        <v>251</v>
      </c>
      <c r="CG172" s="104" t="s">
        <v>252</v>
      </c>
      <c r="CH172" s="118" t="n">
        <f aca="false" ca="true" dt2D="false" dtr="false" t="normal">SUBTOTAL(9, CI172:CW172)</f>
        <v>650224.4170440001</v>
      </c>
      <c r="CI172" s="106" t="n">
        <v>0</v>
      </c>
      <c r="CJ172" s="106" t="n">
        <v>0</v>
      </c>
      <c r="CK172" s="133" t="n">
        <v>0</v>
      </c>
      <c r="CL172" s="106" t="n">
        <v>0</v>
      </c>
      <c r="CM172" s="106" t="n">
        <v>579887.3</v>
      </c>
      <c r="CN172" s="106" t="n"/>
      <c r="CO172" s="106" t="n"/>
      <c r="CP172" s="106" t="n">
        <v>0</v>
      </c>
      <c r="CQ172" s="106" t="n">
        <v>0</v>
      </c>
      <c r="CR172" s="106" t="n">
        <v>0</v>
      </c>
      <c r="CS172" s="106" t="n">
        <v>0</v>
      </c>
      <c r="CT172" s="106" t="n">
        <v>0</v>
      </c>
      <c r="CU172" s="106" t="n">
        <v>58462.29</v>
      </c>
      <c r="CV172" s="106" t="n"/>
      <c r="CW172" s="115" t="n">
        <v>11874.827044</v>
      </c>
      <c r="CZ172" s="104" t="s">
        <v>252</v>
      </c>
      <c r="DA172" s="119" t="n">
        <f aca="false" ca="true" dt2D="false" dtr="false" t="normal">SUBTOTAL(9, DB172:DP172)</f>
        <v>638349.5900000001</v>
      </c>
      <c r="DB172" s="106" t="n">
        <v>0</v>
      </c>
      <c r="DC172" s="106" t="n">
        <v>0</v>
      </c>
      <c r="DD172" s="133" t="n">
        <v>0</v>
      </c>
      <c r="DE172" s="106" t="n">
        <v>0</v>
      </c>
      <c r="DF172" s="106" t="n">
        <v>579887.3</v>
      </c>
      <c r="DG172" s="106" t="n"/>
      <c r="DH172" s="106" t="n"/>
      <c r="DI172" s="106" t="n">
        <v>0</v>
      </c>
      <c r="DJ172" s="106" t="n">
        <v>0</v>
      </c>
      <c r="DK172" s="106" t="n">
        <v>0</v>
      </c>
      <c r="DL172" s="106" t="n">
        <v>0</v>
      </c>
      <c r="DM172" s="106" t="n">
        <v>0</v>
      </c>
      <c r="DN172" s="106" t="n">
        <v>58462.29</v>
      </c>
      <c r="DO172" s="106" t="n"/>
      <c r="DP172" s="122" t="n"/>
      <c r="DQ172" s="3" t="n">
        <f aca="false" ca="false" dt2D="false" dtr="false" t="normal">N172-DA172</f>
        <v>0</v>
      </c>
      <c r="DS172" s="9" t="n"/>
    </row>
    <row hidden="false" ht="15" outlineLevel="0" r="173">
      <c r="A173" s="103" t="n">
        <f aca="false" ca="false" dt2D="false" dtr="false" t="normal">+A172+1</f>
        <v>156</v>
      </c>
      <c r="B173" s="104" t="n">
        <f aca="false" ca="false" dt2D="false" dtr="false" t="normal">+B172+1</f>
        <v>156</v>
      </c>
      <c r="C173" s="104" t="s">
        <v>253</v>
      </c>
      <c r="D173" s="104" t="s">
        <v>254</v>
      </c>
      <c r="E173" s="105" t="n">
        <v>1982</v>
      </c>
      <c r="F173" s="105" t="n">
        <v>1982</v>
      </c>
      <c r="G173" s="105" t="s">
        <v>68</v>
      </c>
      <c r="H173" s="105" t="n">
        <v>5</v>
      </c>
      <c r="I173" s="105" t="n">
        <v>1</v>
      </c>
      <c r="J173" s="106" t="n">
        <v>982.9</v>
      </c>
      <c r="K173" s="106" t="n">
        <v>982.9</v>
      </c>
      <c r="L173" s="106" t="n">
        <v>0</v>
      </c>
      <c r="M173" s="107" t="n">
        <v>23</v>
      </c>
      <c r="N173" s="108" t="n">
        <f aca="false" ca="false" dt2D="false" dtr="false" t="normal">SUM(P173:T173)</f>
        <v>3752714.61</v>
      </c>
      <c r="O173" s="106" t="n"/>
      <c r="P173" s="114" t="n"/>
      <c r="Q173" s="114" t="n"/>
      <c r="R173" s="114" t="n">
        <v>310089.55</v>
      </c>
      <c r="S173" s="114" t="n">
        <v>3442625.06</v>
      </c>
      <c r="T173" s="114" t="n"/>
      <c r="U173" s="106" t="n">
        <v>3908.8474003091</v>
      </c>
      <c r="V173" s="106" t="n">
        <v>3908.8474003091</v>
      </c>
      <c r="W173" s="110" t="n">
        <v>2022</v>
      </c>
      <c r="X173" s="9" t="e">
        <f aca="false" ca="false" dt2D="false" dtr="false" t="normal">+#REF!-'[9]Приложение №1'!$P1602</f>
        <v>#REF!</v>
      </c>
      <c r="Z173" s="113" t="n">
        <f aca="false" ca="false" dt2D="false" dtr="false" t="normal">SUM(AA173:AO173)</f>
        <v>25846647.639999997</v>
      </c>
      <c r="AA173" s="106" t="n">
        <v>3015626.05896552</v>
      </c>
      <c r="AB173" s="106" t="n">
        <v>1381996.98965328</v>
      </c>
      <c r="AC173" s="106" t="n">
        <v>1398423.89627556</v>
      </c>
      <c r="AD173" s="106" t="n">
        <v>910108.4788488</v>
      </c>
      <c r="AE173" s="106" t="n">
        <v>0</v>
      </c>
      <c r="AF173" s="106" t="n"/>
      <c r="AG173" s="106" t="n">
        <v>91642.68254064</v>
      </c>
      <c r="AH173" s="106" t="n">
        <v>0</v>
      </c>
      <c r="AI173" s="106" t="n">
        <v>7209302.2726032</v>
      </c>
      <c r="AJ173" s="106" t="n">
        <v>0</v>
      </c>
      <c r="AK173" s="106" t="n">
        <v>3664064.33732724</v>
      </c>
      <c r="AL173" s="106" t="n">
        <v>4963125.48135096</v>
      </c>
      <c r="AM173" s="106" t="n">
        <v>2458924.8816</v>
      </c>
      <c r="AN173" s="114" t="n">
        <v>258466.4764</v>
      </c>
      <c r="AO173" s="115" t="n">
        <v>494966.0844348</v>
      </c>
      <c r="AP173" s="112" t="n">
        <f aca="false" ca="false" dt2D="false" dtr="false" t="normal">+N173-'Приложение №2'!E173</f>
        <v>0</v>
      </c>
      <c r="AQ173" s="9" t="n">
        <f aca="false" ca="false" dt2D="false" dtr="false" t="normal">344430.27</f>
        <v>344430.27</v>
      </c>
      <c r="AR173" s="3" t="n">
        <f aca="false" ca="false" dt2D="false" dtr="false" t="normal">+(K173*10+L173*20)*12*0.85</f>
        <v>100255.8</v>
      </c>
      <c r="AS173" s="3" t="n">
        <f aca="false" ca="false" dt2D="false" dtr="false" t="normal">+(K173*10+L173*20)*12*30</f>
        <v>3538440</v>
      </c>
      <c r="AT173" s="9" t="n">
        <f aca="false" ca="false" dt2D="false" dtr="false" t="normal">+S173-AS173</f>
        <v>-95814.93999999994</v>
      </c>
      <c r="AW173" s="113" t="n">
        <f aca="false" ca="true" dt2D="false" dtr="false" t="normal">SUBTOTAL(9, AX173:BL173)</f>
        <v>3842006.1097638123</v>
      </c>
      <c r="AX173" s="106" t="n"/>
      <c r="AY173" s="106" t="n"/>
      <c r="AZ173" s="106" t="n"/>
      <c r="BA173" s="106" t="n"/>
      <c r="BB173" s="106" t="n"/>
      <c r="BC173" s="106" t="n"/>
      <c r="BD173" s="106" t="n"/>
      <c r="BE173" s="106" t="n"/>
      <c r="BF173" s="106" t="n">
        <v>1229943.21</v>
      </c>
      <c r="BG173" s="106" t="n"/>
      <c r="BH173" s="106" t="n"/>
      <c r="BI173" s="106" t="n">
        <v>2522771.4</v>
      </c>
      <c r="BJ173" s="106" t="n"/>
      <c r="BK173" s="114" t="n"/>
      <c r="BL173" s="115" t="n">
        <v>89291.4997638125</v>
      </c>
      <c r="BM173" s="14" t="n">
        <f aca="false" ca="true" dt2D="false" dtr="false" t="normal">SUBTOTAL(9, BN173:CB173)</f>
        <v>3842006.1097638123</v>
      </c>
      <c r="BN173" s="106" t="n"/>
      <c r="BO173" s="106" t="n"/>
      <c r="BP173" s="133" t="n"/>
      <c r="BQ173" s="106" t="n"/>
      <c r="BR173" s="106" t="n"/>
      <c r="BS173" s="106" t="n"/>
      <c r="BT173" s="106" t="n"/>
      <c r="BU173" s="106" t="n"/>
      <c r="BV173" s="106" t="n">
        <v>1229943.21</v>
      </c>
      <c r="BW173" s="106" t="n"/>
      <c r="BX173" s="106" t="n"/>
      <c r="BY173" s="106" t="n">
        <v>2522771.4</v>
      </c>
      <c r="BZ173" s="106" t="n"/>
      <c r="CA173" s="114" t="n"/>
      <c r="CB173" s="115" t="n">
        <v>89291.4997638125</v>
      </c>
      <c r="CD173" s="116" t="n">
        <f aca="false" ca="false" dt2D="false" dtr="false" t="normal">+CD172+1</f>
        <v>156</v>
      </c>
      <c r="CE173" s="117" t="n">
        <f aca="false" ca="false" dt2D="false" dtr="false" t="normal">+CE172+1</f>
        <v>156</v>
      </c>
      <c r="CF173" s="104" t="s">
        <v>253</v>
      </c>
      <c r="CG173" s="104" t="s">
        <v>254</v>
      </c>
      <c r="CH173" s="118" t="n">
        <f aca="false" ca="true" dt2D="false" dtr="false" t="normal">SUBTOTAL(9, CI173:CW173)</f>
        <v>3842006.1097638123</v>
      </c>
      <c r="CI173" s="106" t="n"/>
      <c r="CJ173" s="106" t="n"/>
      <c r="CK173" s="133" t="n"/>
      <c r="CL173" s="106" t="n"/>
      <c r="CM173" s="106" t="n"/>
      <c r="CN173" s="106" t="n"/>
      <c r="CO173" s="106" t="n"/>
      <c r="CP173" s="106" t="n"/>
      <c r="CQ173" s="106" t="n">
        <v>1229943.21</v>
      </c>
      <c r="CR173" s="106" t="n"/>
      <c r="CS173" s="106" t="n"/>
      <c r="CT173" s="106" t="n">
        <v>2522771.4</v>
      </c>
      <c r="CU173" s="106" t="n"/>
      <c r="CV173" s="114" t="n"/>
      <c r="CW173" s="115" t="n">
        <v>89291.4997638125</v>
      </c>
      <c r="CZ173" s="104" t="s">
        <v>254</v>
      </c>
      <c r="DA173" s="119" t="n">
        <f aca="false" ca="true" dt2D="false" dtr="false" t="normal">SUBTOTAL(9, DB173:DP173)</f>
        <v>3752714.61</v>
      </c>
      <c r="DB173" s="106" t="n"/>
      <c r="DC173" s="106" t="n"/>
      <c r="DD173" s="133" t="n"/>
      <c r="DE173" s="106" t="n"/>
      <c r="DF173" s="106" t="n"/>
      <c r="DG173" s="106" t="n"/>
      <c r="DH173" s="106" t="n"/>
      <c r="DI173" s="106" t="n"/>
      <c r="DJ173" s="106" t="n">
        <v>1229943.21</v>
      </c>
      <c r="DK173" s="106" t="n"/>
      <c r="DL173" s="106" t="n"/>
      <c r="DM173" s="106" t="n">
        <v>2522771.4</v>
      </c>
      <c r="DN173" s="106" t="n"/>
      <c r="DO173" s="114" t="n"/>
      <c r="DP173" s="122" t="n"/>
      <c r="DQ173" s="3" t="n">
        <f aca="false" ca="false" dt2D="false" dtr="false" t="normal">N173-DA173</f>
        <v>0</v>
      </c>
      <c r="DS173" s="9" t="n"/>
    </row>
    <row hidden="false" ht="15" outlineLevel="0" r="174">
      <c r="A174" s="103" t="n">
        <f aca="false" ca="false" dt2D="false" dtr="false" t="normal">+A173+1</f>
        <v>157</v>
      </c>
      <c r="B174" s="104" t="n">
        <f aca="false" ca="false" dt2D="false" dtr="false" t="normal">+B173+1</f>
        <v>157</v>
      </c>
      <c r="C174" s="104" t="s">
        <v>253</v>
      </c>
      <c r="D174" s="104" t="s">
        <v>255</v>
      </c>
      <c r="E174" s="105" t="n">
        <v>1979</v>
      </c>
      <c r="F174" s="105" t="n">
        <v>2013</v>
      </c>
      <c r="G174" s="105" t="s">
        <v>68</v>
      </c>
      <c r="H174" s="105" t="n">
        <v>4</v>
      </c>
      <c r="I174" s="105" t="n">
        <v>2</v>
      </c>
      <c r="J174" s="106" t="n">
        <v>1304.3</v>
      </c>
      <c r="K174" s="106" t="n">
        <v>1304.3</v>
      </c>
      <c r="L174" s="106" t="n">
        <v>0</v>
      </c>
      <c r="M174" s="107" t="n">
        <v>47</v>
      </c>
      <c r="N174" s="108" t="n">
        <f aca="false" ca="false" dt2D="false" dtr="false" t="normal">SUM(P174:T174)</f>
        <v>2093523.54</v>
      </c>
      <c r="O174" s="106" t="n"/>
      <c r="P174" s="114" t="n"/>
      <c r="Q174" s="114" t="n"/>
      <c r="R174" s="114" t="n">
        <v>446256.02</v>
      </c>
      <c r="S174" s="114" t="n">
        <v>1647267.52</v>
      </c>
      <c r="T174" s="114" t="n"/>
      <c r="U174" s="106" t="n">
        <v>1783.43310402835</v>
      </c>
      <c r="V174" s="106" t="n">
        <v>1783.43310402835</v>
      </c>
      <c r="W174" s="110" t="n">
        <v>2022</v>
      </c>
      <c r="X174" s="9" t="e">
        <f aca="false" ca="false" dt2D="false" dtr="false" t="normal">+#REF!-'[9]Приложение №1'!$P1221</f>
        <v>#REF!</v>
      </c>
      <c r="Z174" s="113" t="n">
        <f aca="false" ca="false" dt2D="false" dtr="false" t="normal">SUM(AA174:AO174)</f>
        <v>28614187.700000003</v>
      </c>
      <c r="AA174" s="106" t="n">
        <v>0</v>
      </c>
      <c r="AB174" s="106" t="n">
        <v>0</v>
      </c>
      <c r="AC174" s="106" t="n">
        <v>1925825.0481519</v>
      </c>
      <c r="AD174" s="106" t="n">
        <v>1253346.5063616</v>
      </c>
      <c r="AE174" s="106" t="n">
        <v>0</v>
      </c>
      <c r="AF174" s="106" t="n"/>
      <c r="AG174" s="106" t="n">
        <v>0</v>
      </c>
      <c r="AH174" s="106" t="n">
        <v>0</v>
      </c>
      <c r="AI174" s="106" t="n">
        <v>9928216.292715</v>
      </c>
      <c r="AJ174" s="106" t="n">
        <v>0</v>
      </c>
      <c r="AK174" s="106" t="n">
        <v>5045928.42810966</v>
      </c>
      <c r="AL174" s="106" t="n">
        <v>6834917.08333434</v>
      </c>
      <c r="AM174" s="106" t="n">
        <v>2793370.4105</v>
      </c>
      <c r="AN174" s="114" t="n">
        <v>286141.877</v>
      </c>
      <c r="AO174" s="115" t="n">
        <v>546442.0538275</v>
      </c>
      <c r="AP174" s="112" t="n">
        <f aca="false" ca="false" dt2D="false" dtr="false" t="normal">+N174-'Приложение №2'!E174</f>
        <v>0</v>
      </c>
      <c r="AQ174" s="9" t="n">
        <f aca="false" ca="false" dt2D="false" dtr="false" t="normal">505122.22</f>
        <v>505122.22</v>
      </c>
      <c r="AR174" s="3" t="n">
        <f aca="false" ca="false" dt2D="false" dtr="false" t="normal">+(K174*10+L174*20)*12*0.85</f>
        <v>133038.6</v>
      </c>
      <c r="AS174" s="3" t="n">
        <f aca="false" ca="false" dt2D="false" dtr="false" t="normal">+(K174*10+L174*20)*12*30</f>
        <v>4695480</v>
      </c>
      <c r="AT174" s="9" t="n">
        <f aca="false" ca="false" dt2D="false" dtr="false" t="normal">+S174-AS174</f>
        <v>-3048212.48</v>
      </c>
      <c r="AW174" s="113" t="n">
        <f aca="false" ca="true" dt2D="false" dtr="false" t="normal">SUBTOTAL(9, AX174:BL174)</f>
        <v>2326131.7975841803</v>
      </c>
      <c r="AX174" s="106" t="n">
        <v>0</v>
      </c>
      <c r="AY174" s="106" t="n">
        <v>0</v>
      </c>
      <c r="AZ174" s="106" t="n"/>
      <c r="BA174" s="106" t="n"/>
      <c r="BB174" s="106" t="n"/>
      <c r="BC174" s="106" t="n"/>
      <c r="BD174" s="106" t="n"/>
      <c r="BE174" s="106" t="n"/>
      <c r="BF174" s="106" t="n">
        <v>2093523.54</v>
      </c>
      <c r="BG174" s="106" t="n"/>
      <c r="BH174" s="106" t="n"/>
      <c r="BI174" s="106" t="n"/>
      <c r="BJ174" s="106" t="n"/>
      <c r="BK174" s="114" t="n"/>
      <c r="BL174" s="115" t="n">
        <v>232608.25758418</v>
      </c>
      <c r="BM174" s="14" t="n">
        <f aca="false" ca="true" dt2D="false" dtr="false" t="normal">SUBTOTAL(9, BN174:CB174)</f>
        <v>2326131.7975841803</v>
      </c>
      <c r="BN174" s="106" t="n">
        <v>0</v>
      </c>
      <c r="BO174" s="106" t="n">
        <v>0</v>
      </c>
      <c r="BP174" s="133" t="n"/>
      <c r="BQ174" s="106" t="n"/>
      <c r="BR174" s="106" t="n"/>
      <c r="BS174" s="106" t="n"/>
      <c r="BT174" s="106" t="n"/>
      <c r="BU174" s="106" t="n"/>
      <c r="BV174" s="106" t="n">
        <v>2093523.54</v>
      </c>
      <c r="BW174" s="106" t="n"/>
      <c r="BX174" s="106" t="n"/>
      <c r="BY174" s="106" t="n"/>
      <c r="BZ174" s="106" t="n"/>
      <c r="CA174" s="114" t="n"/>
      <c r="CB174" s="115" t="n">
        <v>232608.25758418</v>
      </c>
      <c r="CD174" s="116" t="n">
        <f aca="false" ca="false" dt2D="false" dtr="false" t="normal">+CD173+1</f>
        <v>157</v>
      </c>
      <c r="CE174" s="117" t="n">
        <f aca="false" ca="false" dt2D="false" dtr="false" t="normal">+CE173+1</f>
        <v>157</v>
      </c>
      <c r="CF174" s="104" t="s">
        <v>253</v>
      </c>
      <c r="CG174" s="104" t="s">
        <v>255</v>
      </c>
      <c r="CH174" s="118" t="n">
        <f aca="false" ca="true" dt2D="false" dtr="false" t="normal">SUBTOTAL(9, CI174:CW174)</f>
        <v>2326131.7975841803</v>
      </c>
      <c r="CI174" s="106" t="n">
        <v>0</v>
      </c>
      <c r="CJ174" s="106" t="n">
        <v>0</v>
      </c>
      <c r="CK174" s="133" t="n"/>
      <c r="CL174" s="106" t="n"/>
      <c r="CM174" s="106" t="n"/>
      <c r="CN174" s="106" t="n"/>
      <c r="CO174" s="106" t="n"/>
      <c r="CP174" s="106" t="n"/>
      <c r="CQ174" s="106" t="n">
        <v>2093523.54</v>
      </c>
      <c r="CR174" s="106" t="n"/>
      <c r="CS174" s="106" t="n"/>
      <c r="CT174" s="106" t="n"/>
      <c r="CU174" s="106" t="n"/>
      <c r="CV174" s="114" t="n"/>
      <c r="CW174" s="115" t="n">
        <v>232608.25758418</v>
      </c>
      <c r="CZ174" s="104" t="s">
        <v>255</v>
      </c>
      <c r="DA174" s="119" t="n">
        <f aca="false" ca="true" dt2D="false" dtr="false" t="normal">SUBTOTAL(9, DB174:DP174)</f>
        <v>2093523.54</v>
      </c>
      <c r="DB174" s="106" t="n">
        <v>0</v>
      </c>
      <c r="DC174" s="106" t="n">
        <v>0</v>
      </c>
      <c r="DD174" s="133" t="n"/>
      <c r="DE174" s="106" t="n"/>
      <c r="DF174" s="106" t="n"/>
      <c r="DG174" s="106" t="n"/>
      <c r="DH174" s="106" t="n"/>
      <c r="DI174" s="106" t="n"/>
      <c r="DJ174" s="106" t="n">
        <v>2093523.54</v>
      </c>
      <c r="DK174" s="106" t="n"/>
      <c r="DL174" s="106" t="n"/>
      <c r="DM174" s="106" t="n"/>
      <c r="DN174" s="106" t="n"/>
      <c r="DO174" s="114" t="n"/>
      <c r="DP174" s="122" t="n"/>
      <c r="DQ174" s="3" t="n">
        <f aca="false" ca="false" dt2D="false" dtr="false" t="normal">N174-DA174</f>
        <v>0</v>
      </c>
      <c r="DS174" s="9" t="n"/>
    </row>
    <row hidden="false" ht="15" outlineLevel="0" r="175">
      <c r="A175" s="103" t="n">
        <f aca="false" ca="false" dt2D="false" dtr="false" t="normal">+A174+1</f>
        <v>158</v>
      </c>
      <c r="B175" s="104" t="n">
        <f aca="false" ca="false" dt2D="false" dtr="false" t="normal">+B174+1</f>
        <v>158</v>
      </c>
      <c r="C175" s="104" t="s">
        <v>253</v>
      </c>
      <c r="D175" s="104" t="s">
        <v>256</v>
      </c>
      <c r="E175" s="105" t="n">
        <v>1989</v>
      </c>
      <c r="F175" s="105" t="n">
        <v>2013</v>
      </c>
      <c r="G175" s="105" t="s">
        <v>68</v>
      </c>
      <c r="H175" s="105" t="n">
        <v>5</v>
      </c>
      <c r="I175" s="105" t="n">
        <v>3</v>
      </c>
      <c r="J175" s="106" t="n">
        <v>2867.1</v>
      </c>
      <c r="K175" s="106" t="n">
        <v>2862</v>
      </c>
      <c r="L175" s="106" t="n">
        <v>0</v>
      </c>
      <c r="M175" s="107" t="n">
        <v>82</v>
      </c>
      <c r="N175" s="108" t="n">
        <f aca="false" ca="false" dt2D="false" dtr="false" t="normal">SUM(P175:T175)</f>
        <v>539462.39</v>
      </c>
      <c r="O175" s="106" t="n"/>
      <c r="P175" s="114" t="n"/>
      <c r="Q175" s="114" t="n"/>
      <c r="R175" s="114" t="n">
        <v>539462.39</v>
      </c>
      <c r="S175" s="114" t="n"/>
      <c r="T175" s="114" t="n"/>
      <c r="U175" s="106" t="n">
        <v>540.191583431293</v>
      </c>
      <c r="V175" s="106" t="n">
        <v>540.191583431293</v>
      </c>
      <c r="W175" s="110" t="n">
        <v>2022</v>
      </c>
      <c r="X175" s="9" t="e">
        <f aca="false" ca="false" dt2D="false" dtr="false" t="normal">+#REF!-'[9]Приложение №1'!$P1235</f>
        <v>#REF!</v>
      </c>
      <c r="Z175" s="113" t="n">
        <f aca="false" ca="false" dt2D="false" dtr="false" t="normal">SUM(AA175:AO175)</f>
        <v>8541004.89</v>
      </c>
      <c r="AA175" s="106" t="n">
        <v>0</v>
      </c>
      <c r="AB175" s="106" t="n">
        <v>0</v>
      </c>
      <c r="AC175" s="106" t="n">
        <v>4445034.5403198</v>
      </c>
      <c r="AD175" s="106" t="n">
        <v>2892873.63603924</v>
      </c>
      <c r="AE175" s="106" t="n">
        <v>0</v>
      </c>
      <c r="AF175" s="106" t="n"/>
      <c r="AG175" s="106" t="n">
        <v>0</v>
      </c>
      <c r="AH175" s="106" t="n">
        <v>0</v>
      </c>
      <c r="AI175" s="106" t="n">
        <v>0</v>
      </c>
      <c r="AJ175" s="106" t="n">
        <v>0</v>
      </c>
      <c r="AK175" s="106" t="n">
        <v>0</v>
      </c>
      <c r="AL175" s="106" t="n">
        <v>0</v>
      </c>
      <c r="AM175" s="106" t="n">
        <v>957221.4747</v>
      </c>
      <c r="AN175" s="114" t="n">
        <v>85410.0489</v>
      </c>
      <c r="AO175" s="115" t="n">
        <v>160465.19004096</v>
      </c>
      <c r="AP175" s="112" t="n">
        <f aca="false" ca="false" dt2D="false" dtr="false" t="normal">+N175-'Приложение №2'!E175</f>
        <v>0</v>
      </c>
      <c r="AQ175" s="1" t="n">
        <v>853930.16</v>
      </c>
      <c r="AR175" s="3" t="n">
        <f aca="false" ca="false" dt2D="false" dtr="false" t="normal">+(K175*10+L175*20)*12*0.85</f>
        <v>291924</v>
      </c>
      <c r="AS175" s="3" t="n">
        <f aca="false" ca="false" dt2D="false" dtr="false" t="normal">+(K175*10+L175*20)*12*30</f>
        <v>10303200</v>
      </c>
      <c r="AT175" s="9" t="n">
        <f aca="false" ca="false" dt2D="false" dtr="false" t="normal">+S175-AS175</f>
        <v>-10303200</v>
      </c>
      <c r="AW175" s="113" t="n">
        <f aca="false" ca="true" dt2D="false" dtr="false" t="normal">SUBTOTAL(9, AX175:BL175)</f>
        <v>1546028.31178036</v>
      </c>
      <c r="AX175" s="106" t="n">
        <v>0</v>
      </c>
      <c r="AY175" s="106" t="n">
        <v>0</v>
      </c>
      <c r="AZ175" s="106" t="n"/>
      <c r="BA175" s="106" t="n"/>
      <c r="BB175" s="106" t="n"/>
      <c r="BC175" s="106" t="n"/>
      <c r="BD175" s="106" t="n"/>
      <c r="BE175" s="106" t="n"/>
      <c r="BF175" s="106" t="n"/>
      <c r="BG175" s="106" t="n"/>
      <c r="BH175" s="106" t="n">
        <v>0</v>
      </c>
      <c r="BI175" s="106" t="n">
        <v>539462.39</v>
      </c>
      <c r="BJ175" s="106" t="n"/>
      <c r="BK175" s="114" t="n"/>
      <c r="BL175" s="115" t="n">
        <v>1006565.92178036</v>
      </c>
      <c r="BM175" s="14" t="n">
        <f aca="false" ca="true" dt2D="false" dtr="false" t="normal">SUBTOTAL(9, BN175:CB175)</f>
        <v>1546028.31178036</v>
      </c>
      <c r="BN175" s="106" t="n">
        <v>0</v>
      </c>
      <c r="BO175" s="106" t="n">
        <v>0</v>
      </c>
      <c r="BP175" s="133" t="n"/>
      <c r="BQ175" s="106" t="n"/>
      <c r="BR175" s="106" t="n"/>
      <c r="BS175" s="106" t="n"/>
      <c r="BT175" s="106" t="n"/>
      <c r="BU175" s="106" t="n"/>
      <c r="BV175" s="106" t="n"/>
      <c r="BW175" s="106" t="n"/>
      <c r="BX175" s="106" t="n">
        <v>0</v>
      </c>
      <c r="BY175" s="106" t="n">
        <v>539462.39</v>
      </c>
      <c r="BZ175" s="106" t="n"/>
      <c r="CA175" s="114" t="n"/>
      <c r="CB175" s="115" t="n">
        <v>1006565.92178036</v>
      </c>
      <c r="CD175" s="116" t="n">
        <f aca="false" ca="false" dt2D="false" dtr="false" t="normal">+CD174+1</f>
        <v>158</v>
      </c>
      <c r="CE175" s="117" t="n">
        <f aca="false" ca="false" dt2D="false" dtr="false" t="normal">+CE174+1</f>
        <v>158</v>
      </c>
      <c r="CF175" s="104" t="s">
        <v>253</v>
      </c>
      <c r="CG175" s="104" t="s">
        <v>256</v>
      </c>
      <c r="CH175" s="118" t="n">
        <f aca="false" ca="true" dt2D="false" dtr="false" t="normal">SUBTOTAL(9, CI175:CW175)</f>
        <v>1546028.31178036</v>
      </c>
      <c r="CI175" s="106" t="n">
        <v>0</v>
      </c>
      <c r="CJ175" s="106" t="n">
        <v>0</v>
      </c>
      <c r="CK175" s="133" t="n"/>
      <c r="CL175" s="106" t="n"/>
      <c r="CM175" s="106" t="n"/>
      <c r="CN175" s="106" t="n"/>
      <c r="CO175" s="106" t="n"/>
      <c r="CP175" s="106" t="n"/>
      <c r="CQ175" s="106" t="n"/>
      <c r="CR175" s="106" t="n"/>
      <c r="CS175" s="106" t="n">
        <v>0</v>
      </c>
      <c r="CT175" s="106" t="n">
        <v>539462.39</v>
      </c>
      <c r="CU175" s="106" t="n"/>
      <c r="CV175" s="114" t="n"/>
      <c r="CW175" s="115" t="n">
        <v>1006565.92178036</v>
      </c>
      <c r="CZ175" s="104" t="s">
        <v>256</v>
      </c>
      <c r="DA175" s="119" t="n">
        <f aca="false" ca="true" dt2D="false" dtr="false" t="normal">SUBTOTAL(9, DB175:DP175)</f>
        <v>539462.39</v>
      </c>
      <c r="DB175" s="106" t="n">
        <v>0</v>
      </c>
      <c r="DC175" s="106" t="n">
        <v>0</v>
      </c>
      <c r="DD175" s="133" t="n"/>
      <c r="DE175" s="106" t="n"/>
      <c r="DF175" s="106" t="n"/>
      <c r="DG175" s="106" t="n"/>
      <c r="DH175" s="106" t="n"/>
      <c r="DI175" s="106" t="n"/>
      <c r="DJ175" s="106" t="n"/>
      <c r="DK175" s="106" t="n"/>
      <c r="DL175" s="106" t="n">
        <v>0</v>
      </c>
      <c r="DM175" s="106" t="n">
        <v>539462.39</v>
      </c>
      <c r="DN175" s="106" t="n"/>
      <c r="DO175" s="114" t="n"/>
      <c r="DP175" s="122" t="n"/>
      <c r="DQ175" s="3" t="n">
        <f aca="false" ca="false" dt2D="false" dtr="false" t="normal">N175-DA175</f>
        <v>0</v>
      </c>
      <c r="DS175" s="9" t="n"/>
    </row>
    <row hidden="false" ht="15" outlineLevel="0" r="176">
      <c r="A176" s="103" t="n">
        <f aca="false" ca="false" dt2D="false" dtr="false" t="normal">+A175+1</f>
        <v>159</v>
      </c>
      <c r="B176" s="104" t="n">
        <f aca="false" ca="false" dt2D="false" dtr="false" t="normal">+B175+1</f>
        <v>159</v>
      </c>
      <c r="C176" s="104" t="s">
        <v>257</v>
      </c>
      <c r="D176" s="104" t="s">
        <v>258</v>
      </c>
      <c r="E176" s="105" t="n">
        <v>1972</v>
      </c>
      <c r="F176" s="105" t="n">
        <v>1984</v>
      </c>
      <c r="G176" s="105" t="s">
        <v>68</v>
      </c>
      <c r="H176" s="105" t="n">
        <v>4</v>
      </c>
      <c r="I176" s="105" t="n">
        <v>2</v>
      </c>
      <c r="J176" s="106" t="n">
        <v>1930.2</v>
      </c>
      <c r="K176" s="106" t="n">
        <v>1800.4</v>
      </c>
      <c r="L176" s="106" t="n">
        <v>0</v>
      </c>
      <c r="M176" s="107" t="n">
        <v>51</v>
      </c>
      <c r="N176" s="108" t="n">
        <f aca="false" ca="false" dt2D="false" dtr="false" t="normal">SUM(P176:T176)</f>
        <v>14480496.200000001</v>
      </c>
      <c r="O176" s="106" t="n"/>
      <c r="P176" s="114" t="n">
        <v>3669216.29</v>
      </c>
      <c r="Q176" s="114" t="n"/>
      <c r="R176" s="114" t="n">
        <v>820153.95</v>
      </c>
      <c r="S176" s="114" t="n">
        <v>6694161.21834428</v>
      </c>
      <c r="T176" s="106" t="n">
        <v>3296964.74165572</v>
      </c>
      <c r="U176" s="114" t="n">
        <v>8254.63791843162</v>
      </c>
      <c r="V176" s="114" t="n">
        <v>8254.63791843162</v>
      </c>
      <c r="W176" s="110" t="n">
        <v>2022</v>
      </c>
      <c r="X176" s="9" t="e">
        <f aca="false" ca="false" dt2D="false" dtr="false" t="normal">+#REF!-'[9]Приложение №1'!$P1261</f>
        <v>#REF!</v>
      </c>
      <c r="Z176" s="113" t="n">
        <f aca="false" ca="false" dt2D="false" dtr="false" t="normal">SUM(AA176:AO176)</f>
        <v>29490722.483320005</v>
      </c>
      <c r="AA176" s="106" t="n">
        <v>3709825.88662686</v>
      </c>
      <c r="AB176" s="106" t="n">
        <v>1713921.95737098</v>
      </c>
      <c r="AC176" s="106" t="n">
        <v>1736279.30300328</v>
      </c>
      <c r="AD176" s="106" t="n">
        <v>1121604.877953</v>
      </c>
      <c r="AE176" s="106" t="n">
        <v>0</v>
      </c>
      <c r="AF176" s="106" t="n"/>
      <c r="AG176" s="106" t="n">
        <v>0</v>
      </c>
      <c r="AH176" s="106" t="n">
        <v>0</v>
      </c>
      <c r="AI176" s="106" t="n">
        <v>8717365.7281746</v>
      </c>
      <c r="AJ176" s="106" t="n">
        <v>0</v>
      </c>
      <c r="AK176" s="106" t="n">
        <v>4503240.0913059</v>
      </c>
      <c r="AL176" s="106" t="n">
        <v>4830668.11</v>
      </c>
      <c r="AM176" s="106" t="n">
        <v>2380364.9164</v>
      </c>
      <c r="AN176" s="114" t="n">
        <v>273293.7369</v>
      </c>
      <c r="AO176" s="115" t="n">
        <v>504157.87558538</v>
      </c>
      <c r="AP176" s="112" t="n">
        <f aca="false" ca="false" dt2D="false" dtr="false" t="normal">+N176-'Приложение №2'!E176</f>
        <v>0</v>
      </c>
      <c r="AQ176" s="1" t="n">
        <v>636513.13</v>
      </c>
      <c r="AR176" s="3" t="n">
        <f aca="false" ca="false" dt2D="false" dtr="false" t="normal">+(K176*10+L176*20)*12*0.85</f>
        <v>183640.8</v>
      </c>
      <c r="AS176" s="3" t="n">
        <f aca="false" ca="false" dt2D="false" dtr="false" t="normal">+(K176*10+L176*20)*12*30</f>
        <v>6481440</v>
      </c>
      <c r="AT176" s="9" t="n">
        <f aca="false" ca="false" dt2D="false" dtr="false" t="normal">+S176-AS176</f>
        <v>212721.21834427956</v>
      </c>
      <c r="AW176" s="113" t="n">
        <f aca="false" ca="true" dt2D="false" dtr="false" t="normal">SUBTOTAL(9, AX176:BL176)</f>
        <v>14861650.10834428</v>
      </c>
      <c r="AX176" s="106" t="n">
        <v>3185792.78</v>
      </c>
      <c r="AY176" s="106" t="n">
        <v>811520.58</v>
      </c>
      <c r="AZ176" s="106" t="n">
        <v>739091.37</v>
      </c>
      <c r="BA176" s="106" t="n"/>
      <c r="BB176" s="106" t="n">
        <v>0</v>
      </c>
      <c r="BC176" s="106" t="n"/>
      <c r="BD176" s="106" t="n"/>
      <c r="BE176" s="106" t="n">
        <v>0</v>
      </c>
      <c r="BF176" s="106" t="n">
        <v>5126751.94</v>
      </c>
      <c r="BG176" s="106" t="n">
        <v>0</v>
      </c>
      <c r="BH176" s="106" t="n"/>
      <c r="BI176" s="106" t="n">
        <v>4617339.53</v>
      </c>
      <c r="BJ176" s="106" t="n"/>
      <c r="BK176" s="114" t="n"/>
      <c r="BL176" s="115" t="n">
        <v>381153.90834428</v>
      </c>
      <c r="BM176" s="14" t="n">
        <f aca="false" ca="true" dt2D="false" dtr="false" t="normal">SUBTOTAL(9, BN176:CB176)</f>
        <v>14861650.10834428</v>
      </c>
      <c r="BN176" s="106" t="n">
        <v>3185792.78</v>
      </c>
      <c r="BO176" s="106" t="n">
        <v>811520.58</v>
      </c>
      <c r="BP176" s="133" t="n">
        <v>739091.37</v>
      </c>
      <c r="BQ176" s="106" t="n"/>
      <c r="BR176" s="106" t="n">
        <v>0</v>
      </c>
      <c r="BS176" s="106" t="n"/>
      <c r="BT176" s="106" t="n"/>
      <c r="BU176" s="106" t="n">
        <v>0</v>
      </c>
      <c r="BV176" s="106" t="n">
        <v>5126751.94</v>
      </c>
      <c r="BW176" s="106" t="n">
        <v>0</v>
      </c>
      <c r="BX176" s="106" t="n"/>
      <c r="BY176" s="106" t="n">
        <v>4617339.53</v>
      </c>
      <c r="BZ176" s="106" t="n"/>
      <c r="CA176" s="114" t="n"/>
      <c r="CB176" s="115" t="n">
        <v>381153.90834428</v>
      </c>
      <c r="CD176" s="116" t="n">
        <f aca="false" ca="false" dt2D="false" dtr="false" t="normal">+CD175+1</f>
        <v>159</v>
      </c>
      <c r="CE176" s="117" t="n">
        <f aca="false" ca="false" dt2D="false" dtr="false" t="normal">+CE175+1</f>
        <v>159</v>
      </c>
      <c r="CF176" s="104" t="s">
        <v>257</v>
      </c>
      <c r="CG176" s="104" t="s">
        <v>258</v>
      </c>
      <c r="CH176" s="118" t="n">
        <f aca="false" ca="true" dt2D="false" dtr="false" t="normal">SUBTOTAL(9, CI176:CW176)</f>
        <v>14861650.10834428</v>
      </c>
      <c r="CI176" s="106" t="n">
        <v>3185792.78</v>
      </c>
      <c r="CJ176" s="106" t="n">
        <v>811520.58</v>
      </c>
      <c r="CK176" s="133" t="n">
        <v>739091.37</v>
      </c>
      <c r="CL176" s="106" t="n"/>
      <c r="CM176" s="106" t="n">
        <v>0</v>
      </c>
      <c r="CN176" s="106" t="n"/>
      <c r="CO176" s="106" t="n"/>
      <c r="CP176" s="106" t="n">
        <v>0</v>
      </c>
      <c r="CQ176" s="106" t="n">
        <v>5126751.94</v>
      </c>
      <c r="CR176" s="106" t="n">
        <v>0</v>
      </c>
      <c r="CS176" s="106" t="n"/>
      <c r="CT176" s="106" t="n">
        <v>4617339.53</v>
      </c>
      <c r="CU176" s="106" t="n"/>
      <c r="CV176" s="114" t="n"/>
      <c r="CW176" s="115" t="n">
        <v>381153.90834428</v>
      </c>
      <c r="CZ176" s="104" t="s">
        <v>258</v>
      </c>
      <c r="DA176" s="119" t="n">
        <f aca="false" ca="true" dt2D="false" dtr="false" t="normal">SUBTOTAL(9, DB176:DP176)</f>
        <v>14480496.2</v>
      </c>
      <c r="DB176" s="106" t="n">
        <v>3185792.78</v>
      </c>
      <c r="DC176" s="106" t="n">
        <v>811520.58</v>
      </c>
      <c r="DD176" s="133" t="n">
        <v>739091.37</v>
      </c>
      <c r="DE176" s="106" t="n"/>
      <c r="DF176" s="106" t="n">
        <v>0</v>
      </c>
      <c r="DG176" s="106" t="n"/>
      <c r="DH176" s="106" t="n"/>
      <c r="DI176" s="106" t="n">
        <v>0</v>
      </c>
      <c r="DJ176" s="106" t="n">
        <v>5126751.94</v>
      </c>
      <c r="DK176" s="106" t="n">
        <v>0</v>
      </c>
      <c r="DL176" s="106" t="n"/>
      <c r="DM176" s="106" t="n">
        <v>4617339.53</v>
      </c>
      <c r="DN176" s="106" t="n"/>
      <c r="DO176" s="114" t="n"/>
      <c r="DP176" s="122" t="n"/>
      <c r="DQ176" s="3" t="n">
        <f aca="false" ca="false" dt2D="false" dtr="false" t="normal">N176-DA176</f>
        <v>0</v>
      </c>
      <c r="DS176" s="9" t="n"/>
    </row>
    <row hidden="false" ht="15" outlineLevel="0" r="177">
      <c r="A177" s="103" t="n">
        <f aca="false" ca="false" dt2D="false" dtr="false" t="normal">+A176+1</f>
        <v>160</v>
      </c>
      <c r="B177" s="104" t="n">
        <f aca="false" ca="false" dt2D="false" dtr="false" t="normal">+B176+1</f>
        <v>160</v>
      </c>
      <c r="C177" s="104" t="s">
        <v>259</v>
      </c>
      <c r="D177" s="104" t="s">
        <v>260</v>
      </c>
      <c r="E177" s="105" t="n">
        <v>1986</v>
      </c>
      <c r="F177" s="105" t="n">
        <v>1986</v>
      </c>
      <c r="G177" s="105" t="s">
        <v>68</v>
      </c>
      <c r="H177" s="105" t="n">
        <v>2</v>
      </c>
      <c r="I177" s="105" t="n">
        <v>3</v>
      </c>
      <c r="J177" s="106" t="n">
        <v>946.5</v>
      </c>
      <c r="K177" s="106" t="n">
        <v>797.7</v>
      </c>
      <c r="L177" s="106" t="n">
        <v>0</v>
      </c>
      <c r="M177" s="107" t="n">
        <v>25</v>
      </c>
      <c r="N177" s="108" t="n">
        <f aca="false" ca="false" dt2D="false" dtr="false" t="normal">SUM(P177:T177)</f>
        <v>3997136.3000000003</v>
      </c>
      <c r="O177" s="106" t="n"/>
      <c r="P177" s="114" t="n">
        <v>1957073.09333333</v>
      </c>
      <c r="Q177" s="114" t="n"/>
      <c r="R177" s="114" t="n">
        <v>202536.72</v>
      </c>
      <c r="S177" s="114" t="n">
        <v>1050861.08</v>
      </c>
      <c r="T177" s="106" t="n">
        <v>786665.40666667</v>
      </c>
      <c r="U177" s="114" t="n">
        <v>5198.83621138523</v>
      </c>
      <c r="V177" s="114" t="n">
        <v>5198.83621138523</v>
      </c>
      <c r="W177" s="110" t="n">
        <v>2022</v>
      </c>
      <c r="X177" s="9" t="e">
        <f aca="false" ca="false" dt2D="false" dtr="false" t="normal">+#REF!-'[9]Приложение №1'!$P1702</f>
        <v>#REF!</v>
      </c>
      <c r="Z177" s="113" t="n">
        <f aca="false" ca="false" dt2D="false" dtr="false" t="normal">SUM(AA177:AO177)</f>
        <v>7124617.08</v>
      </c>
      <c r="AA177" s="106" t="n">
        <v>0</v>
      </c>
      <c r="AB177" s="106" t="n">
        <v>0</v>
      </c>
      <c r="AC177" s="106" t="n">
        <v>0</v>
      </c>
      <c r="AD177" s="106" t="n">
        <v>0</v>
      </c>
      <c r="AE177" s="106" t="n">
        <v>0</v>
      </c>
      <c r="AF177" s="106" t="n"/>
      <c r="AG177" s="106" t="n">
        <v>0</v>
      </c>
      <c r="AH177" s="106" t="n">
        <v>0</v>
      </c>
      <c r="AI177" s="106" t="n">
        <v>0</v>
      </c>
      <c r="AJ177" s="106" t="n">
        <v>0</v>
      </c>
      <c r="AK177" s="106" t="n">
        <v>0</v>
      </c>
      <c r="AL177" s="106" t="n">
        <v>6205213.74429432</v>
      </c>
      <c r="AM177" s="106" t="n">
        <v>712461.708</v>
      </c>
      <c r="AN177" s="114" t="n">
        <v>71246.1708</v>
      </c>
      <c r="AO177" s="115" t="n">
        <v>135695.45690568</v>
      </c>
      <c r="AP177" s="112" t="n">
        <f aca="false" ca="false" dt2D="false" dtr="false" t="normal">+N177-'Приложение №2'!E177</f>
        <v>0</v>
      </c>
      <c r="AQ177" s="1" t="n">
        <f aca="false" ca="false" dt2D="false" dtr="false" t="normal">309904.68-196260.96</f>
        <v>113643.72</v>
      </c>
      <c r="AR177" s="3" t="n">
        <f aca="false" ca="false" dt2D="false" dtr="false" t="normal">+(K177*10+L177*20)*12*0.85</f>
        <v>81365.4</v>
      </c>
      <c r="AS177" s="3" t="n">
        <f aca="false" ca="false" dt2D="false" dtr="false" t="normal">+(K177*10+L177*20)*12*30-2086538.92</f>
        <v>785181.0800000001</v>
      </c>
      <c r="AT177" s="9" t="n">
        <f aca="false" ca="false" dt2D="false" dtr="false" t="normal">+S177-AS177</f>
        <v>265680</v>
      </c>
      <c r="AW177" s="113" t="n">
        <f aca="false" ca="true" dt2D="false" dtr="false" t="normal">SUBTOTAL(9, AX177:BL177)</f>
        <v>4147111.645822</v>
      </c>
      <c r="AX177" s="106" t="n">
        <v>0</v>
      </c>
      <c r="AY177" s="106" t="n">
        <v>0</v>
      </c>
      <c r="AZ177" s="106" t="n">
        <v>0</v>
      </c>
      <c r="BA177" s="106" t="n">
        <v>0</v>
      </c>
      <c r="BB177" s="106" t="n">
        <v>0</v>
      </c>
      <c r="BC177" s="106" t="n"/>
      <c r="BD177" s="106" t="n"/>
      <c r="BE177" s="106" t="n">
        <v>0</v>
      </c>
      <c r="BF177" s="106" t="n">
        <v>0</v>
      </c>
      <c r="BG177" s="106" t="n">
        <v>0</v>
      </c>
      <c r="BH177" s="106" t="n">
        <v>0</v>
      </c>
      <c r="BI177" s="106" t="n">
        <v>3880712.95</v>
      </c>
      <c r="BJ177" s="106" t="n">
        <v>63874.52</v>
      </c>
      <c r="BK177" s="114" t="n">
        <v>52548.83</v>
      </c>
      <c r="BL177" s="115" t="n">
        <v>149975.345822</v>
      </c>
      <c r="BM177" s="14" t="n">
        <f aca="false" ca="true" dt2D="false" dtr="false" t="normal">SUBTOTAL(9, BN177:CB177)</f>
        <v>4147111.645822</v>
      </c>
      <c r="BN177" s="106" t="n">
        <v>0</v>
      </c>
      <c r="BO177" s="106" t="n">
        <v>0</v>
      </c>
      <c r="BP177" s="133" t="n">
        <v>0</v>
      </c>
      <c r="BQ177" s="106" t="n">
        <v>0</v>
      </c>
      <c r="BR177" s="106" t="n">
        <v>0</v>
      </c>
      <c r="BS177" s="106" t="n"/>
      <c r="BT177" s="106" t="n"/>
      <c r="BU177" s="106" t="n">
        <v>0</v>
      </c>
      <c r="BV177" s="106" t="n">
        <v>0</v>
      </c>
      <c r="BW177" s="106" t="n">
        <v>0</v>
      </c>
      <c r="BX177" s="106" t="n">
        <v>0</v>
      </c>
      <c r="BY177" s="106" t="n">
        <v>3880712.95</v>
      </c>
      <c r="BZ177" s="106" t="n">
        <v>63874.52</v>
      </c>
      <c r="CA177" s="114" t="n">
        <v>52548.83</v>
      </c>
      <c r="CB177" s="115" t="n">
        <v>149975.345822</v>
      </c>
      <c r="CD177" s="116" t="n">
        <f aca="false" ca="false" dt2D="false" dtr="false" t="normal">+CD176+1</f>
        <v>160</v>
      </c>
      <c r="CE177" s="117" t="n">
        <f aca="false" ca="false" dt2D="false" dtr="false" t="normal">+CE176+1</f>
        <v>160</v>
      </c>
      <c r="CF177" s="104" t="s">
        <v>259</v>
      </c>
      <c r="CG177" s="104" t="s">
        <v>260</v>
      </c>
      <c r="CH177" s="118" t="n">
        <f aca="false" ca="true" dt2D="false" dtr="false" t="normal">SUBTOTAL(9, CI177:CW177)</f>
        <v>4147111.645822</v>
      </c>
      <c r="CI177" s="106" t="n">
        <v>0</v>
      </c>
      <c r="CJ177" s="106" t="n">
        <v>0</v>
      </c>
      <c r="CK177" s="133" t="n">
        <v>0</v>
      </c>
      <c r="CL177" s="106" t="n">
        <v>0</v>
      </c>
      <c r="CM177" s="106" t="n">
        <v>0</v>
      </c>
      <c r="CN177" s="106" t="n"/>
      <c r="CO177" s="106" t="n"/>
      <c r="CP177" s="106" t="n">
        <v>0</v>
      </c>
      <c r="CQ177" s="106" t="n">
        <v>0</v>
      </c>
      <c r="CR177" s="106" t="n">
        <v>0</v>
      </c>
      <c r="CS177" s="106" t="n">
        <v>0</v>
      </c>
      <c r="CT177" s="106" t="n">
        <v>3880712.95</v>
      </c>
      <c r="CU177" s="106" t="n">
        <v>63874.52</v>
      </c>
      <c r="CV177" s="114" t="n">
        <v>52548.83</v>
      </c>
      <c r="CW177" s="115" t="n">
        <v>149975.345822</v>
      </c>
      <c r="CZ177" s="104" t="s">
        <v>260</v>
      </c>
      <c r="DA177" s="119" t="n">
        <f aca="false" ca="true" dt2D="false" dtr="false" t="normal">SUBTOTAL(9, DB177:DP177)</f>
        <v>3997136.3000000003</v>
      </c>
      <c r="DB177" s="106" t="n">
        <v>0</v>
      </c>
      <c r="DC177" s="106" t="n">
        <v>0</v>
      </c>
      <c r="DD177" s="133" t="n">
        <v>0</v>
      </c>
      <c r="DE177" s="106" t="n">
        <v>0</v>
      </c>
      <c r="DF177" s="106" t="n">
        <v>0</v>
      </c>
      <c r="DG177" s="106" t="n"/>
      <c r="DH177" s="106" t="n"/>
      <c r="DI177" s="106" t="n">
        <v>0</v>
      </c>
      <c r="DJ177" s="106" t="n">
        <v>0</v>
      </c>
      <c r="DK177" s="106" t="n">
        <v>0</v>
      </c>
      <c r="DL177" s="106" t="n">
        <v>0</v>
      </c>
      <c r="DM177" s="106" t="n">
        <v>3880712.95</v>
      </c>
      <c r="DN177" s="106" t="n">
        <v>63874.52</v>
      </c>
      <c r="DO177" s="114" t="n">
        <v>52548.83</v>
      </c>
      <c r="DP177" s="122" t="n"/>
      <c r="DQ177" s="3" t="n">
        <f aca="false" ca="false" dt2D="false" dtr="false" t="normal">N177-DA177</f>
        <v>0</v>
      </c>
      <c r="DS177" s="9" t="n"/>
    </row>
    <row hidden="false" ht="15" outlineLevel="0" r="178">
      <c r="A178" s="103" t="n">
        <f aca="false" ca="false" dt2D="false" dtr="false" t="normal">+A177+1</f>
        <v>161</v>
      </c>
      <c r="B178" s="104" t="n">
        <f aca="false" ca="false" dt2D="false" dtr="false" t="normal">+B177+1</f>
        <v>161</v>
      </c>
      <c r="C178" s="104" t="s">
        <v>259</v>
      </c>
      <c r="D178" s="104" t="s">
        <v>261</v>
      </c>
      <c r="E178" s="105" t="n">
        <v>1986</v>
      </c>
      <c r="F178" s="105" t="n">
        <v>1986</v>
      </c>
      <c r="G178" s="105" t="s">
        <v>68</v>
      </c>
      <c r="H178" s="105" t="n">
        <v>4</v>
      </c>
      <c r="I178" s="105" t="n">
        <v>4</v>
      </c>
      <c r="J178" s="106" t="n">
        <v>3420.4</v>
      </c>
      <c r="K178" s="106" t="n">
        <v>2641.9</v>
      </c>
      <c r="L178" s="106" t="n">
        <v>0</v>
      </c>
      <c r="M178" s="107" t="n">
        <v>102</v>
      </c>
      <c r="N178" s="108" t="n">
        <f aca="false" ca="false" dt2D="false" dtr="false" t="normal">SUM(P178:T178)</f>
        <v>6696808.97</v>
      </c>
      <c r="O178" s="106" t="n"/>
      <c r="P178" s="114" t="n"/>
      <c r="Q178" s="114" t="n"/>
      <c r="R178" s="114" t="n">
        <v>1164386.93</v>
      </c>
      <c r="S178" s="114" t="n">
        <v>5532422.04</v>
      </c>
      <c r="T178" s="106" t="n"/>
      <c r="U178" s="114" t="n">
        <v>2710.44898512358</v>
      </c>
      <c r="V178" s="114" t="n">
        <v>2710.44898512358</v>
      </c>
      <c r="W178" s="110" t="n">
        <v>2022</v>
      </c>
      <c r="X178" s="9" t="e">
        <f aca="false" ca="false" dt2D="false" dtr="false" t="normal">+#REF!-'[9]Приложение №1'!$P1015</f>
        <v>#REF!</v>
      </c>
      <c r="Z178" s="113" t="n">
        <f aca="false" ca="false" dt2D="false" dtr="false" t="normal">SUM(AA178:AO178)</f>
        <v>21968812.86</v>
      </c>
      <c r="AA178" s="106" t="n">
        <v>0</v>
      </c>
      <c r="AB178" s="106" t="n">
        <v>0</v>
      </c>
      <c r="AC178" s="106" t="n">
        <v>0</v>
      </c>
      <c r="AD178" s="106" t="n">
        <v>0</v>
      </c>
      <c r="AE178" s="106" t="n">
        <v>0</v>
      </c>
      <c r="AF178" s="106" t="n"/>
      <c r="AG178" s="106" t="n">
        <v>0</v>
      </c>
      <c r="AH178" s="106" t="n">
        <v>0</v>
      </c>
      <c r="AI178" s="106" t="n">
        <v>12571294.6707264</v>
      </c>
      <c r="AJ178" s="106" t="n">
        <v>0</v>
      </c>
      <c r="AK178" s="106" t="n">
        <v>0</v>
      </c>
      <c r="AL178" s="106" t="n">
        <v>6702211.816839</v>
      </c>
      <c r="AM178" s="106" t="n">
        <v>2054145.6924</v>
      </c>
      <c r="AN178" s="114" t="n">
        <v>219688.1286</v>
      </c>
      <c r="AO178" s="115" t="n">
        <v>421472.5514346</v>
      </c>
      <c r="AP178" s="112" t="n">
        <f aca="false" ca="false" dt2D="false" dtr="false" t="normal">+N178-'Приложение №2'!E178</f>
        <v>0</v>
      </c>
      <c r="AQ178" s="1" t="n">
        <v>1184809.02</v>
      </c>
      <c r="AR178" s="3" t="n">
        <f aca="false" ca="false" dt2D="false" dtr="false" t="normal">+(K178*10+L178*20)*12*0.85</f>
        <v>269473.8</v>
      </c>
      <c r="AS178" s="3" t="n">
        <f aca="false" ca="false" dt2D="false" dtr="false" t="normal">+(K178*10+L178*20)*12*30</f>
        <v>9510840</v>
      </c>
      <c r="AT178" s="9" t="n">
        <f aca="false" ca="false" dt2D="false" dtr="false" t="normal">+S178-AS178</f>
        <v>-3978417.96</v>
      </c>
      <c r="AW178" s="113" t="n">
        <f aca="false" ca="true" dt2D="false" dtr="false" t="normal">SUBTOTAL(9, AX178:BL178)</f>
        <v>7160735.1737979995</v>
      </c>
      <c r="AX178" s="106" t="n">
        <v>0</v>
      </c>
      <c r="AY178" s="106" t="n">
        <v>0</v>
      </c>
      <c r="AZ178" s="106" t="n">
        <v>0</v>
      </c>
      <c r="BA178" s="106" t="n">
        <v>0</v>
      </c>
      <c r="BB178" s="106" t="n">
        <v>0</v>
      </c>
      <c r="BC178" s="106" t="n"/>
      <c r="BD178" s="106" t="n"/>
      <c r="BE178" s="106" t="n">
        <v>0</v>
      </c>
      <c r="BF178" s="106" t="n">
        <v>6406790.68</v>
      </c>
      <c r="BG178" s="106" t="n">
        <v>0</v>
      </c>
      <c r="BH178" s="106" t="n">
        <v>0</v>
      </c>
      <c r="BI178" s="106" t="n"/>
      <c r="BJ178" s="106" t="n">
        <v>228114.94</v>
      </c>
      <c r="BK178" s="114" t="n">
        <v>61903.35</v>
      </c>
      <c r="BL178" s="115" t="n">
        <v>463926.203798</v>
      </c>
      <c r="BM178" s="14" t="n">
        <f aca="false" ca="true" dt2D="false" dtr="false" t="normal">SUBTOTAL(9, BN178:CB178)</f>
        <v>7160735.1737979995</v>
      </c>
      <c r="BN178" s="106" t="n">
        <v>0</v>
      </c>
      <c r="BO178" s="106" t="n">
        <v>0</v>
      </c>
      <c r="BP178" s="133" t="n">
        <v>0</v>
      </c>
      <c r="BQ178" s="106" t="n">
        <v>0</v>
      </c>
      <c r="BR178" s="106" t="n">
        <v>0</v>
      </c>
      <c r="BS178" s="106" t="n"/>
      <c r="BT178" s="106" t="n"/>
      <c r="BU178" s="106" t="n">
        <v>0</v>
      </c>
      <c r="BV178" s="106" t="n">
        <v>6406790.68</v>
      </c>
      <c r="BW178" s="106" t="n">
        <v>0</v>
      </c>
      <c r="BX178" s="106" t="n">
        <v>0</v>
      </c>
      <c r="BY178" s="106" t="n"/>
      <c r="BZ178" s="106" t="n">
        <v>228114.94</v>
      </c>
      <c r="CA178" s="114" t="n">
        <v>61903.35</v>
      </c>
      <c r="CB178" s="115" t="n">
        <v>463926.203798</v>
      </c>
      <c r="CD178" s="116" t="n">
        <f aca="false" ca="false" dt2D="false" dtr="false" t="normal">+CD177+1</f>
        <v>161</v>
      </c>
      <c r="CE178" s="117" t="n">
        <f aca="false" ca="false" dt2D="false" dtr="false" t="normal">+CE177+1</f>
        <v>161</v>
      </c>
      <c r="CF178" s="104" t="s">
        <v>259</v>
      </c>
      <c r="CG178" s="104" t="s">
        <v>261</v>
      </c>
      <c r="CH178" s="118" t="n">
        <f aca="false" ca="true" dt2D="false" dtr="false" t="normal">SUBTOTAL(9, CI178:CW178)</f>
        <v>7160735.1737979995</v>
      </c>
      <c r="CI178" s="106" t="n">
        <v>0</v>
      </c>
      <c r="CJ178" s="106" t="n">
        <v>0</v>
      </c>
      <c r="CK178" s="133" t="n">
        <v>0</v>
      </c>
      <c r="CL178" s="106" t="n">
        <v>0</v>
      </c>
      <c r="CM178" s="106" t="n">
        <v>0</v>
      </c>
      <c r="CN178" s="106" t="n"/>
      <c r="CO178" s="106" t="n"/>
      <c r="CP178" s="106" t="n">
        <v>0</v>
      </c>
      <c r="CQ178" s="106" t="n">
        <v>6406790.68</v>
      </c>
      <c r="CR178" s="106" t="n">
        <v>0</v>
      </c>
      <c r="CS178" s="106" t="n">
        <v>0</v>
      </c>
      <c r="CT178" s="106" t="n"/>
      <c r="CU178" s="106" t="n">
        <v>228114.94</v>
      </c>
      <c r="CV178" s="114" t="n">
        <v>61903.35</v>
      </c>
      <c r="CW178" s="115" t="n">
        <v>463926.203798</v>
      </c>
      <c r="CZ178" s="104" t="s">
        <v>261</v>
      </c>
      <c r="DA178" s="119" t="n">
        <f aca="false" ca="true" dt2D="false" dtr="false" t="normal">SUBTOTAL(9, DB178:DP178)</f>
        <v>6696808.97</v>
      </c>
      <c r="DB178" s="106" t="n">
        <v>0</v>
      </c>
      <c r="DC178" s="106" t="n">
        <v>0</v>
      </c>
      <c r="DD178" s="133" t="n">
        <v>0</v>
      </c>
      <c r="DE178" s="106" t="n">
        <v>0</v>
      </c>
      <c r="DF178" s="106" t="n">
        <v>0</v>
      </c>
      <c r="DG178" s="106" t="n"/>
      <c r="DH178" s="106" t="n"/>
      <c r="DI178" s="106" t="n">
        <v>0</v>
      </c>
      <c r="DJ178" s="106" t="n">
        <v>6406790.68</v>
      </c>
      <c r="DK178" s="106" t="n">
        <v>0</v>
      </c>
      <c r="DL178" s="106" t="n">
        <v>0</v>
      </c>
      <c r="DM178" s="106" t="n"/>
      <c r="DN178" s="106" t="n">
        <v>228114.94</v>
      </c>
      <c r="DO178" s="114" t="n">
        <v>61903.35</v>
      </c>
      <c r="DP178" s="122" t="n"/>
      <c r="DQ178" s="3" t="n">
        <f aca="false" ca="false" dt2D="false" dtr="false" t="normal">N178-DA178</f>
        <v>0</v>
      </c>
      <c r="DS178" s="9" t="n"/>
    </row>
    <row hidden="false" ht="15" outlineLevel="0" r="179">
      <c r="A179" s="103" t="n">
        <f aca="false" ca="false" dt2D="false" dtr="false" t="normal">+A178+1</f>
        <v>162</v>
      </c>
      <c r="B179" s="104" t="n">
        <f aca="false" ca="false" dt2D="false" dtr="false" t="normal">+B178+1</f>
        <v>162</v>
      </c>
      <c r="C179" s="104" t="s">
        <v>259</v>
      </c>
      <c r="D179" s="104" t="s">
        <v>262</v>
      </c>
      <c r="E179" s="105" t="n">
        <v>1974</v>
      </c>
      <c r="F179" s="105" t="n">
        <v>1974</v>
      </c>
      <c r="G179" s="105" t="s">
        <v>68</v>
      </c>
      <c r="H179" s="105" t="n">
        <v>4</v>
      </c>
      <c r="I179" s="105" t="n">
        <v>4</v>
      </c>
      <c r="J179" s="106" t="n">
        <v>1999.2</v>
      </c>
      <c r="K179" s="106" t="n">
        <v>1458.9</v>
      </c>
      <c r="L179" s="106" t="n">
        <v>314.6</v>
      </c>
      <c r="M179" s="107" t="n">
        <v>57</v>
      </c>
      <c r="N179" s="108" t="n">
        <f aca="false" ca="false" dt2D="false" dtr="false" t="normal">SUM(P179:T179)</f>
        <v>4893604.36</v>
      </c>
      <c r="O179" s="106" t="n"/>
      <c r="P179" s="114" t="n"/>
      <c r="Q179" s="114" t="n"/>
      <c r="R179" s="114" t="n">
        <v>1064233.07</v>
      </c>
      <c r="S179" s="114" t="n">
        <v>3829371.29</v>
      </c>
      <c r="T179" s="106" t="n"/>
      <c r="U179" s="114" t="n">
        <v>2873.33307887905</v>
      </c>
      <c r="V179" s="114" t="n">
        <v>2873.33307887905</v>
      </c>
      <c r="W179" s="110" t="n">
        <v>2022</v>
      </c>
      <c r="X179" s="9" t="e">
        <f aca="false" ca="false" dt2D="false" dtr="false" t="normal">+#REF!-'[9]Приложение №1'!$P1271</f>
        <v>#REF!</v>
      </c>
      <c r="Z179" s="113" t="n">
        <f aca="false" ca="false" dt2D="false" dtr="false" t="normal">SUM(AA179:AO179)</f>
        <v>9558548.7</v>
      </c>
      <c r="AA179" s="106" t="n">
        <v>0</v>
      </c>
      <c r="AB179" s="106" t="n">
        <v>0</v>
      </c>
      <c r="AC179" s="106" t="n">
        <v>0</v>
      </c>
      <c r="AD179" s="106" t="n">
        <v>0</v>
      </c>
      <c r="AE179" s="106" t="n">
        <v>0</v>
      </c>
      <c r="AF179" s="106" t="n"/>
      <c r="AG179" s="106" t="n">
        <v>0</v>
      </c>
      <c r="AH179" s="106" t="n">
        <v>0</v>
      </c>
      <c r="AI179" s="106" t="n">
        <v>8418596.182038</v>
      </c>
      <c r="AJ179" s="106" t="n">
        <v>0</v>
      </c>
      <c r="AK179" s="106" t="n">
        <v>0</v>
      </c>
      <c r="AL179" s="106" t="n">
        <v>0</v>
      </c>
      <c r="AM179" s="106" t="n">
        <v>860269.383</v>
      </c>
      <c r="AN179" s="114" t="n">
        <v>95585.487</v>
      </c>
      <c r="AO179" s="115" t="n">
        <v>184097.647962</v>
      </c>
      <c r="AP179" s="112" t="n">
        <f aca="false" ca="false" dt2D="false" dtr="false" t="normal">+N179-'Приложение №2'!E179</f>
        <v>0</v>
      </c>
      <c r="AQ179" s="1" t="n">
        <v>851246.87</v>
      </c>
      <c r="AR179" s="3" t="n">
        <f aca="false" ca="false" dt2D="false" dtr="false" t="normal">+(K179*10+L179*20)*12*0.85</f>
        <v>212986.19999999998</v>
      </c>
      <c r="AS179" s="3" t="n">
        <f aca="false" ca="false" dt2D="false" dtr="false" t="normal">+(K179*10+L179*20)*12*30</f>
        <v>7517160</v>
      </c>
      <c r="AT179" s="9" t="n">
        <f aca="false" ca="false" dt2D="false" dtr="false" t="normal">+S179-AS179</f>
        <v>-3687788.71</v>
      </c>
      <c r="AW179" s="113" t="n">
        <f aca="false" ca="true" dt2D="false" dtr="false" t="normal">SUBTOTAL(9, AX179:BL179)</f>
        <v>5095856.215392</v>
      </c>
      <c r="AX179" s="106" t="n">
        <v>0</v>
      </c>
      <c r="AY179" s="106" t="n">
        <v>0</v>
      </c>
      <c r="AZ179" s="106" t="n">
        <v>0</v>
      </c>
      <c r="BA179" s="106" t="n">
        <v>0</v>
      </c>
      <c r="BB179" s="106" t="n">
        <v>0</v>
      </c>
      <c r="BC179" s="106" t="n"/>
      <c r="BD179" s="106" t="n"/>
      <c r="BE179" s="106" t="n">
        <v>0</v>
      </c>
      <c r="BF179" s="106" t="n">
        <v>4786076.94</v>
      </c>
      <c r="BG179" s="106" t="n">
        <v>0</v>
      </c>
      <c r="BH179" s="106" t="n">
        <v>0</v>
      </c>
      <c r="BI179" s="106" t="n">
        <v>0</v>
      </c>
      <c r="BJ179" s="106" t="n">
        <v>92267.42</v>
      </c>
      <c r="BK179" s="114" t="n">
        <v>15260</v>
      </c>
      <c r="BL179" s="115" t="n">
        <v>202251.855392</v>
      </c>
      <c r="BM179" s="14" t="n">
        <f aca="false" ca="true" dt2D="false" dtr="false" t="normal">SUBTOTAL(9, BN179:CB179)</f>
        <v>5095856.215392</v>
      </c>
      <c r="BN179" s="106" t="n">
        <v>0</v>
      </c>
      <c r="BO179" s="106" t="n">
        <v>0</v>
      </c>
      <c r="BP179" s="133" t="n">
        <v>0</v>
      </c>
      <c r="BQ179" s="106" t="n">
        <v>0</v>
      </c>
      <c r="BR179" s="106" t="n">
        <v>0</v>
      </c>
      <c r="BS179" s="106" t="n"/>
      <c r="BT179" s="106" t="n"/>
      <c r="BU179" s="106" t="n">
        <v>0</v>
      </c>
      <c r="BV179" s="106" t="n">
        <v>4786076.94</v>
      </c>
      <c r="BW179" s="106" t="n">
        <v>0</v>
      </c>
      <c r="BX179" s="106" t="n">
        <v>0</v>
      </c>
      <c r="BY179" s="106" t="n">
        <v>0</v>
      </c>
      <c r="BZ179" s="106" t="n">
        <v>92267.42</v>
      </c>
      <c r="CA179" s="114" t="n">
        <v>15260</v>
      </c>
      <c r="CB179" s="115" t="n">
        <v>202251.855392</v>
      </c>
      <c r="CD179" s="116" t="n">
        <f aca="false" ca="false" dt2D="false" dtr="false" t="normal">+CD178+1</f>
        <v>162</v>
      </c>
      <c r="CE179" s="117" t="n">
        <f aca="false" ca="false" dt2D="false" dtr="false" t="normal">+CE178+1</f>
        <v>162</v>
      </c>
      <c r="CF179" s="104" t="s">
        <v>259</v>
      </c>
      <c r="CG179" s="104" t="s">
        <v>262</v>
      </c>
      <c r="CH179" s="118" t="n">
        <f aca="false" ca="true" dt2D="false" dtr="false" t="normal">SUBTOTAL(9, CI179:CW179)</f>
        <v>5095856.215392</v>
      </c>
      <c r="CI179" s="106" t="n">
        <v>0</v>
      </c>
      <c r="CJ179" s="106" t="n">
        <v>0</v>
      </c>
      <c r="CK179" s="133" t="n">
        <v>0</v>
      </c>
      <c r="CL179" s="106" t="n">
        <v>0</v>
      </c>
      <c r="CM179" s="106" t="n">
        <v>0</v>
      </c>
      <c r="CN179" s="106" t="n"/>
      <c r="CO179" s="106" t="n"/>
      <c r="CP179" s="106" t="n">
        <v>0</v>
      </c>
      <c r="CQ179" s="106" t="n">
        <v>4786076.94</v>
      </c>
      <c r="CR179" s="106" t="n">
        <v>0</v>
      </c>
      <c r="CS179" s="106" t="n">
        <v>0</v>
      </c>
      <c r="CT179" s="106" t="n">
        <v>0</v>
      </c>
      <c r="CU179" s="106" t="n">
        <v>92267.42</v>
      </c>
      <c r="CV179" s="114" t="n">
        <v>15260</v>
      </c>
      <c r="CW179" s="115" t="n">
        <v>202251.855392</v>
      </c>
      <c r="CZ179" s="104" t="s">
        <v>262</v>
      </c>
      <c r="DA179" s="119" t="n">
        <f aca="false" ca="true" dt2D="false" dtr="false" t="normal">SUBTOTAL(9, DB179:DP179)</f>
        <v>4893604.36</v>
      </c>
      <c r="DB179" s="106" t="n">
        <v>0</v>
      </c>
      <c r="DC179" s="106" t="n">
        <v>0</v>
      </c>
      <c r="DD179" s="133" t="n">
        <v>0</v>
      </c>
      <c r="DE179" s="106" t="n">
        <v>0</v>
      </c>
      <c r="DF179" s="106" t="n">
        <v>0</v>
      </c>
      <c r="DG179" s="106" t="n"/>
      <c r="DH179" s="106" t="n"/>
      <c r="DI179" s="106" t="n">
        <v>0</v>
      </c>
      <c r="DJ179" s="106" t="n">
        <v>4786076.94</v>
      </c>
      <c r="DK179" s="106" t="n">
        <v>0</v>
      </c>
      <c r="DL179" s="106" t="n">
        <v>0</v>
      </c>
      <c r="DM179" s="106" t="n">
        <v>0</v>
      </c>
      <c r="DN179" s="106" t="n">
        <v>92267.42</v>
      </c>
      <c r="DO179" s="114" t="n">
        <v>15260</v>
      </c>
      <c r="DP179" s="122" t="n"/>
      <c r="DQ179" s="3" t="n">
        <f aca="false" ca="false" dt2D="false" dtr="false" t="normal">N179-DA179</f>
        <v>0</v>
      </c>
      <c r="DS179" s="9" t="n"/>
    </row>
    <row hidden="false" ht="15" outlineLevel="0" r="180">
      <c r="A180" s="103" t="n">
        <f aca="false" ca="false" dt2D="false" dtr="false" t="normal">+A179+1</f>
        <v>163</v>
      </c>
      <c r="B180" s="104" t="n">
        <f aca="false" ca="false" dt2D="false" dtr="false" t="normal">+B179+1</f>
        <v>163</v>
      </c>
      <c r="C180" s="104" t="s">
        <v>263</v>
      </c>
      <c r="D180" s="104" t="s">
        <v>264</v>
      </c>
      <c r="E180" s="105" t="n">
        <v>1988</v>
      </c>
      <c r="F180" s="105" t="n">
        <v>2011</v>
      </c>
      <c r="G180" s="105" t="s">
        <v>68</v>
      </c>
      <c r="H180" s="105" t="n">
        <v>4</v>
      </c>
      <c r="I180" s="105" t="n">
        <v>4</v>
      </c>
      <c r="J180" s="106" t="n">
        <v>4417.02</v>
      </c>
      <c r="K180" s="106" t="n">
        <v>3086.82</v>
      </c>
      <c r="L180" s="106" t="n">
        <v>1330.2</v>
      </c>
      <c r="M180" s="107" t="n">
        <v>138</v>
      </c>
      <c r="N180" s="108" t="n">
        <f aca="false" ca="false" dt2D="false" dtr="false" t="normal">SUM(P180:T180)</f>
        <v>5464157.29</v>
      </c>
      <c r="O180" s="106" t="n"/>
      <c r="P180" s="114" t="n">
        <v>4957331.04</v>
      </c>
      <c r="Q180" s="114" t="n"/>
      <c r="R180" s="114" t="n">
        <v>506826.25</v>
      </c>
      <c r="S180" s="114" t="n"/>
      <c r="T180" s="106" t="n"/>
      <c r="U180" s="114" t="n">
        <v>1287.57496909681</v>
      </c>
      <c r="V180" s="114" t="n">
        <v>1287.57496909681</v>
      </c>
      <c r="W180" s="110" t="n">
        <v>2022</v>
      </c>
      <c r="X180" s="9" t="e">
        <f aca="false" ca="false" dt2D="false" dtr="false" t="normal">+#REF!-'[9]Приложение №1'!$P1281</f>
        <v>#REF!</v>
      </c>
      <c r="Z180" s="113" t="n">
        <f aca="false" ca="false" dt2D="false" dtr="false" t="normal">SUM(AA180:AO180)</f>
        <v>21715352.68</v>
      </c>
      <c r="AA180" s="106" t="n">
        <v>8884367.4585666</v>
      </c>
      <c r="AB180" s="106" t="n">
        <v>0</v>
      </c>
      <c r="AC180" s="106" t="n">
        <v>5714558.3855451</v>
      </c>
      <c r="AD180" s="106" t="n">
        <v>4357405.73168628</v>
      </c>
      <c r="AE180" s="106" t="n">
        <v>0</v>
      </c>
      <c r="AF180" s="106" t="n"/>
      <c r="AG180" s="106" t="n">
        <v>0</v>
      </c>
      <c r="AH180" s="106" t="n">
        <v>0</v>
      </c>
      <c r="AI180" s="106" t="n">
        <v>0</v>
      </c>
      <c r="AJ180" s="106" t="n">
        <v>0</v>
      </c>
      <c r="AK180" s="106" t="n">
        <v>0</v>
      </c>
      <c r="AL180" s="106" t="n">
        <v>0</v>
      </c>
      <c r="AM180" s="106" t="n">
        <v>2127330.9989</v>
      </c>
      <c r="AN180" s="114" t="n">
        <v>217153.5268</v>
      </c>
      <c r="AO180" s="115" t="n">
        <v>414536.57850202</v>
      </c>
      <c r="AP180" s="112" t="n">
        <f aca="false" ca="false" dt2D="false" dtr="false" t="normal">+N180-'Приложение №2'!E180</f>
        <v>0</v>
      </c>
      <c r="AQ180" s="1" t="n">
        <v>1145113.48</v>
      </c>
      <c r="AR180" s="3" t="n">
        <f aca="false" ca="false" dt2D="false" dtr="false" t="normal">+(K180*10+L180*20)*12*0.85</f>
        <v>586216.44</v>
      </c>
      <c r="AT180" s="9" t="n"/>
      <c r="AW180" s="113" t="n">
        <f aca="false" ca="true" dt2D="false" dtr="false" t="normal">SUBTOTAL(9, AX180:BL180)</f>
        <v>5687244.39</v>
      </c>
      <c r="AX180" s="106" t="n">
        <v>5464157.29</v>
      </c>
      <c r="AY180" s="106" t="n">
        <v>0</v>
      </c>
      <c r="AZ180" s="106" t="n"/>
      <c r="BA180" s="106" t="n"/>
      <c r="BB180" s="106" t="n">
        <v>0</v>
      </c>
      <c r="BC180" s="106" t="n"/>
      <c r="BD180" s="106" t="n"/>
      <c r="BE180" s="106" t="n">
        <v>0</v>
      </c>
      <c r="BF180" s="106" t="n">
        <v>0</v>
      </c>
      <c r="BG180" s="106" t="n">
        <v>0</v>
      </c>
      <c r="BH180" s="106" t="n">
        <v>0</v>
      </c>
      <c r="BI180" s="106" t="n">
        <v>0</v>
      </c>
      <c r="BJ180" s="106" t="n"/>
      <c r="BK180" s="114" t="n"/>
      <c r="BL180" s="115" t="n">
        <v>223087.1</v>
      </c>
      <c r="BM180" s="14" t="n">
        <f aca="false" ca="true" dt2D="false" dtr="false" t="normal">SUBTOTAL(9, BN180:CB180)</f>
        <v>5687244.39</v>
      </c>
      <c r="BN180" s="106" t="n">
        <v>5464157.29</v>
      </c>
      <c r="BO180" s="106" t="n">
        <v>0</v>
      </c>
      <c r="BP180" s="133" t="n"/>
      <c r="BQ180" s="106" t="n"/>
      <c r="BR180" s="106" t="n">
        <v>0</v>
      </c>
      <c r="BS180" s="106" t="n"/>
      <c r="BT180" s="106" t="n"/>
      <c r="BU180" s="106" t="n">
        <v>0</v>
      </c>
      <c r="BV180" s="106" t="n">
        <v>0</v>
      </c>
      <c r="BW180" s="106" t="n">
        <v>0</v>
      </c>
      <c r="BX180" s="106" t="n">
        <v>0</v>
      </c>
      <c r="BY180" s="106" t="n">
        <v>0</v>
      </c>
      <c r="BZ180" s="106" t="n"/>
      <c r="CA180" s="114" t="n"/>
      <c r="CB180" s="115" t="n">
        <v>223087.1</v>
      </c>
      <c r="CD180" s="116" t="n">
        <f aca="false" ca="false" dt2D="false" dtr="false" t="normal">+CD179+1</f>
        <v>163</v>
      </c>
      <c r="CE180" s="117" t="n">
        <f aca="false" ca="false" dt2D="false" dtr="false" t="normal">+CE179+1</f>
        <v>163</v>
      </c>
      <c r="CF180" s="104" t="s">
        <v>265</v>
      </c>
      <c r="CG180" s="104" t="s">
        <v>264</v>
      </c>
      <c r="CH180" s="118" t="n">
        <f aca="false" ca="true" dt2D="false" dtr="false" t="normal">SUBTOTAL(9, CI180:CW180)</f>
        <v>5687244.39</v>
      </c>
      <c r="CI180" s="106" t="n">
        <v>5464157.29</v>
      </c>
      <c r="CJ180" s="106" t="n">
        <v>0</v>
      </c>
      <c r="CK180" s="133" t="n"/>
      <c r="CL180" s="106" t="n"/>
      <c r="CM180" s="106" t="n">
        <v>0</v>
      </c>
      <c r="CN180" s="106" t="n"/>
      <c r="CO180" s="106" t="n"/>
      <c r="CP180" s="106" t="n">
        <v>0</v>
      </c>
      <c r="CQ180" s="106" t="n">
        <v>0</v>
      </c>
      <c r="CR180" s="106" t="n">
        <v>0</v>
      </c>
      <c r="CS180" s="106" t="n">
        <v>0</v>
      </c>
      <c r="CT180" s="106" t="n">
        <v>0</v>
      </c>
      <c r="CU180" s="106" t="n"/>
      <c r="CV180" s="114" t="n"/>
      <c r="CW180" s="115" t="n">
        <v>223087.1</v>
      </c>
      <c r="CZ180" s="104" t="s">
        <v>264</v>
      </c>
      <c r="DA180" s="119" t="n">
        <f aca="false" ca="true" dt2D="false" dtr="false" t="normal">SUBTOTAL(9, DB180:DP180)</f>
        <v>5464157.29</v>
      </c>
      <c r="DB180" s="106" t="n">
        <v>5464157.29</v>
      </c>
      <c r="DC180" s="106" t="n">
        <v>0</v>
      </c>
      <c r="DD180" s="133" t="n"/>
      <c r="DE180" s="106" t="n"/>
      <c r="DF180" s="106" t="n">
        <v>0</v>
      </c>
      <c r="DG180" s="106" t="n"/>
      <c r="DH180" s="106" t="n"/>
      <c r="DI180" s="106" t="n">
        <v>0</v>
      </c>
      <c r="DJ180" s="106" t="n">
        <v>0</v>
      </c>
      <c r="DK180" s="106" t="n">
        <v>0</v>
      </c>
      <c r="DL180" s="106" t="n">
        <v>0</v>
      </c>
      <c r="DM180" s="106" t="n">
        <v>0</v>
      </c>
      <c r="DN180" s="106" t="n"/>
      <c r="DO180" s="114" t="n"/>
      <c r="DP180" s="120" t="n"/>
      <c r="DQ180" s="3" t="n">
        <f aca="false" ca="false" dt2D="false" dtr="false" t="normal">N180-DA180</f>
        <v>0</v>
      </c>
      <c r="DS180" s="9" t="n"/>
    </row>
    <row customFormat="true" hidden="false" ht="15" outlineLevel="0" r="181" s="129">
      <c r="A181" s="103" t="n">
        <f aca="false" ca="false" dt2D="false" dtr="false" t="normal">+A180+1</f>
        <v>164</v>
      </c>
      <c r="B181" s="104" t="n">
        <f aca="false" ca="false" dt2D="false" dtr="false" t="normal">+B180+1</f>
        <v>164</v>
      </c>
      <c r="C181" s="104" t="s">
        <v>263</v>
      </c>
      <c r="D181" s="104" t="s">
        <v>266</v>
      </c>
      <c r="E181" s="105" t="s">
        <v>267</v>
      </c>
      <c r="F181" s="105" t="n"/>
      <c r="G181" s="105" t="s">
        <v>68</v>
      </c>
      <c r="H181" s="105" t="s">
        <v>187</v>
      </c>
      <c r="I181" s="105" t="s">
        <v>187</v>
      </c>
      <c r="J181" s="106" t="n">
        <v>4395.85</v>
      </c>
      <c r="K181" s="106" t="n">
        <v>3069.35</v>
      </c>
      <c r="L181" s="106" t="n">
        <v>1326.5</v>
      </c>
      <c r="M181" s="107" t="n">
        <v>146</v>
      </c>
      <c r="N181" s="108" t="n">
        <f aca="false" ca="false" dt2D="false" dtr="false" t="normal">SUM(P181:T181)</f>
        <v>28411164.88</v>
      </c>
      <c r="O181" s="106" t="n">
        <v>0</v>
      </c>
      <c r="P181" s="114" t="n">
        <v>26747489.99</v>
      </c>
      <c r="Q181" s="114" t="n">
        <v>0</v>
      </c>
      <c r="R181" s="114" t="n">
        <v>1552787.89</v>
      </c>
      <c r="S181" s="114" t="n">
        <v>0</v>
      </c>
      <c r="T181" s="106" t="n">
        <v>110887</v>
      </c>
      <c r="U181" s="114" t="n">
        <v>6486.13</v>
      </c>
      <c r="V181" s="114" t="n">
        <v>6486.13</v>
      </c>
      <c r="W181" s="110" t="n">
        <v>2022</v>
      </c>
      <c r="X181" s="129" t="n">
        <v>1133911.74</v>
      </c>
      <c r="Y181" s="129" t="n">
        <f aca="false" ca="false" dt2D="false" dtr="false" t="normal">+(K181*9.1+L181*18.19)*12</f>
        <v>624721.4400000001</v>
      </c>
      <c r="AA181" s="130" t="e">
        <f aca="false" ca="false" dt2D="false" dtr="false" t="normal">+N181-'[8]Приложение № 2'!E173</f>
        <v>#REF!</v>
      </c>
      <c r="AD181" s="130" t="e">
        <f aca="false" ca="false" dt2D="false" dtr="false" t="normal">+N181-'[8]Приложение № 2'!E173</f>
        <v>#REF!</v>
      </c>
      <c r="AP181" s="112" t="s">
        <v>268</v>
      </c>
      <c r="AQ181" s="129" t="n">
        <v>1313500.15</v>
      </c>
      <c r="AR181" s="3" t="n">
        <f aca="false" ca="false" dt2D="false" dtr="false" t="normal">+(K181*10+L181*20)*12*0.85</f>
        <v>583679.7</v>
      </c>
      <c r="AS181" s="3" t="n"/>
      <c r="AT181" s="9" t="n"/>
      <c r="AW181" s="113" t="n">
        <f aca="false" ca="true" dt2D="false" dtr="false" t="normal">SUBTOTAL(9, AX181:BL181)</f>
        <v>28300277.88</v>
      </c>
      <c r="AX181" s="106" t="n">
        <v>8079212.4</v>
      </c>
      <c r="AY181" s="106" t="n"/>
      <c r="AZ181" s="106" t="n">
        <v>3039831.6</v>
      </c>
      <c r="BA181" s="106" t="n">
        <v>2344507</v>
      </c>
      <c r="BB181" s="106" t="n"/>
      <c r="BC181" s="106" t="n"/>
      <c r="BD181" s="106" t="n"/>
      <c r="BE181" s="106" t="n"/>
      <c r="BF181" s="106" t="n">
        <v>14009282.4</v>
      </c>
      <c r="BG181" s="106" t="n"/>
      <c r="BH181" s="106" t="n"/>
      <c r="BI181" s="106" t="n"/>
      <c r="BJ181" s="106" t="n">
        <v>700984.03</v>
      </c>
      <c r="BK181" s="114" t="n">
        <v>24000</v>
      </c>
      <c r="BL181" s="115" t="n">
        <v>102460.45</v>
      </c>
      <c r="BM181" s="14" t="n">
        <f aca="false" ca="true" dt2D="false" dtr="false" t="normal">SUBTOTAL(9, BN181:CB181)</f>
        <v>28300277.88</v>
      </c>
      <c r="BN181" s="106" t="n">
        <v>8079212.4</v>
      </c>
      <c r="BO181" s="106" t="n"/>
      <c r="BP181" s="133" t="n">
        <v>3039831.6</v>
      </c>
      <c r="BQ181" s="106" t="n">
        <v>2344507</v>
      </c>
      <c r="BR181" s="106" t="n"/>
      <c r="BS181" s="106" t="n"/>
      <c r="BT181" s="106" t="n"/>
      <c r="BU181" s="106" t="n"/>
      <c r="BV181" s="106" t="n">
        <v>14009282.4</v>
      </c>
      <c r="BW181" s="106" t="n"/>
      <c r="BX181" s="106" t="n"/>
      <c r="BY181" s="106" t="n"/>
      <c r="BZ181" s="106" t="n">
        <v>700984.03</v>
      </c>
      <c r="CA181" s="114" t="n">
        <v>24000</v>
      </c>
      <c r="CB181" s="115" t="n">
        <v>102460.45</v>
      </c>
      <c r="CD181" s="116" t="n">
        <f aca="false" ca="false" dt2D="false" dtr="false" t="normal">+CD180+1</f>
        <v>164</v>
      </c>
      <c r="CE181" s="117" t="n">
        <f aca="false" ca="false" dt2D="false" dtr="false" t="normal">+CE180+1</f>
        <v>164</v>
      </c>
      <c r="CF181" s="104" t="s">
        <v>265</v>
      </c>
      <c r="CG181" s="104" t="s">
        <v>266</v>
      </c>
      <c r="CH181" s="118" t="n">
        <f aca="false" ca="true" dt2D="false" dtr="false" t="normal">SUBTOTAL(9, CI181:CW181)</f>
        <v>28300277.88</v>
      </c>
      <c r="CI181" s="106" t="n">
        <v>8079212.4</v>
      </c>
      <c r="CJ181" s="106" t="n"/>
      <c r="CK181" s="133" t="n">
        <v>3039831.6</v>
      </c>
      <c r="CL181" s="106" t="n">
        <v>2344507</v>
      </c>
      <c r="CM181" s="106" t="n"/>
      <c r="CN181" s="106" t="n"/>
      <c r="CO181" s="106" t="n"/>
      <c r="CP181" s="106" t="n"/>
      <c r="CQ181" s="106" t="n">
        <v>14009282.4</v>
      </c>
      <c r="CR181" s="106" t="n"/>
      <c r="CS181" s="106" t="n"/>
      <c r="CT181" s="106" t="n"/>
      <c r="CU181" s="106" t="n">
        <v>700984.03</v>
      </c>
      <c r="CV181" s="114" t="n">
        <v>24000</v>
      </c>
      <c r="CW181" s="115" t="n">
        <v>102460.45</v>
      </c>
      <c r="CZ181" s="104" t="s">
        <v>266</v>
      </c>
      <c r="DA181" s="119" t="n">
        <f aca="false" ca="true" dt2D="false" dtr="false" t="normal">SUBTOTAL(9, DB181:DP181)</f>
        <v>28411164.88</v>
      </c>
      <c r="DB181" s="106" t="n">
        <v>8079212.4</v>
      </c>
      <c r="DC181" s="106" t="n"/>
      <c r="DD181" s="133" t="n">
        <v>3039831.6</v>
      </c>
      <c r="DE181" s="106" t="n">
        <v>2344507</v>
      </c>
      <c r="DF181" s="106" t="n"/>
      <c r="DG181" s="106" t="n"/>
      <c r="DH181" s="106" t="n"/>
      <c r="DI181" s="106" t="n"/>
      <c r="DJ181" s="106" t="n">
        <v>14009282.4</v>
      </c>
      <c r="DK181" s="106" t="n"/>
      <c r="DL181" s="106" t="n"/>
      <c r="DM181" s="106" t="n"/>
      <c r="DN181" s="106" t="n">
        <v>700984.03</v>
      </c>
      <c r="DO181" s="114" t="n">
        <v>24000</v>
      </c>
      <c r="DP181" s="120" t="n">
        <v>213347.45</v>
      </c>
      <c r="DQ181" s="3" t="n">
        <f aca="false" ca="false" dt2D="false" dtr="false" t="normal">N181-DA181</f>
        <v>0</v>
      </c>
      <c r="DS181" s="9" t="n"/>
    </row>
    <row customFormat="true" hidden="false" ht="15" outlineLevel="0" r="182" s="129">
      <c r="A182" s="103" t="n">
        <f aca="false" ca="false" dt2D="false" dtr="false" t="normal">+A181+1</f>
        <v>165</v>
      </c>
      <c r="B182" s="104" t="n">
        <f aca="false" ca="false" dt2D="false" dtr="false" t="normal">+B181+1</f>
        <v>165</v>
      </c>
      <c r="C182" s="104" t="s">
        <v>263</v>
      </c>
      <c r="D182" s="104" t="s">
        <v>269</v>
      </c>
      <c r="E182" s="105" t="s">
        <v>270</v>
      </c>
      <c r="F182" s="105" t="n"/>
      <c r="G182" s="105" t="s">
        <v>68</v>
      </c>
      <c r="H182" s="105" t="s">
        <v>187</v>
      </c>
      <c r="I182" s="105" t="s">
        <v>187</v>
      </c>
      <c r="J182" s="106" t="n">
        <v>4423.49</v>
      </c>
      <c r="K182" s="106" t="n">
        <v>3088.29</v>
      </c>
      <c r="L182" s="106" t="n">
        <v>1335.2</v>
      </c>
      <c r="M182" s="107" t="n">
        <v>130</v>
      </c>
      <c r="N182" s="108" t="n">
        <f aca="false" ca="false" dt2D="false" dtr="false" t="normal">SUM(P182:T182)</f>
        <v>19924186.37</v>
      </c>
      <c r="O182" s="106" t="n">
        <v>0</v>
      </c>
      <c r="P182" s="114" t="n">
        <v>18274358.62</v>
      </c>
      <c r="Q182" s="114" t="n">
        <v>0</v>
      </c>
      <c r="R182" s="114" t="n">
        <v>1539785.15626344</v>
      </c>
      <c r="S182" s="114" t="n">
        <v>0</v>
      </c>
      <c r="T182" s="106" t="n">
        <v>110042.593736559</v>
      </c>
      <c r="U182" s="114" t="n">
        <v>3634.91</v>
      </c>
      <c r="V182" s="114" t="n">
        <v>3634.91</v>
      </c>
      <c r="W182" s="110" t="n">
        <v>2022</v>
      </c>
      <c r="X182" s="129" t="n">
        <v>1155454.52</v>
      </c>
      <c r="Y182" s="129" t="n">
        <f aca="false" ca="false" dt2D="false" dtr="false" t="normal">+(K182*9.1+L182*18.19)*12</f>
        <v>628688.7239999999</v>
      </c>
      <c r="AA182" s="130" t="e">
        <f aca="false" ca="false" dt2D="false" dtr="false" t="normal">+N182-'[8]Приложение № 2'!E174</f>
        <v>#REF!</v>
      </c>
      <c r="AD182" s="130" t="e">
        <f aca="false" ca="false" dt2D="false" dtr="false" t="normal">+N182-'[8]Приложение № 2'!E174</f>
        <v>#REF!</v>
      </c>
      <c r="AP182" s="112" t="s">
        <v>271</v>
      </c>
      <c r="AQ182" s="129" t="n">
        <v>1347428.17</v>
      </c>
      <c r="AR182" s="3" t="n">
        <f aca="false" ca="false" dt2D="false" dtr="false" t="normal">+(K182*10+L182*20)*12*0.85</f>
        <v>587386.38</v>
      </c>
      <c r="AS182" s="3" t="n"/>
      <c r="AT182" s="9" t="n"/>
      <c r="AW182" s="113" t="n">
        <f aca="false" ca="true" dt2D="false" dtr="false" t="normal">SUBTOTAL(9, AX182:BL182)</f>
        <v>19814143.776263442</v>
      </c>
      <c r="AX182" s="106" t="n"/>
      <c r="AY182" s="106" t="n"/>
      <c r="AZ182" s="106" t="n">
        <v>3153436.8</v>
      </c>
      <c r="BA182" s="106" t="n">
        <v>2158646.4</v>
      </c>
      <c r="BB182" s="106" t="n"/>
      <c r="BC182" s="106" t="n"/>
      <c r="BD182" s="106" t="n"/>
      <c r="BE182" s="106" t="n"/>
      <c r="BF182" s="106" t="n">
        <v>13939516.8</v>
      </c>
      <c r="BG182" s="106" t="n"/>
      <c r="BH182" s="106" t="n"/>
      <c r="BI182" s="106" t="n"/>
      <c r="BJ182" s="106" t="n">
        <v>495096.03</v>
      </c>
      <c r="BK182" s="114" t="n">
        <v>24000</v>
      </c>
      <c r="BL182" s="115" t="n">
        <v>43447.74626344</v>
      </c>
      <c r="BM182" s="14" t="n">
        <f aca="false" ca="true" dt2D="false" dtr="false" t="normal">SUBTOTAL(9, BN182:CB182)</f>
        <v>19814143.776263442</v>
      </c>
      <c r="BN182" s="106" t="n"/>
      <c r="BO182" s="106" t="n"/>
      <c r="BP182" s="133" t="n">
        <v>3153436.8</v>
      </c>
      <c r="BQ182" s="106" t="n">
        <v>2158646.4</v>
      </c>
      <c r="BR182" s="106" t="n"/>
      <c r="BS182" s="106" t="n"/>
      <c r="BT182" s="106" t="n"/>
      <c r="BU182" s="106" t="n"/>
      <c r="BV182" s="106" t="n">
        <v>13939516.8</v>
      </c>
      <c r="BW182" s="106" t="n"/>
      <c r="BX182" s="106" t="n"/>
      <c r="BY182" s="106" t="n"/>
      <c r="BZ182" s="106" t="n">
        <v>495096.03</v>
      </c>
      <c r="CA182" s="114" t="n">
        <v>24000</v>
      </c>
      <c r="CB182" s="115" t="n">
        <v>43447.74626344</v>
      </c>
      <c r="CD182" s="116" t="n">
        <f aca="false" ca="false" dt2D="false" dtr="false" t="normal">+CD181+1</f>
        <v>165</v>
      </c>
      <c r="CE182" s="117" t="n">
        <f aca="false" ca="false" dt2D="false" dtr="false" t="normal">+CE181+1</f>
        <v>165</v>
      </c>
      <c r="CF182" s="104" t="s">
        <v>265</v>
      </c>
      <c r="CG182" s="104" t="s">
        <v>269</v>
      </c>
      <c r="CH182" s="118" t="n">
        <f aca="false" ca="true" dt2D="false" dtr="false" t="normal">SUBTOTAL(9, CI182:CW182)</f>
        <v>19814143.776263442</v>
      </c>
      <c r="CI182" s="106" t="n"/>
      <c r="CJ182" s="106" t="n"/>
      <c r="CK182" s="133" t="n">
        <v>3153436.8</v>
      </c>
      <c r="CL182" s="106" t="n">
        <v>2158646.4</v>
      </c>
      <c r="CM182" s="106" t="n"/>
      <c r="CN182" s="106" t="n"/>
      <c r="CO182" s="106" t="n"/>
      <c r="CP182" s="106" t="n"/>
      <c r="CQ182" s="106" t="n">
        <v>13939516.8</v>
      </c>
      <c r="CR182" s="106" t="n"/>
      <c r="CS182" s="106" t="n"/>
      <c r="CT182" s="106" t="n"/>
      <c r="CU182" s="106" t="n">
        <v>495096.03</v>
      </c>
      <c r="CV182" s="114" t="n">
        <v>24000</v>
      </c>
      <c r="CW182" s="115" t="n">
        <v>43447.74626344</v>
      </c>
      <c r="CZ182" s="104" t="s">
        <v>269</v>
      </c>
      <c r="DA182" s="119" t="n">
        <f aca="false" ca="true" dt2D="false" dtr="false" t="normal">SUBTOTAL(9, DB182:DP182)</f>
        <v>19924186.37</v>
      </c>
      <c r="DB182" s="106" t="n"/>
      <c r="DC182" s="106" t="n"/>
      <c r="DD182" s="133" t="n">
        <v>3153436.8</v>
      </c>
      <c r="DE182" s="106" t="n">
        <v>2158646.4</v>
      </c>
      <c r="DF182" s="106" t="n"/>
      <c r="DG182" s="106" t="n"/>
      <c r="DH182" s="106" t="n"/>
      <c r="DI182" s="106" t="n"/>
      <c r="DJ182" s="106" t="n">
        <v>13939516.8</v>
      </c>
      <c r="DK182" s="106" t="n"/>
      <c r="DL182" s="106" t="n"/>
      <c r="DM182" s="106" t="n"/>
      <c r="DN182" s="106" t="n">
        <v>495096.03</v>
      </c>
      <c r="DO182" s="114" t="n">
        <v>24000</v>
      </c>
      <c r="DP182" s="120" t="n">
        <v>153490.34</v>
      </c>
      <c r="DQ182" s="3" t="n">
        <f aca="false" ca="false" dt2D="false" dtr="false" t="normal">N182-DA182</f>
        <v>0</v>
      </c>
      <c r="DS182" s="9" t="n"/>
    </row>
    <row hidden="false" ht="15" outlineLevel="0" r="183">
      <c r="A183" s="103" t="n">
        <f aca="false" ca="false" dt2D="false" dtr="false" t="normal">+A182+1</f>
        <v>166</v>
      </c>
      <c r="B183" s="104" t="n">
        <f aca="false" ca="false" dt2D="false" dtr="false" t="normal">+B182+1</f>
        <v>166</v>
      </c>
      <c r="C183" s="104" t="s">
        <v>263</v>
      </c>
      <c r="D183" s="104" t="s">
        <v>272</v>
      </c>
      <c r="E183" s="105" t="n">
        <v>1985</v>
      </c>
      <c r="F183" s="105" t="n">
        <v>2011</v>
      </c>
      <c r="G183" s="105" t="s">
        <v>68</v>
      </c>
      <c r="H183" s="105" t="n">
        <v>4</v>
      </c>
      <c r="I183" s="105" t="n">
        <v>4</v>
      </c>
      <c r="J183" s="106" t="n">
        <v>4469.64</v>
      </c>
      <c r="K183" s="106" t="n">
        <v>3113.04</v>
      </c>
      <c r="L183" s="106" t="n">
        <v>1356.6</v>
      </c>
      <c r="M183" s="107" t="n">
        <v>164</v>
      </c>
      <c r="N183" s="108" t="n">
        <f aca="false" ca="false" dt2D="false" dtr="false" t="normal">SUM(P183:T183)</f>
        <v>9802331.11</v>
      </c>
      <c r="O183" s="106" t="n"/>
      <c r="P183" s="114" t="n">
        <v>9504817.2</v>
      </c>
      <c r="Q183" s="114" t="n"/>
      <c r="R183" s="114" t="n">
        <v>297513.91</v>
      </c>
      <c r="S183" s="114" t="n">
        <v>0</v>
      </c>
      <c r="T183" s="106" t="n">
        <v>0</v>
      </c>
      <c r="U183" s="114" t="n">
        <v>2193.09186198441</v>
      </c>
      <c r="V183" s="114" t="n">
        <v>2193.09186198441</v>
      </c>
      <c r="W183" s="110" t="n">
        <v>2022</v>
      </c>
      <c r="X183" s="9" t="e">
        <f aca="false" ca="false" dt2D="false" dtr="false" t="normal">+#REF!-'[9]Приложение №1'!$P885</f>
        <v>#REF!</v>
      </c>
      <c r="Z183" s="113" t="n">
        <f aca="false" ca="false" dt2D="false" dtr="false" t="normal">SUM(AA183:AO183)</f>
        <v>18138776.330000002</v>
      </c>
      <c r="AA183" s="106" t="n">
        <v>0</v>
      </c>
      <c r="AB183" s="106" t="n">
        <v>0</v>
      </c>
      <c r="AC183" s="106" t="n">
        <v>0</v>
      </c>
      <c r="AD183" s="106" t="n">
        <v>0</v>
      </c>
      <c r="AE183" s="106" t="n">
        <v>0</v>
      </c>
      <c r="AF183" s="106" t="n"/>
      <c r="AG183" s="106" t="n">
        <v>0</v>
      </c>
      <c r="AH183" s="106" t="n">
        <v>0</v>
      </c>
      <c r="AI183" s="106" t="n">
        <v>15975545.8648842</v>
      </c>
      <c r="AJ183" s="106" t="n">
        <v>0</v>
      </c>
      <c r="AK183" s="106" t="n">
        <v>0</v>
      </c>
      <c r="AL183" s="106" t="n">
        <v>0</v>
      </c>
      <c r="AM183" s="106" t="n">
        <v>1632489.8697</v>
      </c>
      <c r="AN183" s="114" t="n">
        <v>181387.7633</v>
      </c>
      <c r="AO183" s="115" t="n">
        <v>349352.8321158</v>
      </c>
      <c r="AP183" s="112" t="n">
        <f aca="false" ca="false" dt2D="false" dtr="false" t="normal">+N183-'Приложение №2'!E183</f>
        <v>0</v>
      </c>
      <c r="AQ183" s="1" t="n">
        <v>1300474.59</v>
      </c>
      <c r="AR183" s="3" t="n">
        <f aca="false" ca="false" dt2D="false" dtr="false" t="normal">+(K183*10+L183*20)*12*0.85</f>
        <v>594276.48</v>
      </c>
      <c r="AT183" s="9" t="n"/>
      <c r="AW183" s="113" t="n">
        <f aca="false" ca="true" dt2D="false" dtr="false" t="normal">SUBTOTAL(9, AX183:BL183)</f>
        <v>9802331.11</v>
      </c>
      <c r="AX183" s="106" t="n">
        <v>0</v>
      </c>
      <c r="AY183" s="106" t="n">
        <v>0</v>
      </c>
      <c r="AZ183" s="106" t="n">
        <v>0</v>
      </c>
      <c r="BA183" s="106" t="n">
        <v>0</v>
      </c>
      <c r="BB183" s="106" t="n">
        <v>0</v>
      </c>
      <c r="BC183" s="106" t="n"/>
      <c r="BD183" s="106" t="n"/>
      <c r="BE183" s="106" t="n">
        <v>0</v>
      </c>
      <c r="BF183" s="106" t="n">
        <v>9802331.11</v>
      </c>
      <c r="BG183" s="106" t="n">
        <v>0</v>
      </c>
      <c r="BH183" s="106" t="n">
        <v>0</v>
      </c>
      <c r="BI183" s="106" t="n">
        <v>0</v>
      </c>
      <c r="BJ183" s="106" t="n"/>
      <c r="BK183" s="114" t="n"/>
      <c r="BL183" s="115" t="n"/>
      <c r="BM183" s="14" t="n">
        <f aca="false" ca="true" dt2D="false" dtr="false" t="normal">SUBTOTAL(9, BN183:CB183)</f>
        <v>9802331.11</v>
      </c>
      <c r="BN183" s="106" t="n">
        <v>0</v>
      </c>
      <c r="BO183" s="106" t="n">
        <v>0</v>
      </c>
      <c r="BP183" s="133" t="n">
        <v>0</v>
      </c>
      <c r="BQ183" s="106" t="n">
        <v>0</v>
      </c>
      <c r="BR183" s="106" t="n">
        <v>0</v>
      </c>
      <c r="BS183" s="106" t="n"/>
      <c r="BT183" s="106" t="n"/>
      <c r="BU183" s="106" t="n">
        <v>0</v>
      </c>
      <c r="BV183" s="106" t="n">
        <v>9802331.11</v>
      </c>
      <c r="BW183" s="106" t="n">
        <v>0</v>
      </c>
      <c r="BX183" s="106" t="n">
        <v>0</v>
      </c>
      <c r="BY183" s="106" t="n">
        <v>0</v>
      </c>
      <c r="BZ183" s="106" t="n"/>
      <c r="CA183" s="114" t="n"/>
      <c r="CB183" s="115" t="n"/>
      <c r="CD183" s="116" t="n">
        <f aca="false" ca="false" dt2D="false" dtr="false" t="normal">+CD182+1</f>
        <v>166</v>
      </c>
      <c r="CE183" s="117" t="n">
        <f aca="false" ca="false" dt2D="false" dtr="false" t="normal">+CE182+1</f>
        <v>166</v>
      </c>
      <c r="CF183" s="104" t="s">
        <v>265</v>
      </c>
      <c r="CG183" s="104" t="s">
        <v>272</v>
      </c>
      <c r="CH183" s="118" t="n">
        <f aca="false" ca="true" dt2D="false" dtr="false" t="normal">SUBTOTAL(9, CI183:CW183)</f>
        <v>9802331.11</v>
      </c>
      <c r="CI183" s="106" t="n">
        <v>0</v>
      </c>
      <c r="CJ183" s="106" t="n">
        <v>0</v>
      </c>
      <c r="CK183" s="133" t="n">
        <v>0</v>
      </c>
      <c r="CL183" s="106" t="n">
        <v>0</v>
      </c>
      <c r="CM183" s="106" t="n">
        <v>0</v>
      </c>
      <c r="CN183" s="106" t="n"/>
      <c r="CO183" s="106" t="n"/>
      <c r="CP183" s="106" t="n">
        <v>0</v>
      </c>
      <c r="CQ183" s="106" t="n">
        <v>9802331.11</v>
      </c>
      <c r="CR183" s="106" t="n">
        <v>0</v>
      </c>
      <c r="CS183" s="106" t="n">
        <v>0</v>
      </c>
      <c r="CT183" s="106" t="n">
        <v>0</v>
      </c>
      <c r="CU183" s="106" t="n"/>
      <c r="CV183" s="114" t="n"/>
      <c r="CW183" s="115" t="n"/>
      <c r="CZ183" s="104" t="s">
        <v>272</v>
      </c>
      <c r="DA183" s="119" t="n">
        <f aca="false" ca="true" dt2D="false" dtr="false" t="normal">SUBTOTAL(9, DB183:DP183)</f>
        <v>9802331.11</v>
      </c>
      <c r="DB183" s="106" t="n">
        <v>0</v>
      </c>
      <c r="DC183" s="106" t="n">
        <v>0</v>
      </c>
      <c r="DD183" s="133" t="n">
        <v>0</v>
      </c>
      <c r="DE183" s="106" t="n">
        <v>0</v>
      </c>
      <c r="DF183" s="106" t="n">
        <v>0</v>
      </c>
      <c r="DG183" s="106" t="n"/>
      <c r="DH183" s="106" t="n"/>
      <c r="DI183" s="106" t="n">
        <v>0</v>
      </c>
      <c r="DJ183" s="106" t="n">
        <v>9802331.11</v>
      </c>
      <c r="DK183" s="106" t="n">
        <v>0</v>
      </c>
      <c r="DL183" s="106" t="n">
        <v>0</v>
      </c>
      <c r="DM183" s="106" t="n">
        <v>0</v>
      </c>
      <c r="DN183" s="106" t="n"/>
      <c r="DO183" s="114" t="n"/>
      <c r="DP183" s="115" t="n"/>
      <c r="DQ183" s="3" t="n">
        <f aca="false" ca="false" dt2D="false" dtr="false" t="normal">N183-DA183</f>
        <v>0</v>
      </c>
      <c r="DS183" s="9" t="n"/>
    </row>
    <row customFormat="true" hidden="false" ht="15" outlineLevel="0" r="184" s="129">
      <c r="A184" s="103" t="n">
        <f aca="false" ca="false" dt2D="false" dtr="false" t="normal">+A183+1</f>
        <v>167</v>
      </c>
      <c r="B184" s="104" t="n">
        <f aca="false" ca="false" dt2D="false" dtr="false" t="normal">+B183+1</f>
        <v>167</v>
      </c>
      <c r="C184" s="104" t="s">
        <v>263</v>
      </c>
      <c r="D184" s="104" t="s">
        <v>273</v>
      </c>
      <c r="E184" s="105" t="s">
        <v>274</v>
      </c>
      <c r="F184" s="105" t="n"/>
      <c r="G184" s="105" t="s">
        <v>68</v>
      </c>
      <c r="H184" s="105" t="s">
        <v>104</v>
      </c>
      <c r="I184" s="105" t="s">
        <v>188</v>
      </c>
      <c r="J184" s="106" t="n">
        <v>8240.9</v>
      </c>
      <c r="K184" s="106" t="n">
        <v>5786.7</v>
      </c>
      <c r="L184" s="106" t="n">
        <v>2454.2</v>
      </c>
      <c r="M184" s="107" t="n">
        <v>268</v>
      </c>
      <c r="N184" s="108" t="n">
        <f aca="false" ca="false" dt2D="false" dtr="false" t="normal">SUM(P184:T184)</f>
        <v>16952691.3</v>
      </c>
      <c r="O184" s="106" t="n">
        <v>0</v>
      </c>
      <c r="P184" s="114" t="n">
        <v>14417927.8</v>
      </c>
      <c r="Q184" s="114" t="n">
        <v>0</v>
      </c>
      <c r="R184" s="114" t="n">
        <v>2534763.5</v>
      </c>
      <c r="S184" s="114" t="n">
        <v>0</v>
      </c>
      <c r="T184" s="106" t="n">
        <v>0</v>
      </c>
      <c r="U184" s="114" t="n">
        <v>4392.93</v>
      </c>
      <c r="V184" s="114" t="n">
        <v>4392.93</v>
      </c>
      <c r="W184" s="110" t="n">
        <v>2022</v>
      </c>
      <c r="X184" s="129" t="n">
        <v>1929907.35</v>
      </c>
      <c r="Y184" s="129" t="n">
        <f aca="false" ca="false" dt2D="false" dtr="false" t="normal">+(K184*9.1+L184*18.19)*12</f>
        <v>1167610.4159999997</v>
      </c>
      <c r="AA184" s="130" t="e">
        <f aca="false" ca="false" dt2D="false" dtr="false" t="normal">+N184-'[8]Приложение № 2'!E176</f>
        <v>#REF!</v>
      </c>
      <c r="AD184" s="130" t="e">
        <f aca="false" ca="false" dt2D="false" dtr="false" t="normal">+N184-'[8]Приложение № 2'!E176</f>
        <v>#REF!</v>
      </c>
      <c r="AP184" s="112" t="s">
        <v>268</v>
      </c>
      <c r="AQ184" s="129" t="n">
        <v>2221538.7</v>
      </c>
      <c r="AR184" s="3" t="n">
        <f aca="false" ca="false" dt2D="false" dtr="false" t="normal">+(K184*10+L184*20)*12*0.85</f>
        <v>1090900.2</v>
      </c>
      <c r="AS184" s="3" t="n"/>
      <c r="AT184" s="9" t="n"/>
      <c r="AW184" s="113" t="n">
        <f aca="false" ca="true" dt2D="false" dtr="false" t="normal">SUBTOTAL(9, AX184:BL184)</f>
        <v>16952691.299999997</v>
      </c>
      <c r="AX184" s="106" t="n">
        <v>7939864.5</v>
      </c>
      <c r="AY184" s="106" t="n"/>
      <c r="AZ184" s="106" t="n">
        <v>4681160.4</v>
      </c>
      <c r="BA184" s="106" t="n">
        <v>3537004.8</v>
      </c>
      <c r="BB184" s="106" t="n"/>
      <c r="BC184" s="106" t="n"/>
      <c r="BD184" s="106" t="n"/>
      <c r="BE184" s="106" t="n"/>
      <c r="BF184" s="106" t="n"/>
      <c r="BG184" s="106" t="n"/>
      <c r="BH184" s="106" t="n"/>
      <c r="BI184" s="106" t="n"/>
      <c r="BJ184" s="106" t="n">
        <v>634398.13</v>
      </c>
      <c r="BK184" s="114" t="n">
        <v>24000</v>
      </c>
      <c r="BL184" s="115" t="n">
        <v>136263.47</v>
      </c>
      <c r="BM184" s="14" t="n">
        <f aca="false" ca="true" dt2D="false" dtr="false" t="normal">SUBTOTAL(9, BN184:CB184)</f>
        <v>16952691.299999997</v>
      </c>
      <c r="BN184" s="106" t="n">
        <v>7939864.5</v>
      </c>
      <c r="BO184" s="106" t="n"/>
      <c r="BP184" s="133" t="n">
        <v>4681160.4</v>
      </c>
      <c r="BQ184" s="106" t="n">
        <v>3537004.8</v>
      </c>
      <c r="BR184" s="106" t="n"/>
      <c r="BS184" s="106" t="n"/>
      <c r="BT184" s="106" t="n"/>
      <c r="BU184" s="106" t="n"/>
      <c r="BV184" s="106" t="n"/>
      <c r="BW184" s="106" t="n"/>
      <c r="BX184" s="106" t="n"/>
      <c r="BY184" s="106" t="n"/>
      <c r="BZ184" s="106" t="n">
        <v>634398.13</v>
      </c>
      <c r="CA184" s="114" t="n">
        <v>24000</v>
      </c>
      <c r="CB184" s="115" t="n">
        <v>136263.47</v>
      </c>
      <c r="CD184" s="116" t="n">
        <f aca="false" ca="false" dt2D="false" dtr="false" t="normal">+CD183+1</f>
        <v>167</v>
      </c>
      <c r="CE184" s="117" t="n">
        <f aca="false" ca="false" dt2D="false" dtr="false" t="normal">+CE183+1</f>
        <v>167</v>
      </c>
      <c r="CF184" s="104" t="s">
        <v>265</v>
      </c>
      <c r="CG184" s="104" t="s">
        <v>273</v>
      </c>
      <c r="CH184" s="118" t="n">
        <f aca="false" ca="true" dt2D="false" dtr="false" t="normal">SUBTOTAL(9, CI184:CW184)</f>
        <v>16952691.299999997</v>
      </c>
      <c r="CI184" s="106" t="n">
        <v>7939864.5</v>
      </c>
      <c r="CJ184" s="106" t="n"/>
      <c r="CK184" s="133" t="n">
        <v>4681160.4</v>
      </c>
      <c r="CL184" s="106" t="n">
        <v>3537004.8</v>
      </c>
      <c r="CM184" s="106" t="n"/>
      <c r="CN184" s="106" t="n"/>
      <c r="CO184" s="106" t="n"/>
      <c r="CP184" s="106" t="n"/>
      <c r="CQ184" s="106" t="n"/>
      <c r="CR184" s="106" t="n"/>
      <c r="CS184" s="106" t="n"/>
      <c r="CT184" s="106" t="n"/>
      <c r="CU184" s="106" t="n">
        <v>634398.13</v>
      </c>
      <c r="CV184" s="114" t="n">
        <v>24000</v>
      </c>
      <c r="CW184" s="115" t="n">
        <v>136263.47</v>
      </c>
      <c r="CZ184" s="104" t="s">
        <v>273</v>
      </c>
      <c r="DA184" s="119" t="n">
        <f aca="false" ca="true" dt2D="false" dtr="false" t="normal">SUBTOTAL(9, DB184:DP184)</f>
        <v>16952691.299999997</v>
      </c>
      <c r="DB184" s="106" t="n">
        <v>7939864.5</v>
      </c>
      <c r="DC184" s="106" t="n"/>
      <c r="DD184" s="133" t="n">
        <v>4681160.4</v>
      </c>
      <c r="DE184" s="106" t="n">
        <v>3537004.8</v>
      </c>
      <c r="DF184" s="106" t="n"/>
      <c r="DG184" s="106" t="n"/>
      <c r="DH184" s="106" t="n"/>
      <c r="DI184" s="106" t="n"/>
      <c r="DJ184" s="106" t="n"/>
      <c r="DK184" s="106" t="n"/>
      <c r="DL184" s="106" t="n"/>
      <c r="DM184" s="106" t="n"/>
      <c r="DN184" s="106" t="n">
        <v>634398.13</v>
      </c>
      <c r="DO184" s="114" t="n">
        <v>24000</v>
      </c>
      <c r="DP184" s="120" t="n">
        <v>136263.47</v>
      </c>
      <c r="DQ184" s="3" t="n">
        <f aca="false" ca="false" dt2D="false" dtr="false" t="normal">N184-DA184</f>
        <v>0</v>
      </c>
      <c r="DS184" s="9" t="n"/>
    </row>
    <row customFormat="true" hidden="false" ht="15" outlineLevel="0" r="185" s="129">
      <c r="A185" s="103" t="n">
        <f aca="false" ca="false" dt2D="false" dtr="false" t="normal">+A184+1</f>
        <v>168</v>
      </c>
      <c r="B185" s="104" t="n">
        <f aca="false" ca="false" dt2D="false" dtr="false" t="normal">+B184+1</f>
        <v>168</v>
      </c>
      <c r="C185" s="104" t="s">
        <v>263</v>
      </c>
      <c r="D185" s="104" t="s">
        <v>275</v>
      </c>
      <c r="E185" s="105" t="s">
        <v>267</v>
      </c>
      <c r="F185" s="105" t="n"/>
      <c r="G185" s="105" t="s">
        <v>68</v>
      </c>
      <c r="H185" s="105" t="s">
        <v>104</v>
      </c>
      <c r="I185" s="105" t="s">
        <v>148</v>
      </c>
      <c r="J185" s="106" t="n">
        <v>3960.6</v>
      </c>
      <c r="K185" s="106" t="n">
        <v>2780.6</v>
      </c>
      <c r="L185" s="106" t="n">
        <v>1180</v>
      </c>
      <c r="M185" s="107" t="n">
        <v>132</v>
      </c>
      <c r="N185" s="108" t="n">
        <f aca="false" ca="false" dt2D="false" dtr="false" t="normal">SUM(P185:T185)</f>
        <v>11455370.01</v>
      </c>
      <c r="O185" s="106" t="n">
        <v>0</v>
      </c>
      <c r="P185" s="114" t="n">
        <v>10200845.67</v>
      </c>
      <c r="Q185" s="114" t="n">
        <v>0</v>
      </c>
      <c r="R185" s="114" t="n">
        <v>1254524.34</v>
      </c>
      <c r="S185" s="114" t="n">
        <v>0</v>
      </c>
      <c r="T185" s="106" t="n">
        <v>0</v>
      </c>
      <c r="U185" s="114" t="n">
        <v>4392.93</v>
      </c>
      <c r="V185" s="114" t="n">
        <v>4392.93</v>
      </c>
      <c r="W185" s="110" t="n">
        <v>2022</v>
      </c>
      <c r="X185" s="129" t="n">
        <v>1020826.36</v>
      </c>
      <c r="Y185" s="129" t="n">
        <f aca="false" ca="false" dt2D="false" dtr="false" t="normal">+(K185*9.1+L185*18.19)*12</f>
        <v>561211.92</v>
      </c>
      <c r="AA185" s="130" t="e">
        <f aca="false" ca="false" dt2D="false" dtr="false" t="normal">+N185-'[8]Приложение № 2'!E177</f>
        <v>#REF!</v>
      </c>
      <c r="AD185" s="130" t="e">
        <f aca="false" ca="false" dt2D="false" dtr="false" t="normal">+N185-'[8]Приложение № 2'!E177</f>
        <v>#REF!</v>
      </c>
      <c r="AP185" s="112" t="s">
        <v>268</v>
      </c>
      <c r="AQ185" s="129" t="n">
        <v>1131381.5</v>
      </c>
      <c r="AR185" s="3" t="n">
        <f aca="false" ca="false" dt2D="false" dtr="false" t="normal">+(K185*10+L185*20)*12*0.85</f>
        <v>524341.2</v>
      </c>
      <c r="AS185" s="3" t="n"/>
      <c r="AT185" s="9" t="n"/>
      <c r="AW185" s="113" t="n">
        <f aca="false" ca="true" dt2D="false" dtr="false" t="normal">SUBTOTAL(9, AX185:BL185)</f>
        <v>11455370.009999998</v>
      </c>
      <c r="AX185" s="106" t="n">
        <v>5903245.2</v>
      </c>
      <c r="AY185" s="106" t="n"/>
      <c r="AZ185" s="106" t="n">
        <v>3002210.4</v>
      </c>
      <c r="BA185" s="106" t="n">
        <v>1923324</v>
      </c>
      <c r="BB185" s="106" t="n"/>
      <c r="BC185" s="106" t="n"/>
      <c r="BD185" s="106" t="n"/>
      <c r="BE185" s="106" t="n"/>
      <c r="BF185" s="106" t="n"/>
      <c r="BG185" s="106" t="n"/>
      <c r="BH185" s="106" t="n"/>
      <c r="BI185" s="106" t="n"/>
      <c r="BJ185" s="106" t="n">
        <v>516618.54</v>
      </c>
      <c r="BK185" s="114" t="n">
        <v>24000</v>
      </c>
      <c r="BL185" s="115" t="n">
        <v>85971.87</v>
      </c>
      <c r="BM185" s="14" t="n">
        <f aca="false" ca="true" dt2D="false" dtr="false" t="normal">SUBTOTAL(9, BN185:CB185)</f>
        <v>11455370.009999998</v>
      </c>
      <c r="BN185" s="106" t="n">
        <v>5903245.2</v>
      </c>
      <c r="BO185" s="106" t="n"/>
      <c r="BP185" s="133" t="n">
        <v>3002210.4</v>
      </c>
      <c r="BQ185" s="106" t="n">
        <v>1923324</v>
      </c>
      <c r="BR185" s="106" t="n"/>
      <c r="BS185" s="106" t="n"/>
      <c r="BT185" s="106" t="n"/>
      <c r="BU185" s="106" t="n"/>
      <c r="BV185" s="106" t="n"/>
      <c r="BW185" s="106" t="n"/>
      <c r="BX185" s="106" t="n"/>
      <c r="BY185" s="106" t="n"/>
      <c r="BZ185" s="106" t="n">
        <v>516618.54</v>
      </c>
      <c r="CA185" s="114" t="n">
        <v>24000</v>
      </c>
      <c r="CB185" s="115" t="n">
        <v>85971.87</v>
      </c>
      <c r="CD185" s="116" t="n">
        <f aca="false" ca="false" dt2D="false" dtr="false" t="normal">+CD184+1</f>
        <v>168</v>
      </c>
      <c r="CE185" s="117" t="n">
        <f aca="false" ca="false" dt2D="false" dtr="false" t="normal">+CE184+1</f>
        <v>168</v>
      </c>
      <c r="CF185" s="104" t="s">
        <v>265</v>
      </c>
      <c r="CG185" s="104" t="s">
        <v>275</v>
      </c>
      <c r="CH185" s="118" t="n">
        <f aca="false" ca="true" dt2D="false" dtr="false" t="normal">SUBTOTAL(9, CI185:CW185)</f>
        <v>11455370.009999998</v>
      </c>
      <c r="CI185" s="106" t="n">
        <v>5903245.2</v>
      </c>
      <c r="CJ185" s="106" t="n"/>
      <c r="CK185" s="133" t="n">
        <v>3002210.4</v>
      </c>
      <c r="CL185" s="106" t="n">
        <v>1923324</v>
      </c>
      <c r="CM185" s="106" t="n"/>
      <c r="CN185" s="106" t="n"/>
      <c r="CO185" s="106" t="n"/>
      <c r="CP185" s="106" t="n"/>
      <c r="CQ185" s="106" t="n"/>
      <c r="CR185" s="106" t="n"/>
      <c r="CS185" s="106" t="n"/>
      <c r="CT185" s="106" t="n"/>
      <c r="CU185" s="106" t="n">
        <v>516618.54</v>
      </c>
      <c r="CV185" s="114" t="n">
        <v>24000</v>
      </c>
      <c r="CW185" s="115" t="n">
        <v>85971.87</v>
      </c>
      <c r="CZ185" s="104" t="s">
        <v>275</v>
      </c>
      <c r="DA185" s="119" t="n">
        <f aca="false" ca="true" dt2D="false" dtr="false" t="normal">SUBTOTAL(9, DB185:DP185)</f>
        <v>11455370.009999998</v>
      </c>
      <c r="DB185" s="106" t="n">
        <v>5903245.2</v>
      </c>
      <c r="DC185" s="106" t="n"/>
      <c r="DD185" s="133" t="n">
        <v>3002210.4</v>
      </c>
      <c r="DE185" s="106" t="n">
        <v>1923324</v>
      </c>
      <c r="DF185" s="106" t="n"/>
      <c r="DG185" s="106" t="n"/>
      <c r="DH185" s="106" t="n"/>
      <c r="DI185" s="106" t="n"/>
      <c r="DJ185" s="106" t="n"/>
      <c r="DK185" s="106" t="n"/>
      <c r="DL185" s="106" t="n"/>
      <c r="DM185" s="106" t="n"/>
      <c r="DN185" s="106" t="n">
        <v>516618.54</v>
      </c>
      <c r="DO185" s="114" t="n">
        <v>24000</v>
      </c>
      <c r="DP185" s="120" t="n">
        <v>85971.87</v>
      </c>
      <c r="DQ185" s="3" t="n">
        <f aca="false" ca="false" dt2D="false" dtr="false" t="normal">N185-DA185</f>
        <v>0</v>
      </c>
      <c r="DS185" s="9" t="n"/>
    </row>
    <row customFormat="true" hidden="false" ht="15" outlineLevel="0" r="186" s="129">
      <c r="A186" s="103" t="n">
        <f aca="false" ca="false" dt2D="false" dtr="false" t="normal">+A185+1</f>
        <v>169</v>
      </c>
      <c r="B186" s="104" t="n">
        <f aca="false" ca="false" dt2D="false" dtr="false" t="normal">+B185+1</f>
        <v>169</v>
      </c>
      <c r="C186" s="104" t="s">
        <v>263</v>
      </c>
      <c r="D186" s="104" t="s">
        <v>276</v>
      </c>
      <c r="E186" s="105" t="s">
        <v>274</v>
      </c>
      <c r="F186" s="105" t="n"/>
      <c r="G186" s="105" t="s">
        <v>68</v>
      </c>
      <c r="H186" s="105" t="s">
        <v>104</v>
      </c>
      <c r="I186" s="105" t="s">
        <v>188</v>
      </c>
      <c r="J186" s="106" t="n">
        <v>8244.17</v>
      </c>
      <c r="K186" s="106" t="n">
        <v>5789.27</v>
      </c>
      <c r="L186" s="106" t="n">
        <v>2454.9</v>
      </c>
      <c r="M186" s="107" t="n">
        <v>264</v>
      </c>
      <c r="N186" s="108" t="n">
        <f aca="false" ca="false" dt2D="false" dtr="false" t="normal">SUM(P186:T186)</f>
        <v>21555121.63</v>
      </c>
      <c r="O186" s="106" t="n">
        <v>0</v>
      </c>
      <c r="P186" s="114" t="n">
        <v>18789721.56</v>
      </c>
      <c r="Q186" s="114" t="n">
        <v>0</v>
      </c>
      <c r="R186" s="114" t="n">
        <v>2765400.07</v>
      </c>
      <c r="S186" s="114" t="n">
        <v>0</v>
      </c>
      <c r="T186" s="106" t="n">
        <v>0</v>
      </c>
      <c r="U186" s="114" t="n">
        <v>4392.93</v>
      </c>
      <c r="V186" s="114" t="n">
        <v>4392.93</v>
      </c>
      <c r="W186" s="110" t="n">
        <v>2022</v>
      </c>
      <c r="X186" s="129" t="n">
        <v>1958964.9</v>
      </c>
      <c r="Y186" s="129" t="n">
        <f aca="false" ca="false" dt2D="false" dtr="false" t="normal">+(K186*9.1+L186*18.19)*12</f>
        <v>1168043.8560000001</v>
      </c>
      <c r="AA186" s="130" t="e">
        <f aca="false" ca="false" dt2D="false" dtr="false" t="normal">+N186-'[8]Приложение № 2'!E178</f>
        <v>#REF!</v>
      </c>
      <c r="AD186" s="130" t="e">
        <f aca="false" ca="false" dt2D="false" dtr="false" t="normal">+N186-'[8]Приложение № 2'!E178</f>
        <v>#REF!</v>
      </c>
      <c r="AP186" s="112" t="s">
        <v>268</v>
      </c>
      <c r="AQ186" s="129" t="n">
        <v>2343373.81</v>
      </c>
      <c r="AR186" s="3" t="n">
        <f aca="false" ca="false" dt2D="false" dtr="false" t="normal">+(K186*10+L186*20)*12*0.85</f>
        <v>1091305.1400000001</v>
      </c>
      <c r="AS186" s="3" t="n"/>
      <c r="AT186" s="9" t="n"/>
      <c r="AW186" s="113" t="n">
        <f aca="false" ca="true" dt2D="false" dtr="false" t="normal">SUBTOTAL(9, AX186:BL186)</f>
        <v>21555121.63</v>
      </c>
      <c r="AX186" s="106" t="n">
        <v>11356723.2</v>
      </c>
      <c r="AY186" s="106" t="n"/>
      <c r="AZ186" s="106" t="n">
        <v>5611190.4</v>
      </c>
      <c r="BA186" s="106" t="n">
        <v>3761995.2</v>
      </c>
      <c r="BB186" s="106" t="n"/>
      <c r="BC186" s="106" t="n"/>
      <c r="BD186" s="106" t="n"/>
      <c r="BE186" s="106" t="n"/>
      <c r="BF186" s="106" t="n"/>
      <c r="BG186" s="106" t="n"/>
      <c r="BH186" s="106" t="n"/>
      <c r="BI186" s="106" t="n"/>
      <c r="BJ186" s="106" t="n">
        <v>634436.54</v>
      </c>
      <c r="BK186" s="114" t="n">
        <v>24000</v>
      </c>
      <c r="BL186" s="115" t="n">
        <v>166776.29</v>
      </c>
      <c r="BM186" s="14" t="n">
        <f aca="false" ca="true" dt2D="false" dtr="false" t="normal">SUBTOTAL(9, BN186:CB186)</f>
        <v>21555121.63</v>
      </c>
      <c r="BN186" s="106" t="n">
        <v>11356723.2</v>
      </c>
      <c r="BO186" s="106" t="n"/>
      <c r="BP186" s="133" t="n">
        <v>5611190.4</v>
      </c>
      <c r="BQ186" s="106" t="n">
        <v>3761995.2</v>
      </c>
      <c r="BR186" s="106" t="n"/>
      <c r="BS186" s="106" t="n"/>
      <c r="BT186" s="106" t="n"/>
      <c r="BU186" s="106" t="n"/>
      <c r="BV186" s="106" t="n"/>
      <c r="BW186" s="106" t="n"/>
      <c r="BX186" s="106" t="n"/>
      <c r="BY186" s="106" t="n"/>
      <c r="BZ186" s="106" t="n">
        <v>634436.54</v>
      </c>
      <c r="CA186" s="114" t="n">
        <v>24000</v>
      </c>
      <c r="CB186" s="115" t="n">
        <v>166776.29</v>
      </c>
      <c r="CD186" s="116" t="n">
        <f aca="false" ca="false" dt2D="false" dtr="false" t="normal">+CD185+1</f>
        <v>169</v>
      </c>
      <c r="CE186" s="117" t="n">
        <f aca="false" ca="false" dt2D="false" dtr="false" t="normal">+CE185+1</f>
        <v>169</v>
      </c>
      <c r="CF186" s="104" t="s">
        <v>265</v>
      </c>
      <c r="CG186" s="104" t="s">
        <v>276</v>
      </c>
      <c r="CH186" s="118" t="n">
        <f aca="false" ca="true" dt2D="false" dtr="false" t="normal">SUBTOTAL(9, CI186:CW186)</f>
        <v>21555121.63</v>
      </c>
      <c r="CI186" s="106" t="n">
        <v>11356723.2</v>
      </c>
      <c r="CJ186" s="106" t="n"/>
      <c r="CK186" s="133" t="n">
        <v>5611190.4</v>
      </c>
      <c r="CL186" s="106" t="n">
        <v>3761995.2</v>
      </c>
      <c r="CM186" s="106" t="n"/>
      <c r="CN186" s="106" t="n"/>
      <c r="CO186" s="106" t="n"/>
      <c r="CP186" s="106" t="n"/>
      <c r="CQ186" s="106" t="n"/>
      <c r="CR186" s="106" t="n"/>
      <c r="CS186" s="106" t="n"/>
      <c r="CT186" s="106" t="n"/>
      <c r="CU186" s="106" t="n">
        <v>634436.54</v>
      </c>
      <c r="CV186" s="114" t="n">
        <v>24000</v>
      </c>
      <c r="CW186" s="115" t="n">
        <v>166776.29</v>
      </c>
      <c r="CZ186" s="104" t="s">
        <v>276</v>
      </c>
      <c r="DA186" s="119" t="n">
        <f aca="false" ca="true" dt2D="false" dtr="false" t="normal">SUBTOTAL(9, DB186:DP186)</f>
        <v>21555121.63</v>
      </c>
      <c r="DB186" s="106" t="n">
        <v>11356723.2</v>
      </c>
      <c r="DC186" s="106" t="n"/>
      <c r="DD186" s="133" t="n">
        <v>5611190.4</v>
      </c>
      <c r="DE186" s="106" t="n">
        <v>3761995.2</v>
      </c>
      <c r="DF186" s="106" t="n"/>
      <c r="DG186" s="106" t="n"/>
      <c r="DH186" s="106" t="n"/>
      <c r="DI186" s="106" t="n"/>
      <c r="DJ186" s="106" t="n"/>
      <c r="DK186" s="106" t="n"/>
      <c r="DL186" s="106" t="n"/>
      <c r="DM186" s="106" t="n"/>
      <c r="DN186" s="106" t="n">
        <v>634436.54</v>
      </c>
      <c r="DO186" s="114" t="n">
        <v>24000</v>
      </c>
      <c r="DP186" s="120" t="n">
        <v>166776.29</v>
      </c>
      <c r="DQ186" s="3" t="n">
        <f aca="false" ca="false" dt2D="false" dtr="false" t="normal">N186-DA186</f>
        <v>0</v>
      </c>
      <c r="DS186" s="9" t="n"/>
    </row>
    <row customFormat="true" hidden="false" ht="15" outlineLevel="0" r="187" s="129">
      <c r="A187" s="103" t="n">
        <f aca="false" ca="false" dt2D="false" dtr="false" t="normal">+A186+1</f>
        <v>170</v>
      </c>
      <c r="B187" s="104" t="n">
        <f aca="false" ca="false" dt2D="false" dtr="false" t="normal">+B186+1</f>
        <v>170</v>
      </c>
      <c r="C187" s="104" t="s">
        <v>263</v>
      </c>
      <c r="D187" s="104" t="s">
        <v>277</v>
      </c>
      <c r="E187" s="105" t="s">
        <v>267</v>
      </c>
      <c r="F187" s="105" t="n"/>
      <c r="G187" s="105" t="s">
        <v>68</v>
      </c>
      <c r="H187" s="105" t="s">
        <v>104</v>
      </c>
      <c r="I187" s="105" t="s">
        <v>188</v>
      </c>
      <c r="J187" s="106" t="n">
        <v>8245.7</v>
      </c>
      <c r="K187" s="106" t="n">
        <v>5795.3</v>
      </c>
      <c r="L187" s="106" t="n">
        <v>2450.4</v>
      </c>
      <c r="M187" s="107" t="n">
        <v>271</v>
      </c>
      <c r="N187" s="108" t="n">
        <f aca="false" ca="false" dt2D="false" dtr="false" t="normal">SUM(P187:T187)</f>
        <v>21555080.009999998</v>
      </c>
      <c r="O187" s="106" t="n">
        <v>0</v>
      </c>
      <c r="P187" s="114" t="n">
        <v>18913345.63</v>
      </c>
      <c r="Q187" s="114" t="n">
        <v>0</v>
      </c>
      <c r="R187" s="114" t="n">
        <v>2641734.38</v>
      </c>
      <c r="S187" s="114" t="n">
        <v>0</v>
      </c>
      <c r="T187" s="106" t="n">
        <v>0</v>
      </c>
      <c r="U187" s="114" t="n">
        <v>4392.93</v>
      </c>
      <c r="V187" s="114" t="n">
        <v>4392.93</v>
      </c>
      <c r="W187" s="110" t="n">
        <v>2022</v>
      </c>
      <c r="X187" s="129" t="n">
        <v>1989915.91</v>
      </c>
      <c r="Y187" s="129" t="n">
        <f aca="false" ca="false" dt2D="false" dtr="false" t="normal">+(K187*9.1+L187*18.19)*12</f>
        <v>1167720.0720000002</v>
      </c>
      <c r="AA187" s="130" t="e">
        <f aca="false" ca="false" dt2D="false" dtr="false" t="normal">+N187-'[8]Приложение № 2'!E179</f>
        <v>#REF!</v>
      </c>
      <c r="AD187" s="130" t="e">
        <f aca="false" ca="false" dt2D="false" dtr="false" t="normal">+N187-'[8]Приложение № 2'!E179</f>
        <v>#REF!</v>
      </c>
      <c r="AP187" s="112" t="s">
        <v>268</v>
      </c>
      <c r="AQ187" s="129" t="n">
        <v>2258124.61</v>
      </c>
      <c r="AR187" s="3" t="n">
        <f aca="false" ca="false" dt2D="false" dtr="false" t="normal">+(K187*10+L187*20)*12*0.85</f>
        <v>1091002.2</v>
      </c>
      <c r="AS187" s="3" t="n"/>
      <c r="AT187" s="9" t="n"/>
      <c r="AW187" s="113" t="n">
        <f aca="false" ca="true" dt2D="false" dtr="false" t="normal">SUBTOTAL(9, AX187:BL187)</f>
        <v>21555080.01</v>
      </c>
      <c r="AX187" s="106" t="n">
        <v>11356723.2</v>
      </c>
      <c r="AY187" s="106" t="n"/>
      <c r="AZ187" s="106" t="n">
        <v>5611190.4</v>
      </c>
      <c r="BA187" s="106" t="n">
        <v>3761995.2</v>
      </c>
      <c r="BB187" s="106" t="n"/>
      <c r="BC187" s="106" t="n"/>
      <c r="BD187" s="106" t="n"/>
      <c r="BE187" s="106" t="n"/>
      <c r="BF187" s="106" t="n"/>
      <c r="BG187" s="106" t="n"/>
      <c r="BH187" s="106" t="n"/>
      <c r="BI187" s="106" t="n"/>
      <c r="BJ187" s="106" t="n">
        <v>634394.92</v>
      </c>
      <c r="BK187" s="114" t="n">
        <v>24000</v>
      </c>
      <c r="BL187" s="115" t="n">
        <v>166776.29</v>
      </c>
      <c r="BM187" s="14" t="n">
        <f aca="false" ca="true" dt2D="false" dtr="false" t="normal">SUBTOTAL(9, BN187:CB187)</f>
        <v>21555080.01</v>
      </c>
      <c r="BN187" s="106" t="n">
        <v>11356723.2</v>
      </c>
      <c r="BO187" s="106" t="n"/>
      <c r="BP187" s="133" t="n">
        <v>5611190.4</v>
      </c>
      <c r="BQ187" s="106" t="n">
        <v>3761995.2</v>
      </c>
      <c r="BR187" s="106" t="n"/>
      <c r="BS187" s="106" t="n"/>
      <c r="BT187" s="106" t="n"/>
      <c r="BU187" s="106" t="n"/>
      <c r="BV187" s="106" t="n"/>
      <c r="BW187" s="106" t="n"/>
      <c r="BX187" s="106" t="n"/>
      <c r="BY187" s="106" t="n"/>
      <c r="BZ187" s="106" t="n">
        <v>634394.92</v>
      </c>
      <c r="CA187" s="114" t="n">
        <v>24000</v>
      </c>
      <c r="CB187" s="115" t="n">
        <v>166776.29</v>
      </c>
      <c r="CD187" s="116" t="n">
        <f aca="false" ca="false" dt2D="false" dtr="false" t="normal">+CD186+1</f>
        <v>170</v>
      </c>
      <c r="CE187" s="117" t="n">
        <f aca="false" ca="false" dt2D="false" dtr="false" t="normal">+CE186+1</f>
        <v>170</v>
      </c>
      <c r="CF187" s="104" t="s">
        <v>265</v>
      </c>
      <c r="CG187" s="104" t="s">
        <v>277</v>
      </c>
      <c r="CH187" s="118" t="n">
        <f aca="false" ca="true" dt2D="false" dtr="false" t="normal">SUBTOTAL(9, CI187:CW187)</f>
        <v>21555080.01</v>
      </c>
      <c r="CI187" s="106" t="n">
        <v>11356723.2</v>
      </c>
      <c r="CJ187" s="106" t="n"/>
      <c r="CK187" s="133" t="n">
        <v>5611190.4</v>
      </c>
      <c r="CL187" s="106" t="n">
        <v>3761995.2</v>
      </c>
      <c r="CM187" s="106" t="n"/>
      <c r="CN187" s="106" t="n"/>
      <c r="CO187" s="106" t="n"/>
      <c r="CP187" s="106" t="n"/>
      <c r="CQ187" s="106" t="n"/>
      <c r="CR187" s="106" t="n"/>
      <c r="CS187" s="106" t="n"/>
      <c r="CT187" s="106" t="n"/>
      <c r="CU187" s="106" t="n">
        <v>634394.92</v>
      </c>
      <c r="CV187" s="114" t="n">
        <v>24000</v>
      </c>
      <c r="CW187" s="115" t="n">
        <v>166776.29</v>
      </c>
      <c r="CZ187" s="104" t="s">
        <v>277</v>
      </c>
      <c r="DA187" s="119" t="n">
        <f aca="false" ca="true" dt2D="false" dtr="false" t="normal">SUBTOTAL(9, DB187:DP187)</f>
        <v>21555080.01</v>
      </c>
      <c r="DB187" s="106" t="n">
        <v>11356723.2</v>
      </c>
      <c r="DC187" s="106" t="n"/>
      <c r="DD187" s="133" t="n">
        <v>5611190.4</v>
      </c>
      <c r="DE187" s="106" t="n">
        <v>3761995.2</v>
      </c>
      <c r="DF187" s="106" t="n"/>
      <c r="DG187" s="106" t="n"/>
      <c r="DH187" s="106" t="n"/>
      <c r="DI187" s="106" t="n"/>
      <c r="DJ187" s="106" t="n"/>
      <c r="DK187" s="106" t="n"/>
      <c r="DL187" s="106" t="n"/>
      <c r="DM187" s="106" t="n"/>
      <c r="DN187" s="106" t="n">
        <v>634394.92</v>
      </c>
      <c r="DO187" s="114" t="n">
        <v>24000</v>
      </c>
      <c r="DP187" s="120" t="n">
        <v>166776.29</v>
      </c>
      <c r="DQ187" s="3" t="n">
        <f aca="false" ca="false" dt2D="false" dtr="false" t="normal">N187-DA187</f>
        <v>0</v>
      </c>
      <c r="DS187" s="9" t="n"/>
    </row>
    <row hidden="false" ht="15" outlineLevel="0" r="188">
      <c r="A188" s="103" t="n">
        <f aca="false" ca="false" dt2D="false" dtr="false" t="normal">+A187+1</f>
        <v>171</v>
      </c>
      <c r="B188" s="104" t="n">
        <f aca="false" ca="false" dt2D="false" dtr="false" t="normal">+B187+1</f>
        <v>171</v>
      </c>
      <c r="C188" s="104" t="s">
        <v>263</v>
      </c>
      <c r="D188" s="104" t="s">
        <v>278</v>
      </c>
      <c r="E188" s="105" t="n">
        <v>1989</v>
      </c>
      <c r="F188" s="105" t="n">
        <v>2011</v>
      </c>
      <c r="G188" s="105" t="s">
        <v>68</v>
      </c>
      <c r="H188" s="105" t="n">
        <v>5</v>
      </c>
      <c r="I188" s="105" t="n">
        <v>3</v>
      </c>
      <c r="J188" s="106" t="n">
        <v>4149.85</v>
      </c>
      <c r="K188" s="106" t="n">
        <v>2952.15</v>
      </c>
      <c r="L188" s="106" t="n">
        <v>1197.7</v>
      </c>
      <c r="M188" s="107" t="n">
        <v>135</v>
      </c>
      <c r="N188" s="108" t="n">
        <f aca="false" ca="false" dt2D="false" dtr="false" t="normal">SUM(P188:T188)</f>
        <v>3733979.02</v>
      </c>
      <c r="O188" s="106" t="n"/>
      <c r="P188" s="114" t="n">
        <v>2786045.63</v>
      </c>
      <c r="Q188" s="114" t="n"/>
      <c r="R188" s="114" t="n">
        <v>947933.39</v>
      </c>
      <c r="S188" s="114" t="n"/>
      <c r="T188" s="106" t="n"/>
      <c r="U188" s="114" t="n">
        <v>915.323474342446</v>
      </c>
      <c r="V188" s="114" t="n">
        <v>915.323474342446</v>
      </c>
      <c r="W188" s="110" t="n">
        <v>2022</v>
      </c>
      <c r="X188" s="9" t="e">
        <f aca="false" ca="false" dt2D="false" dtr="false" t="normal">+#REF!-'[9]Приложение №1'!$P1286</f>
        <v>#REF!</v>
      </c>
      <c r="Z188" s="113" t="n">
        <f aca="false" ca="false" dt2D="false" dtr="false" t="normal">SUM(AA188:AO188)</f>
        <v>9087777.1</v>
      </c>
      <c r="AA188" s="106" t="n">
        <v>8092901.7897546</v>
      </c>
      <c r="AB188" s="106" t="n">
        <v>0</v>
      </c>
      <c r="AC188" s="106" t="n">
        <v>0</v>
      </c>
      <c r="AD188" s="106" t="n">
        <v>0</v>
      </c>
      <c r="AE188" s="106" t="n">
        <v>0</v>
      </c>
      <c r="AF188" s="106" t="n"/>
      <c r="AG188" s="106" t="n">
        <v>0</v>
      </c>
      <c r="AH188" s="106" t="n">
        <v>0</v>
      </c>
      <c r="AI188" s="106" t="n">
        <v>0</v>
      </c>
      <c r="AJ188" s="106" t="n">
        <v>0</v>
      </c>
      <c r="AK188" s="106" t="n">
        <v>0</v>
      </c>
      <c r="AL188" s="106" t="n">
        <v>0</v>
      </c>
      <c r="AM188" s="106" t="n">
        <v>727022.168</v>
      </c>
      <c r="AN188" s="114" t="n">
        <v>90877.771</v>
      </c>
      <c r="AO188" s="115" t="n">
        <v>176975.3712454</v>
      </c>
      <c r="AP188" s="112" t="n">
        <f aca="false" ca="false" dt2D="false" dtr="false" t="normal">+N188-'Приложение №2'!E188</f>
        <v>0</v>
      </c>
      <c r="AQ188" s="1" t="n">
        <v>1238172.51</v>
      </c>
      <c r="AR188" s="3" t="n">
        <f aca="false" ca="false" dt2D="false" dtr="false" t="normal">+(K188*10+L188*20)*12*0.85</f>
        <v>545450.1</v>
      </c>
      <c r="AT188" s="9" t="n"/>
      <c r="AW188" s="113" t="n">
        <f aca="false" ca="true" dt2D="false" dtr="false" t="normal">SUBTOTAL(9, AX188:BL188)</f>
        <v>3798455.12</v>
      </c>
      <c r="AX188" s="106" t="n">
        <v>3733979.02</v>
      </c>
      <c r="AY188" s="106" t="n">
        <v>0</v>
      </c>
      <c r="AZ188" s="106" t="n">
        <v>0</v>
      </c>
      <c r="BA188" s="106" t="n">
        <v>0</v>
      </c>
      <c r="BB188" s="106" t="n">
        <v>0</v>
      </c>
      <c r="BC188" s="106" t="n"/>
      <c r="BD188" s="106" t="n"/>
      <c r="BE188" s="106" t="n">
        <v>0</v>
      </c>
      <c r="BF188" s="106" t="n">
        <v>0</v>
      </c>
      <c r="BG188" s="106" t="n">
        <v>0</v>
      </c>
      <c r="BH188" s="106" t="n">
        <v>0</v>
      </c>
      <c r="BI188" s="106" t="n">
        <v>0</v>
      </c>
      <c r="BJ188" s="106" t="n"/>
      <c r="BK188" s="114" t="n"/>
      <c r="BL188" s="115" t="n">
        <v>64476.1</v>
      </c>
      <c r="BM188" s="14" t="n">
        <f aca="false" ca="true" dt2D="false" dtr="false" t="normal">SUBTOTAL(9, BN188:CB188)</f>
        <v>3798455.12</v>
      </c>
      <c r="BN188" s="106" t="n">
        <v>3733979.02</v>
      </c>
      <c r="BO188" s="106" t="n">
        <v>0</v>
      </c>
      <c r="BP188" s="133" t="n">
        <v>0</v>
      </c>
      <c r="BQ188" s="106" t="n">
        <v>0</v>
      </c>
      <c r="BR188" s="106" t="n">
        <v>0</v>
      </c>
      <c r="BS188" s="106" t="n"/>
      <c r="BT188" s="106" t="n"/>
      <c r="BU188" s="106" t="n">
        <v>0</v>
      </c>
      <c r="BV188" s="106" t="n">
        <v>0</v>
      </c>
      <c r="BW188" s="106" t="n">
        <v>0</v>
      </c>
      <c r="BX188" s="106" t="n">
        <v>0</v>
      </c>
      <c r="BY188" s="106" t="n">
        <v>0</v>
      </c>
      <c r="BZ188" s="106" t="n"/>
      <c r="CA188" s="114" t="n"/>
      <c r="CB188" s="115" t="n">
        <v>64476.1</v>
      </c>
      <c r="CD188" s="116" t="n">
        <f aca="false" ca="false" dt2D="false" dtr="false" t="normal">+CD187+1</f>
        <v>171</v>
      </c>
      <c r="CE188" s="117" t="n">
        <f aca="false" ca="false" dt2D="false" dtr="false" t="normal">+CE187+1</f>
        <v>171</v>
      </c>
      <c r="CF188" s="104" t="s">
        <v>265</v>
      </c>
      <c r="CG188" s="104" t="s">
        <v>278</v>
      </c>
      <c r="CH188" s="118" t="n">
        <f aca="false" ca="true" dt2D="false" dtr="false" t="normal">SUBTOTAL(9, CI188:CW188)</f>
        <v>3798455.12</v>
      </c>
      <c r="CI188" s="106" t="n">
        <v>3733979.02</v>
      </c>
      <c r="CJ188" s="106" t="n">
        <v>0</v>
      </c>
      <c r="CK188" s="133" t="n">
        <v>0</v>
      </c>
      <c r="CL188" s="106" t="n">
        <v>0</v>
      </c>
      <c r="CM188" s="106" t="n">
        <v>0</v>
      </c>
      <c r="CN188" s="106" t="n"/>
      <c r="CO188" s="106" t="n"/>
      <c r="CP188" s="106" t="n">
        <v>0</v>
      </c>
      <c r="CQ188" s="106" t="n">
        <v>0</v>
      </c>
      <c r="CR188" s="106" t="n">
        <v>0</v>
      </c>
      <c r="CS188" s="106" t="n">
        <v>0</v>
      </c>
      <c r="CT188" s="106" t="n">
        <v>0</v>
      </c>
      <c r="CU188" s="106" t="n"/>
      <c r="CV188" s="114" t="n"/>
      <c r="CW188" s="115" t="n">
        <v>64476.1</v>
      </c>
      <c r="CZ188" s="104" t="s">
        <v>278</v>
      </c>
      <c r="DA188" s="119" t="n">
        <f aca="false" ca="true" dt2D="false" dtr="false" t="normal">SUBTOTAL(9, DB188:DP188)</f>
        <v>3733979.02</v>
      </c>
      <c r="DB188" s="106" t="n">
        <v>3733979.02</v>
      </c>
      <c r="DC188" s="106" t="n">
        <v>0</v>
      </c>
      <c r="DD188" s="133" t="n">
        <v>0</v>
      </c>
      <c r="DE188" s="106" t="n">
        <v>0</v>
      </c>
      <c r="DF188" s="106" t="n">
        <v>0</v>
      </c>
      <c r="DG188" s="106" t="n"/>
      <c r="DH188" s="106" t="n"/>
      <c r="DI188" s="106" t="n">
        <v>0</v>
      </c>
      <c r="DJ188" s="106" t="n">
        <v>0</v>
      </c>
      <c r="DK188" s="106" t="n">
        <v>0</v>
      </c>
      <c r="DL188" s="106" t="n">
        <v>0</v>
      </c>
      <c r="DM188" s="106" t="n">
        <v>0</v>
      </c>
      <c r="DN188" s="106" t="n"/>
      <c r="DO188" s="114" t="n"/>
      <c r="DP188" s="120" t="n">
        <v>0</v>
      </c>
      <c r="DQ188" s="3" t="n">
        <f aca="false" ca="false" dt2D="false" dtr="false" t="normal">N188-DA188</f>
        <v>0</v>
      </c>
      <c r="DS188" s="9" t="n"/>
    </row>
    <row hidden="false" ht="15" outlineLevel="0" r="189">
      <c r="A189" s="103" t="n">
        <f aca="false" ca="false" dt2D="false" dtr="false" t="normal">+A188+1</f>
        <v>172</v>
      </c>
      <c r="B189" s="104" t="n">
        <f aca="false" ca="false" dt2D="false" dtr="false" t="normal">+B188+1</f>
        <v>172</v>
      </c>
      <c r="C189" s="104" t="s">
        <v>263</v>
      </c>
      <c r="D189" s="104" t="s">
        <v>279</v>
      </c>
      <c r="E189" s="105" t="n">
        <v>1986</v>
      </c>
      <c r="F189" s="105" t="n">
        <v>2011</v>
      </c>
      <c r="G189" s="105" t="s">
        <v>68</v>
      </c>
      <c r="H189" s="105" t="n">
        <v>4</v>
      </c>
      <c r="I189" s="105" t="n">
        <v>2</v>
      </c>
      <c r="J189" s="106" t="n">
        <v>2202.6</v>
      </c>
      <c r="K189" s="106" t="n">
        <v>1541.4</v>
      </c>
      <c r="L189" s="106" t="n">
        <v>661.2</v>
      </c>
      <c r="M189" s="107" t="n">
        <v>88</v>
      </c>
      <c r="N189" s="108" t="n">
        <f aca="false" ca="false" dt2D="false" dtr="false" t="normal">SUM(P189:T189)</f>
        <v>5044368.49</v>
      </c>
      <c r="O189" s="106" t="n"/>
      <c r="P189" s="114" t="n">
        <v>4921136.82</v>
      </c>
      <c r="Q189" s="114" t="n"/>
      <c r="R189" s="114" t="n">
        <v>123231.67</v>
      </c>
      <c r="S189" s="114" t="n"/>
      <c r="T189" s="106" t="n"/>
      <c r="U189" s="114" t="n">
        <v>2306.75592935622</v>
      </c>
      <c r="V189" s="114" t="n">
        <v>2306.75592935622</v>
      </c>
      <c r="W189" s="110" t="n">
        <v>2022</v>
      </c>
      <c r="X189" s="9" t="e">
        <f aca="false" ca="false" dt2D="false" dtr="false" t="normal">+#REF!-'[9]Приложение №1'!$P886</f>
        <v>#REF!</v>
      </c>
      <c r="Z189" s="113" t="n">
        <f aca="false" ca="false" dt2D="false" dtr="false" t="normal">SUM(AA189:AO189)</f>
        <v>8976789.91</v>
      </c>
      <c r="AA189" s="106" t="n">
        <v>0</v>
      </c>
      <c r="AB189" s="106" t="n">
        <v>0</v>
      </c>
      <c r="AC189" s="106" t="n">
        <v>0</v>
      </c>
      <c r="AD189" s="106" t="n">
        <v>0</v>
      </c>
      <c r="AE189" s="106" t="n">
        <v>0</v>
      </c>
      <c r="AF189" s="106" t="n"/>
      <c r="AG189" s="106" t="n">
        <v>0</v>
      </c>
      <c r="AH189" s="106" t="n">
        <v>0</v>
      </c>
      <c r="AI189" s="106" t="n">
        <v>7906217.9453334</v>
      </c>
      <c r="AJ189" s="106" t="n">
        <v>0</v>
      </c>
      <c r="AK189" s="106" t="n">
        <v>0</v>
      </c>
      <c r="AL189" s="106" t="n">
        <v>0</v>
      </c>
      <c r="AM189" s="106" t="n">
        <v>807911.0919</v>
      </c>
      <c r="AN189" s="114" t="n">
        <v>89767.8991</v>
      </c>
      <c r="AO189" s="115" t="n">
        <v>172892.9736666</v>
      </c>
      <c r="AP189" s="112" t="n">
        <f aca="false" ca="false" dt2D="false" dtr="false" t="normal">+N189-'Приложение №2'!E189</f>
        <v>0</v>
      </c>
      <c r="AQ189" s="1" t="n">
        <v>658488.62</v>
      </c>
      <c r="AR189" s="3" t="n">
        <f aca="false" ca="false" dt2D="false" dtr="false" t="normal">+(K189*10+L189*20)*12*0.85</f>
        <v>292107.6</v>
      </c>
      <c r="AT189" s="9" t="n"/>
      <c r="AW189" s="113" t="n">
        <f aca="false" ca="true" dt2D="false" dtr="false" t="normal">SUBTOTAL(9, AX189:BL189)</f>
        <v>5080860.61</v>
      </c>
      <c r="AX189" s="106" t="n">
        <v>0</v>
      </c>
      <c r="AY189" s="106" t="n">
        <v>0</v>
      </c>
      <c r="AZ189" s="106" t="n">
        <v>0</v>
      </c>
      <c r="BA189" s="106" t="n">
        <v>0</v>
      </c>
      <c r="BB189" s="106" t="n">
        <v>0</v>
      </c>
      <c r="BC189" s="106" t="n"/>
      <c r="BD189" s="106" t="n"/>
      <c r="BE189" s="106" t="n">
        <v>0</v>
      </c>
      <c r="BF189" s="106" t="n">
        <v>5044368.49</v>
      </c>
      <c r="BG189" s="106" t="n">
        <v>0</v>
      </c>
      <c r="BH189" s="106" t="n">
        <v>0</v>
      </c>
      <c r="BI189" s="106" t="n">
        <v>0</v>
      </c>
      <c r="BJ189" s="106" t="n"/>
      <c r="BK189" s="114" t="n"/>
      <c r="BL189" s="115" t="n">
        <v>36492.12</v>
      </c>
      <c r="BM189" s="14" t="n">
        <f aca="false" ca="true" dt2D="false" dtr="false" t="normal">SUBTOTAL(9, BN189:CB189)</f>
        <v>5080860.61</v>
      </c>
      <c r="BN189" s="106" t="n">
        <v>0</v>
      </c>
      <c r="BO189" s="106" t="n">
        <v>0</v>
      </c>
      <c r="BP189" s="133" t="n">
        <v>0</v>
      </c>
      <c r="BQ189" s="106" t="n">
        <v>0</v>
      </c>
      <c r="BR189" s="106" t="n">
        <v>0</v>
      </c>
      <c r="BS189" s="106" t="n"/>
      <c r="BT189" s="106" t="n"/>
      <c r="BU189" s="106" t="n">
        <v>0</v>
      </c>
      <c r="BV189" s="106" t="n">
        <v>5044368.49</v>
      </c>
      <c r="BW189" s="106" t="n">
        <v>0</v>
      </c>
      <c r="BX189" s="106" t="n">
        <v>0</v>
      </c>
      <c r="BY189" s="106" t="n">
        <v>0</v>
      </c>
      <c r="BZ189" s="106" t="n"/>
      <c r="CA189" s="114" t="n"/>
      <c r="CB189" s="115" t="n">
        <v>36492.12</v>
      </c>
      <c r="CD189" s="116" t="n">
        <f aca="false" ca="false" dt2D="false" dtr="false" t="normal">+CD188+1</f>
        <v>172</v>
      </c>
      <c r="CE189" s="117" t="n">
        <f aca="false" ca="false" dt2D="false" dtr="false" t="normal">+CE188+1</f>
        <v>172</v>
      </c>
      <c r="CF189" s="104" t="s">
        <v>265</v>
      </c>
      <c r="CG189" s="104" t="s">
        <v>279</v>
      </c>
      <c r="CH189" s="118" t="n">
        <f aca="false" ca="true" dt2D="false" dtr="false" t="normal">SUBTOTAL(9, CI189:CW189)</f>
        <v>5080860.61</v>
      </c>
      <c r="CI189" s="106" t="n">
        <v>0</v>
      </c>
      <c r="CJ189" s="106" t="n">
        <v>0</v>
      </c>
      <c r="CK189" s="133" t="n">
        <v>0</v>
      </c>
      <c r="CL189" s="106" t="n">
        <v>0</v>
      </c>
      <c r="CM189" s="106" t="n">
        <v>0</v>
      </c>
      <c r="CN189" s="106" t="n"/>
      <c r="CO189" s="106" t="n"/>
      <c r="CP189" s="106" t="n">
        <v>0</v>
      </c>
      <c r="CQ189" s="106" t="n">
        <v>5044368.49</v>
      </c>
      <c r="CR189" s="106" t="n">
        <v>0</v>
      </c>
      <c r="CS189" s="106" t="n">
        <v>0</v>
      </c>
      <c r="CT189" s="106" t="n">
        <v>0</v>
      </c>
      <c r="CU189" s="106" t="n"/>
      <c r="CV189" s="114" t="n"/>
      <c r="CW189" s="115" t="n">
        <v>36492.12</v>
      </c>
      <c r="CZ189" s="104" t="s">
        <v>279</v>
      </c>
      <c r="DA189" s="119" t="n">
        <f aca="false" ca="true" dt2D="false" dtr="false" t="normal">SUBTOTAL(9, DB189:DP189)</f>
        <v>5044368.49</v>
      </c>
      <c r="DB189" s="106" t="n">
        <v>0</v>
      </c>
      <c r="DC189" s="106" t="n">
        <v>0</v>
      </c>
      <c r="DD189" s="133" t="n">
        <v>0</v>
      </c>
      <c r="DE189" s="106" t="n">
        <v>0</v>
      </c>
      <c r="DF189" s="106" t="n">
        <v>0</v>
      </c>
      <c r="DG189" s="106" t="n"/>
      <c r="DH189" s="106" t="n"/>
      <c r="DI189" s="106" t="n">
        <v>0</v>
      </c>
      <c r="DJ189" s="106" t="n">
        <v>5044368.49</v>
      </c>
      <c r="DK189" s="106" t="n">
        <v>0</v>
      </c>
      <c r="DL189" s="106" t="n">
        <v>0</v>
      </c>
      <c r="DM189" s="106" t="n">
        <v>0</v>
      </c>
      <c r="DN189" s="106" t="n"/>
      <c r="DO189" s="114" t="n"/>
      <c r="DP189" s="122" t="n"/>
      <c r="DQ189" s="3" t="n">
        <f aca="false" ca="false" dt2D="false" dtr="false" t="normal">N189-DA189</f>
        <v>0</v>
      </c>
      <c r="DS189" s="9" t="n"/>
    </row>
    <row hidden="false" ht="15" outlineLevel="0" r="190">
      <c r="A190" s="103" t="n">
        <f aca="false" ca="false" dt2D="false" dtr="false" t="normal">+A189+1</f>
        <v>173</v>
      </c>
      <c r="B190" s="104" t="n">
        <f aca="false" ca="false" dt2D="false" dtr="false" t="normal">+B189+1</f>
        <v>173</v>
      </c>
      <c r="C190" s="104" t="s">
        <v>280</v>
      </c>
      <c r="D190" s="104" t="s">
        <v>281</v>
      </c>
      <c r="E190" s="105" t="n">
        <v>1975</v>
      </c>
      <c r="F190" s="105" t="n">
        <v>2010</v>
      </c>
      <c r="G190" s="105" t="s">
        <v>68</v>
      </c>
      <c r="H190" s="105" t="n">
        <v>4</v>
      </c>
      <c r="I190" s="105" t="n">
        <v>3</v>
      </c>
      <c r="J190" s="106" t="n">
        <v>2207.3</v>
      </c>
      <c r="K190" s="106" t="n">
        <v>1539.8</v>
      </c>
      <c r="L190" s="106" t="n">
        <v>72.9</v>
      </c>
      <c r="M190" s="107" t="n">
        <v>60</v>
      </c>
      <c r="N190" s="108" t="n">
        <f aca="false" ca="false" dt2D="false" dtr="false" t="normal">SUM(P190:T190)</f>
        <v>8528765.64</v>
      </c>
      <c r="O190" s="106" t="n"/>
      <c r="P190" s="114" t="n">
        <v>305015.04</v>
      </c>
      <c r="Q190" s="114" t="n"/>
      <c r="R190" s="114" t="n">
        <v>1072056.31</v>
      </c>
      <c r="S190" s="114" t="n">
        <v>7151694.29</v>
      </c>
      <c r="T190" s="106" t="n"/>
      <c r="U190" s="114" t="n">
        <v>5428.88459684016</v>
      </c>
      <c r="V190" s="114" t="n">
        <v>5428.88459684016</v>
      </c>
      <c r="W190" s="110" t="n">
        <v>2022</v>
      </c>
      <c r="X190" s="9" t="e">
        <f aca="false" ca="false" dt2D="false" dtr="false" t="normal">+#REF!-'[9]Приложение №1'!$P1294</f>
        <v>#REF!</v>
      </c>
      <c r="Z190" s="113" t="n">
        <f aca="false" ca="false" dt2D="false" dtr="false" t="normal">SUM(AA190:AO190)</f>
        <v>12862454.159999998</v>
      </c>
      <c r="AA190" s="106" t="n">
        <v>0</v>
      </c>
      <c r="AB190" s="106" t="n">
        <v>0</v>
      </c>
      <c r="AC190" s="106" t="n">
        <v>1651099.99309374</v>
      </c>
      <c r="AD190" s="106" t="n">
        <v>0</v>
      </c>
      <c r="AE190" s="106" t="n">
        <v>658775.13073596</v>
      </c>
      <c r="AF190" s="106" t="n"/>
      <c r="AG190" s="106" t="n">
        <v>0</v>
      </c>
      <c r="AH190" s="106" t="n">
        <v>0</v>
      </c>
      <c r="AI190" s="106" t="n">
        <v>0</v>
      </c>
      <c r="AJ190" s="106" t="n">
        <v>0</v>
      </c>
      <c r="AK190" s="106" t="n">
        <v>4282271.23162944</v>
      </c>
      <c r="AL190" s="106" t="n">
        <v>4419510.2317527</v>
      </c>
      <c r="AM190" s="106" t="n">
        <v>1481370.404</v>
      </c>
      <c r="AN190" s="114" t="n">
        <v>128624.5416</v>
      </c>
      <c r="AO190" s="115" t="n">
        <v>240802.62718816</v>
      </c>
      <c r="AP190" s="112" t="n">
        <f aca="false" ca="false" dt2D="false" dtr="false" t="normal">+N190-'Приложение №2'!E190</f>
        <v>0</v>
      </c>
      <c r="AQ190" s="1" t="n">
        <v>817698.89</v>
      </c>
      <c r="AR190" s="3" t="n">
        <f aca="false" ca="false" dt2D="false" dtr="false" t="normal">+(K190*10+L190*20)*12*0.85</f>
        <v>171931.19999999998</v>
      </c>
      <c r="AS190" s="3" t="n">
        <f aca="false" ca="false" dt2D="false" dtr="false" t="normal">+(K190*10+L190*20)*12*30</f>
        <v>6068160</v>
      </c>
      <c r="AT190" s="9" t="n">
        <f aca="false" ca="false" dt2D="false" dtr="false" t="normal">+S190-AS190</f>
        <v>1083534.29</v>
      </c>
      <c r="AW190" s="113" t="n">
        <f aca="false" ca="true" dt2D="false" dtr="false" t="normal">SUBTOTAL(9, AX190:BL190)</f>
        <v>8755162.18932412</v>
      </c>
      <c r="AX190" s="106" t="n">
        <v>0</v>
      </c>
      <c r="AY190" s="106" t="n">
        <v>0</v>
      </c>
      <c r="AZ190" s="106" t="n">
        <v>1011024.23</v>
      </c>
      <c r="BA190" s="106" t="n">
        <v>0</v>
      </c>
      <c r="BB190" s="106" t="n"/>
      <c r="BC190" s="106" t="n"/>
      <c r="BD190" s="106" t="n"/>
      <c r="BE190" s="106" t="n">
        <v>0</v>
      </c>
      <c r="BF190" s="106" t="n">
        <v>0</v>
      </c>
      <c r="BG190" s="106" t="n">
        <v>0</v>
      </c>
      <c r="BH190" s="106" t="n">
        <v>4376437.43</v>
      </c>
      <c r="BI190" s="106" t="n">
        <v>3141303.98</v>
      </c>
      <c r="BJ190" s="106" t="n"/>
      <c r="BK190" s="114" t="n"/>
      <c r="BL190" s="115" t="n">
        <v>226396.54932412</v>
      </c>
      <c r="BM190" s="14" t="n">
        <f aca="false" ca="true" dt2D="false" dtr="false" t="normal">SUBTOTAL(9, BN190:CB190)</f>
        <v>8755162.18932412</v>
      </c>
      <c r="BN190" s="106" t="n">
        <v>0</v>
      </c>
      <c r="BO190" s="106" t="n">
        <v>0</v>
      </c>
      <c r="BP190" s="133" t="n">
        <v>1011024.23</v>
      </c>
      <c r="BQ190" s="106" t="n">
        <v>0</v>
      </c>
      <c r="BR190" s="106" t="n"/>
      <c r="BS190" s="106" t="n"/>
      <c r="BT190" s="106" t="n"/>
      <c r="BU190" s="106" t="n">
        <v>0</v>
      </c>
      <c r="BV190" s="106" t="n">
        <v>0</v>
      </c>
      <c r="BW190" s="106" t="n">
        <v>0</v>
      </c>
      <c r="BX190" s="106" t="n">
        <v>4376437.43</v>
      </c>
      <c r="BY190" s="106" t="n">
        <v>3141303.98</v>
      </c>
      <c r="BZ190" s="106" t="n"/>
      <c r="CA190" s="114" t="n"/>
      <c r="CB190" s="115" t="n">
        <v>226396.54932412</v>
      </c>
      <c r="CD190" s="116" t="n">
        <f aca="false" ca="false" dt2D="false" dtr="false" t="normal">+CD189+1</f>
        <v>173</v>
      </c>
      <c r="CE190" s="117" t="n">
        <f aca="false" ca="false" dt2D="false" dtr="false" t="normal">+CE189+1</f>
        <v>173</v>
      </c>
      <c r="CF190" s="104" t="s">
        <v>280</v>
      </c>
      <c r="CG190" s="104" t="s">
        <v>281</v>
      </c>
      <c r="CH190" s="118" t="n">
        <f aca="false" ca="true" dt2D="false" dtr="false" t="normal">SUBTOTAL(9, CI190:CW190)</f>
        <v>8755162.18932412</v>
      </c>
      <c r="CI190" s="106" t="n">
        <v>0</v>
      </c>
      <c r="CJ190" s="106" t="n">
        <v>0</v>
      </c>
      <c r="CK190" s="133" t="n">
        <v>1011024.23</v>
      </c>
      <c r="CL190" s="106" t="n">
        <v>0</v>
      </c>
      <c r="CM190" s="106" t="n"/>
      <c r="CN190" s="106" t="n"/>
      <c r="CO190" s="106" t="n"/>
      <c r="CP190" s="106" t="n">
        <v>0</v>
      </c>
      <c r="CQ190" s="106" t="n">
        <v>0</v>
      </c>
      <c r="CR190" s="106" t="n">
        <v>0</v>
      </c>
      <c r="CS190" s="106" t="n">
        <v>4376437.43</v>
      </c>
      <c r="CT190" s="106" t="n">
        <v>3141303.98</v>
      </c>
      <c r="CU190" s="106" t="n"/>
      <c r="CV190" s="114" t="n"/>
      <c r="CW190" s="115" t="n">
        <v>226396.54932412</v>
      </c>
      <c r="CZ190" s="104" t="s">
        <v>281</v>
      </c>
      <c r="DA190" s="119" t="n">
        <f aca="false" ca="true" dt2D="false" dtr="false" t="normal">SUBTOTAL(9, DB190:DP190)</f>
        <v>8528765.64</v>
      </c>
      <c r="DB190" s="106" t="n">
        <v>0</v>
      </c>
      <c r="DC190" s="106" t="n">
        <v>0</v>
      </c>
      <c r="DD190" s="133" t="n">
        <v>1011024.23</v>
      </c>
      <c r="DE190" s="106" t="n">
        <v>0</v>
      </c>
      <c r="DF190" s="106" t="n"/>
      <c r="DG190" s="106" t="n"/>
      <c r="DH190" s="106" t="n"/>
      <c r="DI190" s="106" t="n">
        <v>0</v>
      </c>
      <c r="DJ190" s="106" t="n">
        <v>0</v>
      </c>
      <c r="DK190" s="106" t="n">
        <v>0</v>
      </c>
      <c r="DL190" s="106" t="n">
        <v>4376437.43</v>
      </c>
      <c r="DM190" s="106" t="n">
        <v>3141303.98</v>
      </c>
      <c r="DN190" s="106" t="n"/>
      <c r="DO190" s="114" t="n"/>
      <c r="DP190" s="122" t="n"/>
      <c r="DQ190" s="3" t="n">
        <f aca="false" ca="false" dt2D="false" dtr="false" t="normal">N190-DA190</f>
        <v>0</v>
      </c>
      <c r="DS190" s="9" t="n"/>
    </row>
    <row hidden="false" ht="15" outlineLevel="0" r="191">
      <c r="A191" s="103" t="n">
        <f aca="false" ca="false" dt2D="false" dtr="false" t="normal">+A190+1</f>
        <v>174</v>
      </c>
      <c r="B191" s="104" t="n">
        <f aca="false" ca="false" dt2D="false" dtr="false" t="normal">+B190+1</f>
        <v>174</v>
      </c>
      <c r="C191" s="104" t="s">
        <v>280</v>
      </c>
      <c r="D191" s="104" t="s">
        <v>282</v>
      </c>
      <c r="E191" s="105" t="n">
        <v>1968</v>
      </c>
      <c r="F191" s="105" t="n">
        <v>2010</v>
      </c>
      <c r="G191" s="105" t="s">
        <v>68</v>
      </c>
      <c r="H191" s="105" t="n">
        <v>2</v>
      </c>
      <c r="I191" s="105" t="n">
        <v>1</v>
      </c>
      <c r="J191" s="106" t="n">
        <v>395.2</v>
      </c>
      <c r="K191" s="106" t="n">
        <v>370.7</v>
      </c>
      <c r="L191" s="106" t="n">
        <v>0</v>
      </c>
      <c r="M191" s="107" t="n">
        <v>21</v>
      </c>
      <c r="N191" s="108" t="n">
        <f aca="false" ca="false" dt2D="false" dtr="false" t="normal">SUM(P191:T191)</f>
        <v>1463481.27</v>
      </c>
      <c r="O191" s="106" t="n"/>
      <c r="P191" s="114" t="n">
        <v>463367.23</v>
      </c>
      <c r="Q191" s="114" t="n"/>
      <c r="R191" s="114" t="n">
        <v>167186.07</v>
      </c>
      <c r="S191" s="114" t="n">
        <v>832927.97</v>
      </c>
      <c r="T191" s="106" t="n"/>
      <c r="U191" s="114" t="n">
        <v>4103.63318962536</v>
      </c>
      <c r="V191" s="114" t="n">
        <v>4103.63318962536</v>
      </c>
      <c r="W191" s="110" t="n">
        <v>2022</v>
      </c>
      <c r="X191" s="9" t="e">
        <f aca="false" ca="false" dt2D="false" dtr="false" t="normal">+#REF!-'[9]Приложение №1'!$P887</f>
        <v>#REF!</v>
      </c>
      <c r="Z191" s="113" t="n">
        <f aca="false" ca="false" dt2D="false" dtr="false" t="normal">SUM(AA191:AO191)</f>
        <v>2665334.4899999998</v>
      </c>
      <c r="AA191" s="106" t="n">
        <v>0</v>
      </c>
      <c r="AB191" s="106" t="n">
        <v>0</v>
      </c>
      <c r="AC191" s="106" t="n">
        <v>0</v>
      </c>
      <c r="AD191" s="106" t="n">
        <v>0</v>
      </c>
      <c r="AE191" s="106" t="n">
        <v>0</v>
      </c>
      <c r="AF191" s="106" t="n"/>
      <c r="AG191" s="106" t="n">
        <v>0</v>
      </c>
      <c r="AH191" s="106" t="n">
        <v>0</v>
      </c>
      <c r="AI191" s="106" t="n">
        <v>0</v>
      </c>
      <c r="AJ191" s="106" t="n">
        <v>0</v>
      </c>
      <c r="AK191" s="106" t="n">
        <v>0</v>
      </c>
      <c r="AL191" s="106" t="n">
        <v>2321383.73540346</v>
      </c>
      <c r="AM191" s="106" t="n">
        <v>266533.449</v>
      </c>
      <c r="AN191" s="114" t="n">
        <v>26653.3449</v>
      </c>
      <c r="AO191" s="115" t="n">
        <v>50763.96069654</v>
      </c>
      <c r="AP191" s="112" t="n">
        <f aca="false" ca="false" dt2D="false" dtr="false" t="normal">+N191-'Приложение №2'!E191</f>
        <v>0</v>
      </c>
      <c r="AQ191" s="1" t="n">
        <v>177132.32</v>
      </c>
      <c r="AR191" s="3" t="n">
        <f aca="false" ca="false" dt2D="false" dtr="false" t="normal">+(K191*10+L191*20)*12*0.85</f>
        <v>37811.4</v>
      </c>
      <c r="AS191" s="3" t="n">
        <f aca="false" ca="false" dt2D="false" dtr="false" t="normal">+(K191*10+L191*20)*12*30</f>
        <v>1334520</v>
      </c>
      <c r="AT191" s="9" t="n">
        <f aca="false" ca="false" dt2D="false" dtr="false" t="normal">+S191-AS191</f>
        <v>-501592.03</v>
      </c>
      <c r="AW191" s="113" t="n">
        <f aca="false" ca="true" dt2D="false" dtr="false" t="normal">SUBTOTAL(9, AX191:BL191)</f>
        <v>1521216.82339412</v>
      </c>
      <c r="AX191" s="106" t="n">
        <v>0</v>
      </c>
      <c r="AY191" s="106" t="n">
        <v>0</v>
      </c>
      <c r="AZ191" s="106" t="n">
        <v>256799.44</v>
      </c>
      <c r="BA191" s="106" t="n">
        <v>0</v>
      </c>
      <c r="BB191" s="106" t="n">
        <v>0</v>
      </c>
      <c r="BC191" s="106" t="n"/>
      <c r="BD191" s="106" t="n"/>
      <c r="BE191" s="106" t="n">
        <v>0</v>
      </c>
      <c r="BF191" s="106" t="n">
        <v>0</v>
      </c>
      <c r="BG191" s="106" t="n">
        <v>0</v>
      </c>
      <c r="BH191" s="106" t="n">
        <v>0</v>
      </c>
      <c r="BI191" s="106" t="n">
        <v>1206681.83</v>
      </c>
      <c r="BJ191" s="106" t="n"/>
      <c r="BK191" s="114" t="n"/>
      <c r="BL191" s="115" t="n">
        <v>57735.55339412</v>
      </c>
      <c r="BM191" s="14" t="n">
        <f aca="false" ca="true" dt2D="false" dtr="false" t="normal">SUBTOTAL(9, BN191:CB191)</f>
        <v>1521216.82339412</v>
      </c>
      <c r="BN191" s="106" t="n">
        <v>0</v>
      </c>
      <c r="BO191" s="106" t="n">
        <v>0</v>
      </c>
      <c r="BP191" s="133" t="n">
        <v>256799.44</v>
      </c>
      <c r="BQ191" s="106" t="n">
        <v>0</v>
      </c>
      <c r="BR191" s="106" t="n">
        <v>0</v>
      </c>
      <c r="BS191" s="106" t="n"/>
      <c r="BT191" s="106" t="n"/>
      <c r="BU191" s="106" t="n">
        <v>0</v>
      </c>
      <c r="BV191" s="106" t="n">
        <v>0</v>
      </c>
      <c r="BW191" s="106" t="n">
        <v>0</v>
      </c>
      <c r="BX191" s="106" t="n">
        <v>0</v>
      </c>
      <c r="BY191" s="106" t="n">
        <v>1206681.83</v>
      </c>
      <c r="BZ191" s="106" t="n"/>
      <c r="CA191" s="114" t="n"/>
      <c r="CB191" s="115" t="n">
        <v>57735.55339412</v>
      </c>
      <c r="CD191" s="116" t="n">
        <f aca="false" ca="false" dt2D="false" dtr="false" t="normal">+CD190+1</f>
        <v>174</v>
      </c>
      <c r="CE191" s="117" t="n">
        <f aca="false" ca="false" dt2D="false" dtr="false" t="normal">+CE190+1</f>
        <v>174</v>
      </c>
      <c r="CF191" s="104" t="s">
        <v>280</v>
      </c>
      <c r="CG191" s="104" t="s">
        <v>282</v>
      </c>
      <c r="CH191" s="118" t="n">
        <f aca="false" ca="true" dt2D="false" dtr="false" t="normal">SUBTOTAL(9, CI191:CW191)</f>
        <v>1521216.82339412</v>
      </c>
      <c r="CI191" s="106" t="n">
        <v>0</v>
      </c>
      <c r="CJ191" s="106" t="n">
        <v>0</v>
      </c>
      <c r="CK191" s="133" t="n">
        <v>256799.44</v>
      </c>
      <c r="CL191" s="106" t="n">
        <v>0</v>
      </c>
      <c r="CM191" s="106" t="n">
        <v>0</v>
      </c>
      <c r="CN191" s="106" t="n"/>
      <c r="CO191" s="106" t="n"/>
      <c r="CP191" s="106" t="n">
        <v>0</v>
      </c>
      <c r="CQ191" s="106" t="n">
        <v>0</v>
      </c>
      <c r="CR191" s="106" t="n">
        <v>0</v>
      </c>
      <c r="CS191" s="106" t="n">
        <v>0</v>
      </c>
      <c r="CT191" s="106" t="n">
        <v>1206681.83</v>
      </c>
      <c r="CU191" s="106" t="n"/>
      <c r="CV191" s="114" t="n"/>
      <c r="CW191" s="115" t="n">
        <v>57735.55339412</v>
      </c>
      <c r="CZ191" s="104" t="s">
        <v>282</v>
      </c>
      <c r="DA191" s="119" t="n">
        <f aca="false" ca="true" dt2D="false" dtr="false" t="normal">SUBTOTAL(9, DB191:DP191)</f>
        <v>1463481.27</v>
      </c>
      <c r="DB191" s="106" t="n">
        <v>0</v>
      </c>
      <c r="DC191" s="106" t="n">
        <v>0</v>
      </c>
      <c r="DD191" s="133" t="n">
        <v>256799.44</v>
      </c>
      <c r="DE191" s="106" t="n">
        <v>0</v>
      </c>
      <c r="DF191" s="106" t="n">
        <v>0</v>
      </c>
      <c r="DG191" s="106" t="n"/>
      <c r="DH191" s="106" t="n"/>
      <c r="DI191" s="106" t="n">
        <v>0</v>
      </c>
      <c r="DJ191" s="106" t="n">
        <v>0</v>
      </c>
      <c r="DK191" s="106" t="n">
        <v>0</v>
      </c>
      <c r="DL191" s="106" t="n">
        <v>0</v>
      </c>
      <c r="DM191" s="106" t="n">
        <v>1206681.83</v>
      </c>
      <c r="DN191" s="106" t="n"/>
      <c r="DO191" s="114" t="n"/>
      <c r="DP191" s="122" t="n"/>
      <c r="DQ191" s="3" t="n">
        <f aca="false" ca="false" dt2D="false" dtr="false" t="normal">N191-DA191</f>
        <v>0</v>
      </c>
      <c r="DS191" s="9" t="n"/>
    </row>
    <row hidden="false" ht="15" outlineLevel="0" r="192">
      <c r="A192" s="103" t="n">
        <f aca="false" ca="false" dt2D="false" dtr="false" t="normal">+A191+1</f>
        <v>175</v>
      </c>
      <c r="B192" s="104" t="n">
        <f aca="false" ca="false" dt2D="false" dtr="false" t="normal">+B191+1</f>
        <v>175</v>
      </c>
      <c r="C192" s="104" t="s">
        <v>283</v>
      </c>
      <c r="D192" s="104" t="s">
        <v>284</v>
      </c>
      <c r="E192" s="105" t="n">
        <v>1987</v>
      </c>
      <c r="F192" s="105" t="n">
        <v>1987</v>
      </c>
      <c r="G192" s="105" t="s">
        <v>68</v>
      </c>
      <c r="H192" s="105" t="n">
        <v>2</v>
      </c>
      <c r="I192" s="105" t="n">
        <v>2</v>
      </c>
      <c r="J192" s="106" t="n">
        <v>910.2</v>
      </c>
      <c r="K192" s="106" t="n">
        <v>783.4</v>
      </c>
      <c r="L192" s="106" t="n">
        <v>0</v>
      </c>
      <c r="M192" s="107" t="n">
        <v>32</v>
      </c>
      <c r="N192" s="108" t="n">
        <f aca="false" ca="false" dt2D="false" dtr="false" t="normal">SUM(P192:T192)</f>
        <v>749666.3940999999</v>
      </c>
      <c r="O192" s="106" t="n"/>
      <c r="P192" s="114" t="n"/>
      <c r="Q192" s="114" t="n"/>
      <c r="R192" s="114" t="n">
        <v>398689.43</v>
      </c>
      <c r="S192" s="114" t="n">
        <v>350976.9641</v>
      </c>
      <c r="T192" s="106" t="n"/>
      <c r="U192" s="114" t="n">
        <v>975.706854988843</v>
      </c>
      <c r="V192" s="114" t="n">
        <v>975.706854988843</v>
      </c>
      <c r="W192" s="110" t="n">
        <v>2022</v>
      </c>
      <c r="X192" s="9" t="e">
        <f aca="false" ca="false" dt2D="false" dtr="false" t="normal">+#REF!-'[9]Приложение №1'!$P893</f>
        <v>#REF!</v>
      </c>
      <c r="Z192" s="113" t="n">
        <f aca="false" ca="false" dt2D="false" dtr="false" t="normal">SUM(AA192:AO192)</f>
        <v>1452392.59</v>
      </c>
      <c r="AA192" s="106" t="n">
        <v>0</v>
      </c>
      <c r="AB192" s="106" t="n">
        <v>0</v>
      </c>
      <c r="AC192" s="106" t="n">
        <v>672323.62980174</v>
      </c>
      <c r="AD192" s="106" t="n">
        <v>572666.75863488</v>
      </c>
      <c r="AE192" s="106" t="n">
        <v>0</v>
      </c>
      <c r="AF192" s="106" t="n"/>
      <c r="AG192" s="106" t="n">
        <v>0</v>
      </c>
      <c r="AH192" s="106" t="n">
        <v>0</v>
      </c>
      <c r="AI192" s="106" t="n">
        <v>0</v>
      </c>
      <c r="AJ192" s="106" t="n">
        <v>0</v>
      </c>
      <c r="AK192" s="106" t="n">
        <v>0</v>
      </c>
      <c r="AL192" s="106" t="n">
        <v>0</v>
      </c>
      <c r="AM192" s="106" t="n">
        <v>165652.8574</v>
      </c>
      <c r="AN192" s="114" t="n">
        <v>14523.9259</v>
      </c>
      <c r="AO192" s="115" t="n">
        <v>27225.41826338</v>
      </c>
      <c r="AP192" s="112" t="n">
        <f aca="false" ca="false" dt2D="false" dtr="false" t="normal">+N192-'Приложение №2'!E192</f>
        <v>0</v>
      </c>
      <c r="AQ192" s="1" t="n">
        <v>318782.63</v>
      </c>
      <c r="AR192" s="3" t="n">
        <f aca="false" ca="false" dt2D="false" dtr="false" t="normal">+(K192*10+L192*20)*12*0.85</f>
        <v>79906.8</v>
      </c>
      <c r="AS192" s="3" t="n">
        <f aca="false" ca="false" dt2D="false" dtr="false" t="normal">+(K192*10+L192*20)*12*30</f>
        <v>2820240</v>
      </c>
      <c r="AT192" s="9" t="n">
        <f aca="false" ca="false" dt2D="false" dtr="false" t="normal">+S192-AS192</f>
        <v>-2469263.0359</v>
      </c>
      <c r="AW192" s="113" t="n">
        <f aca="false" ca="true" dt2D="false" dtr="false" t="normal">SUBTOTAL(9, AX192:BL192)</f>
        <v>764368.75019826</v>
      </c>
      <c r="AX192" s="106" t="n">
        <v>0</v>
      </c>
      <c r="AY192" s="106" t="n">
        <v>0</v>
      </c>
      <c r="AZ192" s="106" t="n">
        <v>664753.07</v>
      </c>
      <c r="BA192" s="106" t="n"/>
      <c r="BB192" s="106" t="n">
        <v>0</v>
      </c>
      <c r="BC192" s="106" t="n"/>
      <c r="BD192" s="106" t="n"/>
      <c r="BE192" s="106" t="n">
        <v>0</v>
      </c>
      <c r="BF192" s="106" t="n">
        <v>0</v>
      </c>
      <c r="BG192" s="106" t="n">
        <v>0</v>
      </c>
      <c r="BH192" s="106" t="n">
        <v>0</v>
      </c>
      <c r="BI192" s="106" t="n">
        <v>0</v>
      </c>
      <c r="BJ192" s="106" t="n">
        <v>77193.931</v>
      </c>
      <c r="BK192" s="114" t="n">
        <v>7719.3931</v>
      </c>
      <c r="BL192" s="115" t="n">
        <v>14702.35609826</v>
      </c>
      <c r="BM192" s="14" t="n">
        <f aca="false" ca="true" dt2D="false" dtr="false" t="normal">SUBTOTAL(9, BN192:CB192)</f>
        <v>764368.75019826</v>
      </c>
      <c r="BN192" s="106" t="n">
        <v>0</v>
      </c>
      <c r="BO192" s="106" t="n">
        <v>0</v>
      </c>
      <c r="BP192" s="133" t="n">
        <v>664753.07</v>
      </c>
      <c r="BQ192" s="106" t="n"/>
      <c r="BR192" s="106" t="n">
        <v>0</v>
      </c>
      <c r="BS192" s="106" t="n"/>
      <c r="BT192" s="106" t="n"/>
      <c r="BU192" s="106" t="n">
        <v>0</v>
      </c>
      <c r="BV192" s="106" t="n">
        <v>0</v>
      </c>
      <c r="BW192" s="106" t="n">
        <v>0</v>
      </c>
      <c r="BX192" s="106" t="n">
        <v>0</v>
      </c>
      <c r="BY192" s="106" t="n">
        <v>0</v>
      </c>
      <c r="BZ192" s="106" t="n">
        <v>77193.931</v>
      </c>
      <c r="CA192" s="114" t="n">
        <v>7719.3931</v>
      </c>
      <c r="CB192" s="115" t="n">
        <v>14702.35609826</v>
      </c>
      <c r="CD192" s="116" t="n">
        <f aca="false" ca="false" dt2D="false" dtr="false" t="normal">+CD191+1</f>
        <v>175</v>
      </c>
      <c r="CE192" s="117" t="n">
        <f aca="false" ca="false" dt2D="false" dtr="false" t="normal">+CE191+1</f>
        <v>175</v>
      </c>
      <c r="CF192" s="104" t="s">
        <v>283</v>
      </c>
      <c r="CG192" s="104" t="s">
        <v>284</v>
      </c>
      <c r="CH192" s="118" t="n">
        <f aca="false" ca="true" dt2D="false" dtr="false" t="normal">SUBTOTAL(9, CI192:CW192)</f>
        <v>764368.75019826</v>
      </c>
      <c r="CI192" s="106" t="n">
        <v>0</v>
      </c>
      <c r="CJ192" s="106" t="n">
        <v>0</v>
      </c>
      <c r="CK192" s="133" t="n">
        <v>664753.07</v>
      </c>
      <c r="CL192" s="106" t="n"/>
      <c r="CM192" s="106" t="n">
        <v>0</v>
      </c>
      <c r="CN192" s="106" t="n"/>
      <c r="CO192" s="106" t="n"/>
      <c r="CP192" s="106" t="n">
        <v>0</v>
      </c>
      <c r="CQ192" s="106" t="n">
        <v>0</v>
      </c>
      <c r="CR192" s="106" t="n">
        <v>0</v>
      </c>
      <c r="CS192" s="106" t="n">
        <v>0</v>
      </c>
      <c r="CT192" s="106" t="n">
        <v>0</v>
      </c>
      <c r="CU192" s="106" t="n">
        <v>77193.931</v>
      </c>
      <c r="CV192" s="114" t="n">
        <v>7719.3931</v>
      </c>
      <c r="CW192" s="115" t="n">
        <v>14702.35609826</v>
      </c>
      <c r="CZ192" s="104" t="s">
        <v>284</v>
      </c>
      <c r="DA192" s="119" t="n">
        <f aca="false" ca="true" dt2D="false" dtr="false" t="normal">SUBTOTAL(9, DB192:DP192)</f>
        <v>749666.3940999999</v>
      </c>
      <c r="DB192" s="106" t="n">
        <v>0</v>
      </c>
      <c r="DC192" s="106" t="n">
        <v>0</v>
      </c>
      <c r="DD192" s="133" t="n">
        <v>664753.07</v>
      </c>
      <c r="DE192" s="106" t="n"/>
      <c r="DF192" s="106" t="n">
        <v>0</v>
      </c>
      <c r="DG192" s="106" t="n"/>
      <c r="DH192" s="106" t="n"/>
      <c r="DI192" s="106" t="n">
        <v>0</v>
      </c>
      <c r="DJ192" s="106" t="n">
        <v>0</v>
      </c>
      <c r="DK192" s="106" t="n">
        <v>0</v>
      </c>
      <c r="DL192" s="106" t="n">
        <v>0</v>
      </c>
      <c r="DM192" s="106" t="n">
        <v>0</v>
      </c>
      <c r="DN192" s="106" t="n">
        <v>77193.931</v>
      </c>
      <c r="DO192" s="114" t="n">
        <v>7719.3931</v>
      </c>
      <c r="DP192" s="122" t="n"/>
      <c r="DQ192" s="3" t="n">
        <f aca="false" ca="false" dt2D="false" dtr="false" t="normal">N192-DA192</f>
        <v>0</v>
      </c>
      <c r="DS192" s="9" t="n"/>
    </row>
    <row hidden="false" ht="15" outlineLevel="0" r="193">
      <c r="A193" s="103" t="n">
        <f aca="false" ca="false" dt2D="false" dtr="false" t="normal">+A192+1</f>
        <v>176</v>
      </c>
      <c r="B193" s="104" t="n">
        <f aca="false" ca="false" dt2D="false" dtr="false" t="normal">+B192+1</f>
        <v>176</v>
      </c>
      <c r="C193" s="104" t="s">
        <v>283</v>
      </c>
      <c r="D193" s="104" t="s">
        <v>285</v>
      </c>
      <c r="E193" s="105" t="n">
        <v>1979</v>
      </c>
      <c r="F193" s="105" t="n">
        <v>2010</v>
      </c>
      <c r="G193" s="105" t="s">
        <v>68</v>
      </c>
      <c r="H193" s="105" t="n">
        <v>5</v>
      </c>
      <c r="I193" s="105" t="n">
        <v>2</v>
      </c>
      <c r="J193" s="106" t="n">
        <v>1745.5</v>
      </c>
      <c r="K193" s="106" t="n">
        <v>1575.1</v>
      </c>
      <c r="L193" s="106" t="n">
        <v>0</v>
      </c>
      <c r="M193" s="107" t="n">
        <v>61</v>
      </c>
      <c r="N193" s="108" t="n">
        <f aca="false" ca="false" dt2D="false" dtr="false" t="normal">SUM(P193:T193)</f>
        <v>346555.42</v>
      </c>
      <c r="O193" s="106" t="n"/>
      <c r="P193" s="114" t="n"/>
      <c r="Q193" s="114" t="n"/>
      <c r="R193" s="114" t="n">
        <v>346555.42</v>
      </c>
      <c r="S193" s="114" t="n"/>
      <c r="T193" s="106" t="n"/>
      <c r="U193" s="114" t="n">
        <v>231.787346733795</v>
      </c>
      <c r="V193" s="114" t="n">
        <v>231.787346733795</v>
      </c>
      <c r="W193" s="110" t="n">
        <v>2022</v>
      </c>
      <c r="X193" s="9" t="e">
        <f aca="false" ca="false" dt2D="false" dtr="false" t="normal">+#REF!-'[9]Приложение №1'!$P1296</f>
        <v>#REF!</v>
      </c>
      <c r="Z193" s="113" t="n">
        <f aca="false" ca="false" dt2D="false" dtr="false" t="normal">SUM(AA193:AO193)</f>
        <v>1782216.8299999998</v>
      </c>
      <c r="AA193" s="106" t="n">
        <v>0</v>
      </c>
      <c r="AB193" s="106" t="n">
        <v>0</v>
      </c>
      <c r="AC193" s="106" t="n">
        <v>0</v>
      </c>
      <c r="AD193" s="106" t="n">
        <v>847487.2561596</v>
      </c>
      <c r="AE193" s="106" t="n">
        <v>523452.69346482</v>
      </c>
      <c r="AF193" s="106" t="n"/>
      <c r="AG193" s="106" t="n">
        <v>0</v>
      </c>
      <c r="AH193" s="106" t="n">
        <v>0</v>
      </c>
      <c r="AI193" s="106" t="n">
        <v>0</v>
      </c>
      <c r="AJ193" s="106" t="n">
        <v>0</v>
      </c>
      <c r="AK193" s="106" t="n">
        <v>0</v>
      </c>
      <c r="AL193" s="106" t="n">
        <v>0</v>
      </c>
      <c r="AM193" s="106" t="n">
        <v>363475.032</v>
      </c>
      <c r="AN193" s="114" t="n">
        <v>17822.1683</v>
      </c>
      <c r="AO193" s="115" t="n">
        <v>29979.68007558</v>
      </c>
      <c r="AP193" s="112" t="n">
        <f aca="false" ca="false" dt2D="false" dtr="false" t="normal">+N193-'Приложение №2'!E193</f>
        <v>0</v>
      </c>
      <c r="AQ193" s="1" t="n">
        <f aca="false" ca="false" dt2D="false" dtr="false" t="normal">667423.91-106073.7</f>
        <v>561350.2100000001</v>
      </c>
      <c r="AR193" s="3" t="n">
        <f aca="false" ca="false" dt2D="false" dtr="false" t="normal">+(K193*10+L193*20)*12*0.85</f>
        <v>160660.19999999998</v>
      </c>
      <c r="AS193" s="3" t="n">
        <f aca="false" ca="false" dt2D="false" dtr="false" t="normal">+(K193*10+L193*20)*12*30</f>
        <v>5670360</v>
      </c>
      <c r="AT193" s="9" t="n">
        <f aca="false" ca="false" dt2D="false" dtr="false" t="normal">+S193-AS193</f>
        <v>-5670360</v>
      </c>
      <c r="AW193" s="113" t="n">
        <f aca="false" ca="true" dt2D="false" dtr="false" t="normal">SUBTOTAL(9, AX193:BL193)</f>
        <v>365088.2498404</v>
      </c>
      <c r="AX193" s="106" t="n">
        <v>0</v>
      </c>
      <c r="AY193" s="106" t="n">
        <v>0</v>
      </c>
      <c r="AZ193" s="106" t="n">
        <v>0</v>
      </c>
      <c r="BA193" s="106" t="n">
        <v>346555.42</v>
      </c>
      <c r="BB193" s="106" t="n"/>
      <c r="BC193" s="106" t="n"/>
      <c r="BD193" s="106" t="n"/>
      <c r="BE193" s="106" t="n">
        <v>0</v>
      </c>
      <c r="BF193" s="106" t="n">
        <v>0</v>
      </c>
      <c r="BG193" s="106" t="n">
        <v>0</v>
      </c>
      <c r="BH193" s="106" t="n">
        <v>0</v>
      </c>
      <c r="BI193" s="106" t="n">
        <v>0</v>
      </c>
      <c r="BJ193" s="106" t="n"/>
      <c r="BK193" s="114" t="n"/>
      <c r="BL193" s="115" t="n">
        <v>18532.8298404</v>
      </c>
      <c r="BM193" s="14" t="n">
        <f aca="false" ca="true" dt2D="false" dtr="false" t="normal">SUBTOTAL(9, BN193:CB193)</f>
        <v>365088.2498404</v>
      </c>
      <c r="BN193" s="106" t="n">
        <v>0</v>
      </c>
      <c r="BO193" s="106" t="n">
        <v>0</v>
      </c>
      <c r="BP193" s="133" t="n">
        <v>0</v>
      </c>
      <c r="BQ193" s="106" t="n">
        <v>346555.42</v>
      </c>
      <c r="BR193" s="106" t="n"/>
      <c r="BS193" s="106" t="n"/>
      <c r="BT193" s="106" t="n"/>
      <c r="BU193" s="106" t="n">
        <v>0</v>
      </c>
      <c r="BV193" s="106" t="n">
        <v>0</v>
      </c>
      <c r="BW193" s="106" t="n">
        <v>0</v>
      </c>
      <c r="BX193" s="106" t="n">
        <v>0</v>
      </c>
      <c r="BY193" s="106" t="n">
        <v>0</v>
      </c>
      <c r="BZ193" s="106" t="n"/>
      <c r="CA193" s="114" t="n"/>
      <c r="CB193" s="115" t="n">
        <v>18532.8298404</v>
      </c>
      <c r="CD193" s="116" t="n">
        <f aca="false" ca="false" dt2D="false" dtr="false" t="normal">+CD192+1</f>
        <v>176</v>
      </c>
      <c r="CE193" s="117" t="n">
        <f aca="false" ca="false" dt2D="false" dtr="false" t="normal">+CE192+1</f>
        <v>176</v>
      </c>
      <c r="CF193" s="104" t="s">
        <v>283</v>
      </c>
      <c r="CG193" s="104" t="s">
        <v>285</v>
      </c>
      <c r="CH193" s="118" t="n">
        <f aca="false" ca="true" dt2D="false" dtr="false" t="normal">SUBTOTAL(9, CI193:CW193)</f>
        <v>365088.2498404</v>
      </c>
      <c r="CI193" s="106" t="n">
        <v>0</v>
      </c>
      <c r="CJ193" s="106" t="n">
        <v>0</v>
      </c>
      <c r="CK193" s="133" t="n">
        <v>0</v>
      </c>
      <c r="CL193" s="106" t="n">
        <v>346555.42</v>
      </c>
      <c r="CM193" s="106" t="n"/>
      <c r="CN193" s="106" t="n"/>
      <c r="CO193" s="106" t="n"/>
      <c r="CP193" s="106" t="n">
        <v>0</v>
      </c>
      <c r="CQ193" s="106" t="n">
        <v>0</v>
      </c>
      <c r="CR193" s="106" t="n">
        <v>0</v>
      </c>
      <c r="CS193" s="106" t="n">
        <v>0</v>
      </c>
      <c r="CT193" s="106" t="n">
        <v>0</v>
      </c>
      <c r="CU193" s="106" t="n"/>
      <c r="CV193" s="114" t="n"/>
      <c r="CW193" s="115" t="n">
        <v>18532.8298404</v>
      </c>
      <c r="CZ193" s="104" t="s">
        <v>285</v>
      </c>
      <c r="DA193" s="119" t="n">
        <f aca="false" ca="true" dt2D="false" dtr="false" t="normal">SUBTOTAL(9, DB193:DP193)</f>
        <v>346555.42</v>
      </c>
      <c r="DB193" s="106" t="n">
        <v>0</v>
      </c>
      <c r="DC193" s="106" t="n">
        <v>0</v>
      </c>
      <c r="DD193" s="133" t="n">
        <v>0</v>
      </c>
      <c r="DE193" s="106" t="n">
        <v>346555.42</v>
      </c>
      <c r="DF193" s="106" t="n"/>
      <c r="DG193" s="106" t="n"/>
      <c r="DH193" s="106" t="n"/>
      <c r="DI193" s="106" t="n">
        <v>0</v>
      </c>
      <c r="DJ193" s="106" t="n">
        <v>0</v>
      </c>
      <c r="DK193" s="106" t="n">
        <v>0</v>
      </c>
      <c r="DL193" s="106" t="n">
        <v>0</v>
      </c>
      <c r="DM193" s="106" t="n">
        <v>0</v>
      </c>
      <c r="DN193" s="106" t="n"/>
      <c r="DO193" s="114" t="n"/>
      <c r="DP193" s="122" t="n"/>
      <c r="DQ193" s="3" t="n">
        <f aca="false" ca="false" dt2D="false" dtr="false" t="normal">N193-DA193</f>
        <v>0</v>
      </c>
      <c r="DS193" s="9" t="n"/>
    </row>
    <row hidden="false" ht="15" outlineLevel="0" r="194">
      <c r="A194" s="103" t="n">
        <f aca="false" ca="false" dt2D="false" dtr="false" t="normal">+A193+1</f>
        <v>177</v>
      </c>
      <c r="B194" s="104" t="n">
        <f aca="false" ca="false" dt2D="false" dtr="false" t="normal">+B193+1</f>
        <v>177</v>
      </c>
      <c r="C194" s="104" t="s">
        <v>283</v>
      </c>
      <c r="D194" s="104" t="s">
        <v>286</v>
      </c>
      <c r="E194" s="105" t="n">
        <v>1979</v>
      </c>
      <c r="F194" s="105" t="n">
        <v>1979</v>
      </c>
      <c r="G194" s="105" t="s">
        <v>68</v>
      </c>
      <c r="H194" s="105" t="n">
        <v>5</v>
      </c>
      <c r="I194" s="105" t="n">
        <v>3</v>
      </c>
      <c r="J194" s="106" t="n">
        <v>4465.27</v>
      </c>
      <c r="K194" s="106" t="n">
        <v>4027.37</v>
      </c>
      <c r="L194" s="106" t="n">
        <v>437.9</v>
      </c>
      <c r="M194" s="107" t="n">
        <v>123</v>
      </c>
      <c r="N194" s="108" t="n">
        <f aca="false" ca="false" dt2D="false" dtr="false" t="normal">SUM(P194:T194)</f>
        <v>8345806.4</v>
      </c>
      <c r="O194" s="106" t="n"/>
      <c r="P194" s="114" t="n"/>
      <c r="Q194" s="114" t="n"/>
      <c r="R194" s="114" t="n">
        <v>1518552.78</v>
      </c>
      <c r="S194" s="114" t="n">
        <v>6827253.62</v>
      </c>
      <c r="T194" s="106" t="n"/>
      <c r="U194" s="114" t="n">
        <v>1927.34626571526</v>
      </c>
      <c r="V194" s="114" t="n">
        <v>1927.34626571526</v>
      </c>
      <c r="W194" s="110" t="n">
        <v>2022</v>
      </c>
      <c r="X194" s="9" t="e">
        <f aca="false" ca="false" dt2D="false" dtr="false" t="normal">+#REF!-'[9]Приложение №1'!$P898</f>
        <v>#REF!</v>
      </c>
      <c r="Z194" s="113" t="n">
        <f aca="false" ca="false" dt2D="false" dtr="false" t="normal">SUM(AA194:AO194)</f>
        <v>15335711.040000001</v>
      </c>
      <c r="AA194" s="106" t="n">
        <v>0</v>
      </c>
      <c r="AB194" s="106" t="n">
        <v>0</v>
      </c>
      <c r="AC194" s="106" t="n">
        <v>0</v>
      </c>
      <c r="AD194" s="106" t="n">
        <v>1531596.995712</v>
      </c>
      <c r="AE194" s="106" t="n">
        <v>0</v>
      </c>
      <c r="AF194" s="106" t="n"/>
      <c r="AG194" s="106" t="n">
        <v>0</v>
      </c>
      <c r="AH194" s="106" t="n">
        <v>0</v>
      </c>
      <c r="AI194" s="106" t="n">
        <v>11903940.0760896</v>
      </c>
      <c r="AJ194" s="106" t="n">
        <v>0</v>
      </c>
      <c r="AK194" s="106" t="n">
        <v>0</v>
      </c>
      <c r="AL194" s="106" t="n">
        <v>0</v>
      </c>
      <c r="AM194" s="106" t="n">
        <v>1453008.8736</v>
      </c>
      <c r="AN194" s="114" t="n">
        <v>153357.1104</v>
      </c>
      <c r="AO194" s="115" t="n">
        <v>293807.9841984</v>
      </c>
      <c r="AP194" s="112" t="n">
        <f aca="false" ca="false" dt2D="false" dtr="false" t="normal">+N194-'Приложение №2'!E194</f>
        <v>0</v>
      </c>
      <c r="AQ194" s="1" t="n">
        <f aca="false" ca="false" dt2D="false" dtr="false" t="normal">2029381.74-810307.04</f>
        <v>1219074.7</v>
      </c>
      <c r="AR194" s="3" t="n">
        <f aca="false" ca="false" dt2D="false" dtr="false" t="normal">+(K194*10+L194*20)*12*0.85</f>
        <v>500123.3399999999</v>
      </c>
      <c r="AS194" s="3" t="n">
        <f aca="false" ca="false" dt2D="false" dtr="false" t="normal">+(K194*10+L194*20)*12*30-25438.56</f>
        <v>17625973.439999998</v>
      </c>
      <c r="AT194" s="9" t="n">
        <f aca="false" ca="false" dt2D="false" dtr="false" t="normal">+S194-AS194</f>
        <v>-10798719.819999997</v>
      </c>
      <c r="AW194" s="113" t="n">
        <f aca="false" ca="true" dt2D="false" dtr="false" t="normal">SUBTOTAL(9, AX194:BL194)</f>
        <v>8606121.4599104</v>
      </c>
      <c r="AX194" s="106" t="n">
        <v>0</v>
      </c>
      <c r="AY194" s="106" t="n">
        <v>0</v>
      </c>
      <c r="AZ194" s="106" t="n">
        <v>0</v>
      </c>
      <c r="BA194" s="106" t="n"/>
      <c r="BB194" s="106" t="n">
        <v>0</v>
      </c>
      <c r="BC194" s="106" t="n"/>
      <c r="BD194" s="106" t="n"/>
      <c r="BE194" s="106" t="n">
        <v>0</v>
      </c>
      <c r="BF194" s="106" t="n">
        <v>8345806.4</v>
      </c>
      <c r="BG194" s="106" t="n">
        <v>0</v>
      </c>
      <c r="BH194" s="106" t="n">
        <v>0</v>
      </c>
      <c r="BI194" s="106" t="n">
        <v>0</v>
      </c>
      <c r="BJ194" s="106" t="n"/>
      <c r="BK194" s="114" t="n"/>
      <c r="BL194" s="115" t="n">
        <v>260315.0599104</v>
      </c>
      <c r="BM194" s="14" t="n">
        <f aca="false" ca="true" dt2D="false" dtr="false" t="normal">SUBTOTAL(9, BN194:CB194)</f>
        <v>8606121.4599104</v>
      </c>
      <c r="BN194" s="106" t="n">
        <v>0</v>
      </c>
      <c r="BO194" s="106" t="n">
        <v>0</v>
      </c>
      <c r="BP194" s="133" t="n">
        <v>0</v>
      </c>
      <c r="BQ194" s="106" t="n"/>
      <c r="BR194" s="106" t="n">
        <v>0</v>
      </c>
      <c r="BS194" s="106" t="n"/>
      <c r="BT194" s="106" t="n"/>
      <c r="BU194" s="106" t="n">
        <v>0</v>
      </c>
      <c r="BV194" s="106" t="n">
        <v>8345806.4</v>
      </c>
      <c r="BW194" s="106" t="n">
        <v>0</v>
      </c>
      <c r="BX194" s="106" t="n">
        <v>0</v>
      </c>
      <c r="BY194" s="106" t="n">
        <v>0</v>
      </c>
      <c r="BZ194" s="106" t="n"/>
      <c r="CA194" s="114" t="n"/>
      <c r="CB194" s="115" t="n">
        <v>260315.0599104</v>
      </c>
      <c r="CD194" s="116" t="n">
        <f aca="false" ca="false" dt2D="false" dtr="false" t="normal">+CD193+1</f>
        <v>177</v>
      </c>
      <c r="CE194" s="117" t="n">
        <f aca="false" ca="false" dt2D="false" dtr="false" t="normal">+CE193+1</f>
        <v>177</v>
      </c>
      <c r="CF194" s="104" t="s">
        <v>283</v>
      </c>
      <c r="CG194" s="104" t="s">
        <v>286</v>
      </c>
      <c r="CH194" s="118" t="n">
        <f aca="false" ca="true" dt2D="false" dtr="false" t="normal">SUBTOTAL(9, CI194:CW194)</f>
        <v>8606121.4599104</v>
      </c>
      <c r="CI194" s="106" t="n">
        <v>0</v>
      </c>
      <c r="CJ194" s="106" t="n">
        <v>0</v>
      </c>
      <c r="CK194" s="133" t="n">
        <v>0</v>
      </c>
      <c r="CL194" s="106" t="n"/>
      <c r="CM194" s="106" t="n">
        <v>0</v>
      </c>
      <c r="CN194" s="106" t="n"/>
      <c r="CO194" s="106" t="n"/>
      <c r="CP194" s="106" t="n">
        <v>0</v>
      </c>
      <c r="CQ194" s="106" t="n">
        <v>8345806.4</v>
      </c>
      <c r="CR194" s="106" t="n">
        <v>0</v>
      </c>
      <c r="CS194" s="106" t="n">
        <v>0</v>
      </c>
      <c r="CT194" s="106" t="n">
        <v>0</v>
      </c>
      <c r="CU194" s="106" t="n"/>
      <c r="CV194" s="114" t="n"/>
      <c r="CW194" s="115" t="n">
        <v>260315.0599104</v>
      </c>
      <c r="CZ194" s="104" t="s">
        <v>286</v>
      </c>
      <c r="DA194" s="119" t="n">
        <f aca="false" ca="true" dt2D="false" dtr="false" t="normal">SUBTOTAL(9, DB194:DP194)</f>
        <v>8345806.4</v>
      </c>
      <c r="DB194" s="106" t="n">
        <v>0</v>
      </c>
      <c r="DC194" s="106" t="n">
        <v>0</v>
      </c>
      <c r="DD194" s="133" t="n">
        <v>0</v>
      </c>
      <c r="DE194" s="106" t="n"/>
      <c r="DF194" s="106" t="n">
        <v>0</v>
      </c>
      <c r="DG194" s="106" t="n"/>
      <c r="DH194" s="106" t="n"/>
      <c r="DI194" s="106" t="n">
        <v>0</v>
      </c>
      <c r="DJ194" s="106" t="n">
        <v>8345806.4</v>
      </c>
      <c r="DK194" s="106" t="n">
        <v>0</v>
      </c>
      <c r="DL194" s="106" t="n">
        <v>0</v>
      </c>
      <c r="DM194" s="106" t="n">
        <v>0</v>
      </c>
      <c r="DN194" s="106" t="n"/>
      <c r="DO194" s="114" t="n"/>
      <c r="DP194" s="122" t="n"/>
      <c r="DQ194" s="3" t="n">
        <f aca="false" ca="false" dt2D="false" dtr="false" t="normal">N194-DA194</f>
        <v>0</v>
      </c>
      <c r="DS194" s="9" t="n"/>
    </row>
    <row hidden="false" ht="15" outlineLevel="0" r="195">
      <c r="A195" s="103" t="n">
        <f aca="false" ca="false" dt2D="false" dtr="false" t="normal">+A194+1</f>
        <v>178</v>
      </c>
      <c r="B195" s="104" t="n">
        <f aca="false" ca="false" dt2D="false" dtr="false" t="normal">+B194+1</f>
        <v>178</v>
      </c>
      <c r="C195" s="104" t="s">
        <v>283</v>
      </c>
      <c r="D195" s="104" t="s">
        <v>287</v>
      </c>
      <c r="E195" s="105" t="n">
        <v>1994</v>
      </c>
      <c r="F195" s="105" t="n">
        <v>2011</v>
      </c>
      <c r="G195" s="105" t="s">
        <v>68</v>
      </c>
      <c r="H195" s="105" t="n">
        <v>5</v>
      </c>
      <c r="I195" s="105" t="n">
        <v>2</v>
      </c>
      <c r="J195" s="106" t="n">
        <v>1801.3</v>
      </c>
      <c r="K195" s="106" t="n">
        <v>1628.1</v>
      </c>
      <c r="L195" s="106" t="n">
        <v>0</v>
      </c>
      <c r="M195" s="107" t="n">
        <v>70</v>
      </c>
      <c r="N195" s="108" t="n">
        <f aca="false" ca="false" dt2D="false" dtr="false" t="normal">SUM(P195:T195)</f>
        <v>363946.04</v>
      </c>
      <c r="O195" s="106" t="n"/>
      <c r="P195" s="114" t="n"/>
      <c r="Q195" s="114" t="n"/>
      <c r="R195" s="114" t="n">
        <v>363946.04</v>
      </c>
      <c r="S195" s="114" t="n"/>
      <c r="T195" s="106" t="n"/>
      <c r="U195" s="114" t="n">
        <v>295.924071182925</v>
      </c>
      <c r="V195" s="114" t="n">
        <v>295.924071182925</v>
      </c>
      <c r="W195" s="110" t="n">
        <v>2022</v>
      </c>
      <c r="X195" s="9" t="e">
        <f aca="false" ca="false" dt2D="false" dtr="false" t="normal">+#REF!-'[9]Приложение №1'!$P1737</f>
        <v>#REF!</v>
      </c>
      <c r="Z195" s="113" t="n">
        <f aca="false" ca="false" dt2D="false" dtr="false" t="normal">SUM(AA195:AO195)</f>
        <v>3174451.3677608003</v>
      </c>
      <c r="AA195" s="106" t="n"/>
      <c r="AB195" s="106" t="n">
        <v>0</v>
      </c>
      <c r="AC195" s="106" t="n">
        <v>1384533.05092956</v>
      </c>
      <c r="AD195" s="106" t="n">
        <v>894381.6585564</v>
      </c>
      <c r="AE195" s="106" t="n">
        <v>0</v>
      </c>
      <c r="AF195" s="106" t="n"/>
      <c r="AG195" s="106" t="n">
        <v>151903.93578192</v>
      </c>
      <c r="AH195" s="106" t="n">
        <v>0</v>
      </c>
      <c r="AI195" s="106" t="n">
        <v>0</v>
      </c>
      <c r="AJ195" s="106" t="n">
        <v>0</v>
      </c>
      <c r="AK195" s="106" t="n">
        <v>0</v>
      </c>
      <c r="AL195" s="106" t="n">
        <v>0</v>
      </c>
      <c r="AM195" s="106" t="n">
        <v>564457.8034</v>
      </c>
      <c r="AN195" s="114" t="n">
        <v>61326.9788</v>
      </c>
      <c r="AO195" s="115" t="n">
        <v>117847.94029292</v>
      </c>
      <c r="AP195" s="112" t="n">
        <f aca="false" ca="false" dt2D="false" dtr="false" t="normal">+N195-'Приложение №2'!E195</f>
        <v>0</v>
      </c>
      <c r="AQ195" s="1" t="n">
        <v>668373.47</v>
      </c>
      <c r="AR195" s="3" t="n">
        <f aca="false" ca="false" dt2D="false" dtr="false" t="normal">+(K195*10+L195*20)*12*0.85</f>
        <v>166066.19999999998</v>
      </c>
      <c r="AS195" s="3" t="n">
        <f aca="false" ca="false" dt2D="false" dtr="false" t="normal">+(K195*10+L195*20)*12*30</f>
        <v>5861160</v>
      </c>
      <c r="AT195" s="9" t="n">
        <f aca="false" ca="false" dt2D="false" dtr="false" t="normal">+S195-AS195</f>
        <v>-5861160</v>
      </c>
      <c r="AW195" s="113" t="n">
        <f aca="false" ca="true" dt2D="false" dtr="false" t="normal">SUBTOTAL(9, AX195:BL195)</f>
        <v>481793.98029291996</v>
      </c>
      <c r="AX195" s="106" t="n"/>
      <c r="AY195" s="106" t="n">
        <v>0</v>
      </c>
      <c r="AZ195" s="106" t="n"/>
      <c r="BA195" s="106" t="n">
        <v>363946.04</v>
      </c>
      <c r="BB195" s="106" t="n">
        <v>0</v>
      </c>
      <c r="BC195" s="106" t="n"/>
      <c r="BD195" s="106" t="n"/>
      <c r="BE195" s="106" t="n">
        <v>0</v>
      </c>
      <c r="BF195" s="106" t="n">
        <v>0</v>
      </c>
      <c r="BG195" s="106" t="n">
        <v>0</v>
      </c>
      <c r="BH195" s="106" t="n">
        <v>0</v>
      </c>
      <c r="BI195" s="106" t="n">
        <v>0</v>
      </c>
      <c r="BJ195" s="106" t="n"/>
      <c r="BK195" s="114" t="n"/>
      <c r="BL195" s="115" t="n">
        <v>117847.94029292</v>
      </c>
      <c r="BM195" s="14" t="n">
        <f aca="false" ca="true" dt2D="false" dtr="false" t="normal">SUBTOTAL(9, BN195:CB195)</f>
        <v>481793.98029291996</v>
      </c>
      <c r="BN195" s="106" t="n"/>
      <c r="BO195" s="106" t="n">
        <v>0</v>
      </c>
      <c r="BP195" s="133" t="n"/>
      <c r="BQ195" s="106" t="n">
        <v>363946.04</v>
      </c>
      <c r="BR195" s="106" t="n">
        <v>0</v>
      </c>
      <c r="BS195" s="106" t="n"/>
      <c r="BT195" s="106" t="n"/>
      <c r="BU195" s="106" t="n">
        <v>0</v>
      </c>
      <c r="BV195" s="106" t="n">
        <v>0</v>
      </c>
      <c r="BW195" s="106" t="n">
        <v>0</v>
      </c>
      <c r="BX195" s="106" t="n">
        <v>0</v>
      </c>
      <c r="BY195" s="106" t="n">
        <v>0</v>
      </c>
      <c r="BZ195" s="106" t="n"/>
      <c r="CA195" s="114" t="n"/>
      <c r="CB195" s="115" t="n">
        <v>117847.94029292</v>
      </c>
      <c r="CD195" s="116" t="n">
        <f aca="false" ca="false" dt2D="false" dtr="false" t="normal">+CD194+1</f>
        <v>178</v>
      </c>
      <c r="CE195" s="117" t="n">
        <f aca="false" ca="false" dt2D="false" dtr="false" t="normal">+CE194+1</f>
        <v>178</v>
      </c>
      <c r="CF195" s="104" t="s">
        <v>283</v>
      </c>
      <c r="CG195" s="104" t="s">
        <v>287</v>
      </c>
      <c r="CH195" s="118" t="n">
        <f aca="false" ca="true" dt2D="false" dtr="false" t="normal">SUBTOTAL(9, CI195:CW195)</f>
        <v>481793.98029291996</v>
      </c>
      <c r="CI195" s="106" t="n"/>
      <c r="CJ195" s="106" t="n">
        <v>0</v>
      </c>
      <c r="CK195" s="133" t="n"/>
      <c r="CL195" s="106" t="n">
        <v>363946.04</v>
      </c>
      <c r="CM195" s="106" t="n">
        <v>0</v>
      </c>
      <c r="CN195" s="106" t="n"/>
      <c r="CO195" s="106" t="n"/>
      <c r="CP195" s="106" t="n">
        <v>0</v>
      </c>
      <c r="CQ195" s="106" t="n">
        <v>0</v>
      </c>
      <c r="CR195" s="106" t="n">
        <v>0</v>
      </c>
      <c r="CS195" s="106" t="n">
        <v>0</v>
      </c>
      <c r="CT195" s="106" t="n">
        <v>0</v>
      </c>
      <c r="CU195" s="106" t="n"/>
      <c r="CV195" s="114" t="n"/>
      <c r="CW195" s="115" t="n">
        <v>117847.94029292</v>
      </c>
      <c r="CZ195" s="104" t="s">
        <v>287</v>
      </c>
      <c r="DA195" s="119" t="n">
        <f aca="false" ca="true" dt2D="false" dtr="false" t="normal">SUBTOTAL(9, DB195:DP195)</f>
        <v>363946.04</v>
      </c>
      <c r="DB195" s="106" t="n"/>
      <c r="DC195" s="106" t="n">
        <v>0</v>
      </c>
      <c r="DD195" s="133" t="n"/>
      <c r="DE195" s="106" t="n">
        <v>363946.04</v>
      </c>
      <c r="DF195" s="106" t="n">
        <v>0</v>
      </c>
      <c r="DG195" s="106" t="n"/>
      <c r="DH195" s="106" t="n"/>
      <c r="DI195" s="106" t="n">
        <v>0</v>
      </c>
      <c r="DJ195" s="106" t="n">
        <v>0</v>
      </c>
      <c r="DK195" s="106" t="n">
        <v>0</v>
      </c>
      <c r="DL195" s="106" t="n">
        <v>0</v>
      </c>
      <c r="DM195" s="106" t="n">
        <v>0</v>
      </c>
      <c r="DN195" s="106" t="n"/>
      <c r="DO195" s="114" t="n"/>
      <c r="DP195" s="122" t="n"/>
      <c r="DQ195" s="3" t="n">
        <f aca="false" ca="false" dt2D="false" dtr="false" t="normal">N195-DA195</f>
        <v>0</v>
      </c>
      <c r="DS195" s="9" t="n"/>
    </row>
    <row hidden="false" ht="15" outlineLevel="0" r="196">
      <c r="A196" s="103" t="n">
        <f aca="false" ca="false" dt2D="false" dtr="false" t="normal">+A195+1</f>
        <v>179</v>
      </c>
      <c r="B196" s="104" t="n">
        <f aca="false" ca="false" dt2D="false" dtr="false" t="normal">+B195+1</f>
        <v>179</v>
      </c>
      <c r="C196" s="104" t="s">
        <v>283</v>
      </c>
      <c r="D196" s="104" t="s">
        <v>288</v>
      </c>
      <c r="E196" s="105" t="n">
        <v>1979</v>
      </c>
      <c r="F196" s="105" t="n">
        <v>2009</v>
      </c>
      <c r="G196" s="105" t="s">
        <v>68</v>
      </c>
      <c r="H196" s="105" t="n">
        <v>4</v>
      </c>
      <c r="I196" s="105" t="n">
        <v>4</v>
      </c>
      <c r="J196" s="106" t="n">
        <v>4071.8</v>
      </c>
      <c r="K196" s="106" t="n">
        <v>3488.7</v>
      </c>
      <c r="L196" s="106" t="n">
        <v>0</v>
      </c>
      <c r="M196" s="107" t="n">
        <v>160</v>
      </c>
      <c r="N196" s="108" t="n">
        <f aca="false" ca="false" dt2D="false" dtr="false" t="normal">SUM(P196:T196)</f>
        <v>1321350.85</v>
      </c>
      <c r="O196" s="106" t="n"/>
      <c r="P196" s="114" t="n"/>
      <c r="Q196" s="114" t="n"/>
      <c r="R196" s="114" t="n">
        <v>1187619.09</v>
      </c>
      <c r="S196" s="114" t="n">
        <v>133731.76</v>
      </c>
      <c r="T196" s="106" t="n"/>
      <c r="U196" s="114" t="n">
        <v>395.519752673087</v>
      </c>
      <c r="V196" s="114" t="n">
        <v>395.519752673087</v>
      </c>
      <c r="W196" s="110" t="n">
        <v>2022</v>
      </c>
      <c r="X196" s="9" t="e">
        <f aca="false" ca="false" dt2D="false" dtr="false" t="normal">+#REF!-'[9]Приложение №1'!$P1306</f>
        <v>#REF!</v>
      </c>
      <c r="Z196" s="113" t="n">
        <f aca="false" ca="false" dt2D="false" dtr="false" t="normal">SUM(AA196:AO196)</f>
        <v>4761308.399999999</v>
      </c>
      <c r="AA196" s="106" t="n">
        <v>0</v>
      </c>
      <c r="AB196" s="106" t="n">
        <v>0</v>
      </c>
      <c r="AC196" s="106" t="n">
        <v>0</v>
      </c>
      <c r="AD196" s="106" t="n">
        <v>2675095.0678494</v>
      </c>
      <c r="AE196" s="106" t="n">
        <v>1068700.1105655</v>
      </c>
      <c r="AF196" s="106" t="n"/>
      <c r="AG196" s="106" t="n">
        <v>0</v>
      </c>
      <c r="AH196" s="106" t="n">
        <v>0</v>
      </c>
      <c r="AI196" s="106" t="n">
        <v>0</v>
      </c>
      <c r="AJ196" s="106" t="n">
        <v>0</v>
      </c>
      <c r="AK196" s="106" t="n">
        <v>0</v>
      </c>
      <c r="AL196" s="106" t="n">
        <v>0</v>
      </c>
      <c r="AM196" s="106" t="n">
        <v>888030.9195</v>
      </c>
      <c r="AN196" s="114" t="n">
        <v>47613.084</v>
      </c>
      <c r="AO196" s="115" t="n">
        <v>81869.2180851</v>
      </c>
      <c r="AP196" s="112" t="n">
        <f aca="false" ca="false" dt2D="false" dtr="false" t="normal">+N196-'Приложение №2'!E196</f>
        <v>0</v>
      </c>
      <c r="AQ196" s="1" t="n">
        <f aca="false" ca="false" dt2D="false" dtr="false" t="normal">1427606.19-595834.5</f>
        <v>831771.69</v>
      </c>
      <c r="AR196" s="3" t="n">
        <f aca="false" ca="false" dt2D="false" dtr="false" t="normal">+(K196*10+L196*20)*12*0.85</f>
        <v>355847.39999999997</v>
      </c>
      <c r="AS196" s="3" t="n">
        <f aca="false" ca="false" dt2D="false" dtr="false" t="normal">+(K196*10+L196*20)*12*30-93757.36-12468</f>
        <v>12453094.64</v>
      </c>
      <c r="AT196" s="9" t="n">
        <f aca="false" ca="false" dt2D="false" dtr="false" t="normal">+S196-AS196</f>
        <v>-12319362.88</v>
      </c>
      <c r="AW196" s="113" t="n">
        <f aca="false" ca="true" dt2D="false" dtr="false" t="normal">SUBTOTAL(9, AX196:BL196)</f>
        <v>1379849.7611506002</v>
      </c>
      <c r="AX196" s="106" t="n">
        <v>0</v>
      </c>
      <c r="AY196" s="106" t="n">
        <v>0</v>
      </c>
      <c r="AZ196" s="106" t="n">
        <v>0</v>
      </c>
      <c r="BA196" s="106" t="n">
        <v>1321350.85</v>
      </c>
      <c r="BB196" s="106" t="n"/>
      <c r="BC196" s="106" t="n"/>
      <c r="BD196" s="106" t="n"/>
      <c r="BE196" s="106" t="n">
        <v>0</v>
      </c>
      <c r="BF196" s="106" t="n">
        <v>0</v>
      </c>
      <c r="BG196" s="106" t="n">
        <v>0</v>
      </c>
      <c r="BH196" s="106" t="n">
        <v>0</v>
      </c>
      <c r="BI196" s="106" t="n">
        <v>0</v>
      </c>
      <c r="BJ196" s="106" t="n"/>
      <c r="BK196" s="114" t="n"/>
      <c r="BL196" s="115" t="n">
        <v>58498.9111506</v>
      </c>
      <c r="BM196" s="14" t="n">
        <f aca="false" ca="true" dt2D="false" dtr="false" t="normal">SUBTOTAL(9, BN196:CB196)</f>
        <v>1379849.7611506002</v>
      </c>
      <c r="BN196" s="106" t="n">
        <v>0</v>
      </c>
      <c r="BO196" s="106" t="n">
        <v>0</v>
      </c>
      <c r="BP196" s="133" t="n">
        <v>0</v>
      </c>
      <c r="BQ196" s="106" t="n">
        <v>1321350.85</v>
      </c>
      <c r="BR196" s="106" t="n"/>
      <c r="BS196" s="106" t="n"/>
      <c r="BT196" s="106" t="n"/>
      <c r="BU196" s="106" t="n">
        <v>0</v>
      </c>
      <c r="BV196" s="106" t="n">
        <v>0</v>
      </c>
      <c r="BW196" s="106" t="n">
        <v>0</v>
      </c>
      <c r="BX196" s="106" t="n">
        <v>0</v>
      </c>
      <c r="BY196" s="106" t="n">
        <v>0</v>
      </c>
      <c r="BZ196" s="106" t="n"/>
      <c r="CA196" s="114" t="n"/>
      <c r="CB196" s="115" t="n">
        <v>58498.9111506</v>
      </c>
      <c r="CD196" s="116" t="n">
        <f aca="false" ca="false" dt2D="false" dtr="false" t="normal">+CD195+1</f>
        <v>179</v>
      </c>
      <c r="CE196" s="117" t="n">
        <f aca="false" ca="false" dt2D="false" dtr="false" t="normal">+CE195+1</f>
        <v>179</v>
      </c>
      <c r="CF196" s="104" t="s">
        <v>283</v>
      </c>
      <c r="CG196" s="104" t="s">
        <v>288</v>
      </c>
      <c r="CH196" s="118" t="n">
        <f aca="false" ca="true" dt2D="false" dtr="false" t="normal">SUBTOTAL(9, CI196:CW196)</f>
        <v>1379849.7611506002</v>
      </c>
      <c r="CI196" s="106" t="n">
        <v>0</v>
      </c>
      <c r="CJ196" s="106" t="n">
        <v>0</v>
      </c>
      <c r="CK196" s="133" t="n">
        <v>0</v>
      </c>
      <c r="CL196" s="106" t="n">
        <v>1321350.85</v>
      </c>
      <c r="CM196" s="106" t="n"/>
      <c r="CN196" s="106" t="n"/>
      <c r="CO196" s="106" t="n"/>
      <c r="CP196" s="106" t="n">
        <v>0</v>
      </c>
      <c r="CQ196" s="106" t="n">
        <v>0</v>
      </c>
      <c r="CR196" s="106" t="n">
        <v>0</v>
      </c>
      <c r="CS196" s="106" t="n">
        <v>0</v>
      </c>
      <c r="CT196" s="106" t="n">
        <v>0</v>
      </c>
      <c r="CU196" s="106" t="n"/>
      <c r="CV196" s="114" t="n"/>
      <c r="CW196" s="115" t="n">
        <v>58498.9111506</v>
      </c>
      <c r="CZ196" s="104" t="s">
        <v>288</v>
      </c>
      <c r="DA196" s="119" t="n">
        <f aca="false" ca="true" dt2D="false" dtr="false" t="normal">SUBTOTAL(9, DB196:DP196)</f>
        <v>1321350.85</v>
      </c>
      <c r="DB196" s="106" t="n">
        <v>0</v>
      </c>
      <c r="DC196" s="106" t="n">
        <v>0</v>
      </c>
      <c r="DD196" s="133" t="n">
        <v>0</v>
      </c>
      <c r="DE196" s="106" t="n">
        <v>1321350.85</v>
      </c>
      <c r="DF196" s="106" t="n"/>
      <c r="DG196" s="106" t="n"/>
      <c r="DH196" s="106" t="n"/>
      <c r="DI196" s="106" t="n">
        <v>0</v>
      </c>
      <c r="DJ196" s="106" t="n">
        <v>0</v>
      </c>
      <c r="DK196" s="106" t="n">
        <v>0</v>
      </c>
      <c r="DL196" s="106" t="n">
        <v>0</v>
      </c>
      <c r="DM196" s="106" t="n">
        <v>0</v>
      </c>
      <c r="DN196" s="106" t="n"/>
      <c r="DO196" s="114" t="n"/>
      <c r="DP196" s="122" t="n"/>
      <c r="DQ196" s="3" t="n">
        <f aca="false" ca="false" dt2D="false" dtr="false" t="normal">N196-DA196</f>
        <v>0</v>
      </c>
      <c r="DS196" s="9" t="n"/>
    </row>
    <row hidden="false" ht="15" outlineLevel="0" r="197">
      <c r="A197" s="103" t="n">
        <f aca="false" ca="false" dt2D="false" dtr="false" t="normal">+A196+1</f>
        <v>180</v>
      </c>
      <c r="B197" s="104" t="n">
        <f aca="false" ca="false" dt2D="false" dtr="false" t="normal">+B196+1</f>
        <v>180</v>
      </c>
      <c r="C197" s="104" t="s">
        <v>283</v>
      </c>
      <c r="D197" s="104" t="s">
        <v>289</v>
      </c>
      <c r="E197" s="105" t="n">
        <v>1973</v>
      </c>
      <c r="F197" s="105" t="n">
        <v>2010</v>
      </c>
      <c r="G197" s="105" t="s">
        <v>68</v>
      </c>
      <c r="H197" s="105" t="n">
        <v>5</v>
      </c>
      <c r="I197" s="105" t="n">
        <v>4</v>
      </c>
      <c r="J197" s="106" t="n">
        <v>3449.3</v>
      </c>
      <c r="K197" s="106" t="n">
        <v>3117.4</v>
      </c>
      <c r="L197" s="106" t="n">
        <v>171.7</v>
      </c>
      <c r="M197" s="107" t="n">
        <v>147</v>
      </c>
      <c r="N197" s="108" t="n">
        <f aca="false" ca="false" dt2D="false" dtr="false" t="normal">SUM(P197:T197)</f>
        <v>3253286.449999998</v>
      </c>
      <c r="O197" s="106" t="n"/>
      <c r="P197" s="114" t="n">
        <v>731499.767935848</v>
      </c>
      <c r="Q197" s="114" t="n"/>
      <c r="R197" s="114" t="n">
        <v>299122.24749524</v>
      </c>
      <c r="S197" s="114" t="n">
        <v>2222664.43456891</v>
      </c>
      <c r="T197" s="106" t="n"/>
      <c r="U197" s="114" t="n">
        <v>1080.05493827954</v>
      </c>
      <c r="V197" s="114" t="n">
        <v>1080.05493827954</v>
      </c>
      <c r="W197" s="110" t="n">
        <v>2022</v>
      </c>
      <c r="X197" s="9" t="e">
        <f aca="false" ca="false" dt2D="false" dtr="false" t="normal">+#REF!-'[9]Приложение №1'!$P1308</f>
        <v>#REF!</v>
      </c>
      <c r="Z197" s="113" t="n">
        <f aca="false" ca="false" dt2D="false" dtr="false" t="normal">SUM(AA197:AO197)</f>
        <v>17920574.47053366</v>
      </c>
      <c r="AA197" s="106" t="n"/>
      <c r="AB197" s="106" t="n">
        <v>0</v>
      </c>
      <c r="AC197" s="106" t="n">
        <v>0</v>
      </c>
      <c r="AD197" s="106" t="n">
        <v>0</v>
      </c>
      <c r="AE197" s="106" t="n">
        <v>1035545.47294086</v>
      </c>
      <c r="AF197" s="106" t="n"/>
      <c r="AG197" s="106" t="n">
        <v>0</v>
      </c>
      <c r="AH197" s="106" t="n">
        <v>0</v>
      </c>
      <c r="AI197" s="106" t="n">
        <v>0</v>
      </c>
      <c r="AJ197" s="106" t="n">
        <v>0</v>
      </c>
      <c r="AK197" s="106" t="n">
        <v>6731411.69063874</v>
      </c>
      <c r="AL197" s="106" t="n">
        <v>6947141.17846602</v>
      </c>
      <c r="AM197" s="106" t="n">
        <v>2528780.7582</v>
      </c>
      <c r="AN197" s="114" t="n">
        <v>234660.1932</v>
      </c>
      <c r="AO197" s="115" t="n">
        <v>443035.17708804</v>
      </c>
      <c r="AP197" s="112" t="n">
        <f aca="false" ca="false" dt2D="false" dtr="false" t="normal">+N197-'Приложение №2'!E197</f>
        <v>0</v>
      </c>
      <c r="AQ197" s="1" t="n">
        <f aca="false" ca="false" dt2D="false" dtr="false" t="normal">1240910.11-689425.44-282620.64</f>
        <v>268864.03000000014</v>
      </c>
      <c r="AR197" s="3" t="n">
        <f aca="false" ca="false" dt2D="false" dtr="false" t="normal">+(K197*10+L197*20)*12*0.85</f>
        <v>353001.6</v>
      </c>
      <c r="AS197" s="3" t="n">
        <f aca="false" ca="false" dt2D="false" dtr="false" t="normal">+(K197*10+L197*20)*12*30-3027646.57-12468.88</f>
        <v>9418764.549999999</v>
      </c>
      <c r="AT197" s="9" t="n">
        <f aca="false" ca="false" dt2D="false" dtr="false" t="normal">+S197-AS197</f>
        <v>-7196100.115431089</v>
      </c>
      <c r="AW197" s="113" t="n">
        <f aca="false" ca="true" dt2D="false" dtr="false" t="normal">SUBTOTAL(9, AX197:BL197)</f>
        <v>3552408.6974952403</v>
      </c>
      <c r="AX197" s="106" t="n"/>
      <c r="AY197" s="106" t="n">
        <v>0</v>
      </c>
      <c r="AZ197" s="106" t="n">
        <v>0</v>
      </c>
      <c r="BA197" s="106" t="n">
        <v>0</v>
      </c>
      <c r="BB197" s="106" t="n"/>
      <c r="BC197" s="106" t="n"/>
      <c r="BD197" s="106" t="n"/>
      <c r="BE197" s="106" t="n">
        <v>0</v>
      </c>
      <c r="BF197" s="106" t="n">
        <v>0</v>
      </c>
      <c r="BG197" s="106" t="n">
        <v>0</v>
      </c>
      <c r="BH197" s="106" t="n"/>
      <c r="BI197" s="106" t="n">
        <v>3253286.45</v>
      </c>
      <c r="BJ197" s="106" t="n"/>
      <c r="BK197" s="114" t="n"/>
      <c r="BL197" s="115" t="n">
        <v>299122.24749524</v>
      </c>
      <c r="BM197" s="14" t="n">
        <f aca="false" ca="true" dt2D="false" dtr="false" t="normal">SUBTOTAL(9, BN197:CB197)</f>
        <v>3552408.6974952403</v>
      </c>
      <c r="BN197" s="106" t="n"/>
      <c r="BO197" s="106" t="n">
        <v>0</v>
      </c>
      <c r="BP197" s="133" t="n">
        <v>0</v>
      </c>
      <c r="BQ197" s="106" t="n">
        <v>0</v>
      </c>
      <c r="BR197" s="106" t="n"/>
      <c r="BS197" s="106" t="n"/>
      <c r="BT197" s="106" t="n"/>
      <c r="BU197" s="106" t="n">
        <v>0</v>
      </c>
      <c r="BV197" s="106" t="n">
        <v>0</v>
      </c>
      <c r="BW197" s="106" t="n">
        <v>0</v>
      </c>
      <c r="BX197" s="106" t="n"/>
      <c r="BY197" s="106" t="n">
        <v>3253286.45</v>
      </c>
      <c r="BZ197" s="106" t="n"/>
      <c r="CA197" s="114" t="n"/>
      <c r="CB197" s="115" t="n">
        <v>299122.24749524</v>
      </c>
      <c r="CD197" s="116" t="n">
        <f aca="false" ca="false" dt2D="false" dtr="false" t="normal">+CD196+1</f>
        <v>180</v>
      </c>
      <c r="CE197" s="117" t="n">
        <f aca="false" ca="false" dt2D="false" dtr="false" t="normal">+CE196+1</f>
        <v>180</v>
      </c>
      <c r="CF197" s="104" t="s">
        <v>283</v>
      </c>
      <c r="CG197" s="104" t="s">
        <v>289</v>
      </c>
      <c r="CH197" s="118" t="n">
        <f aca="false" ca="true" dt2D="false" dtr="false" t="normal">SUBTOTAL(9, CI197:CW197)</f>
        <v>3552408.6974952403</v>
      </c>
      <c r="CI197" s="106" t="n"/>
      <c r="CJ197" s="106" t="n">
        <v>0</v>
      </c>
      <c r="CK197" s="133" t="n">
        <v>0</v>
      </c>
      <c r="CL197" s="106" t="n">
        <v>0</v>
      </c>
      <c r="CM197" s="106" t="n"/>
      <c r="CN197" s="106" t="n"/>
      <c r="CO197" s="106" t="n"/>
      <c r="CP197" s="106" t="n">
        <v>0</v>
      </c>
      <c r="CQ197" s="106" t="n">
        <v>0</v>
      </c>
      <c r="CR197" s="106" t="n">
        <v>0</v>
      </c>
      <c r="CS197" s="106" t="n"/>
      <c r="CT197" s="106" t="n">
        <v>3253286.45</v>
      </c>
      <c r="CU197" s="106" t="n"/>
      <c r="CV197" s="114" t="n"/>
      <c r="CW197" s="115" t="n">
        <v>299122.24749524</v>
      </c>
      <c r="CZ197" s="104" t="s">
        <v>289</v>
      </c>
      <c r="DA197" s="119" t="n">
        <f aca="false" ca="true" dt2D="false" dtr="false" t="normal">SUBTOTAL(9, DB197:DP197)</f>
        <v>3253286.45</v>
      </c>
      <c r="DB197" s="106" t="n"/>
      <c r="DC197" s="106" t="n">
        <v>0</v>
      </c>
      <c r="DD197" s="133" t="n">
        <v>0</v>
      </c>
      <c r="DE197" s="106" t="n">
        <v>0</v>
      </c>
      <c r="DF197" s="106" t="n"/>
      <c r="DG197" s="106" t="n"/>
      <c r="DH197" s="106" t="n"/>
      <c r="DI197" s="106" t="n">
        <v>0</v>
      </c>
      <c r="DJ197" s="106" t="n">
        <v>0</v>
      </c>
      <c r="DK197" s="106" t="n">
        <v>0</v>
      </c>
      <c r="DL197" s="106" t="n"/>
      <c r="DM197" s="106" t="n">
        <v>3253286.45</v>
      </c>
      <c r="DN197" s="106" t="n"/>
      <c r="DO197" s="114" t="n"/>
      <c r="DP197" s="122" t="n"/>
      <c r="DQ197" s="3" t="n">
        <f aca="false" ca="false" dt2D="false" dtr="false" t="normal">N197-DA197</f>
        <v>0</v>
      </c>
      <c r="DS197" s="9" t="n"/>
    </row>
    <row hidden="false" ht="15" outlineLevel="0" r="198">
      <c r="A198" s="103" t="n">
        <f aca="false" ca="false" dt2D="false" dtr="false" t="normal">+A197+1</f>
        <v>181</v>
      </c>
      <c r="B198" s="104" t="n">
        <f aca="false" ca="false" dt2D="false" dtr="false" t="normal">+B197+1</f>
        <v>181</v>
      </c>
      <c r="C198" s="104" t="s">
        <v>283</v>
      </c>
      <c r="D198" s="104" t="s">
        <v>290</v>
      </c>
      <c r="E198" s="105" t="n">
        <v>1985</v>
      </c>
      <c r="F198" s="105" t="n">
        <v>2011</v>
      </c>
      <c r="G198" s="105" t="s">
        <v>68</v>
      </c>
      <c r="H198" s="105" t="n">
        <v>5</v>
      </c>
      <c r="I198" s="105" t="n">
        <v>2</v>
      </c>
      <c r="J198" s="106" t="n">
        <v>1696.6</v>
      </c>
      <c r="K198" s="106" t="n">
        <v>1532.2</v>
      </c>
      <c r="L198" s="106" t="n">
        <v>54.4</v>
      </c>
      <c r="M198" s="107" t="n">
        <v>58</v>
      </c>
      <c r="N198" s="108" t="n">
        <f aca="false" ca="false" dt2D="false" dtr="false" t="normal">SUM(P198:T198)</f>
        <v>1159407.5899999999</v>
      </c>
      <c r="O198" s="106" t="n"/>
      <c r="P198" s="114" t="n">
        <v>0</v>
      </c>
      <c r="Q198" s="114" t="n"/>
      <c r="R198" s="114" t="n">
        <v>827589.23</v>
      </c>
      <c r="S198" s="114" t="n">
        <v>331818.36</v>
      </c>
      <c r="T198" s="106" t="n"/>
      <c r="U198" s="114" t="n">
        <v>743.079848424757</v>
      </c>
      <c r="V198" s="114" t="n">
        <v>743.079848424757</v>
      </c>
      <c r="W198" s="110" t="n">
        <v>2022</v>
      </c>
      <c r="X198" s="9" t="e">
        <f aca="false" ca="false" dt2D="false" dtr="false" t="normal">+#REF!-'[9]Приложение №1'!$P903</f>
        <v>#REF!</v>
      </c>
      <c r="Z198" s="113" t="n">
        <f aca="false" ca="false" dt2D="false" dtr="false" t="normal">SUM(AA198:AO198)</f>
        <v>6417929.189337999</v>
      </c>
      <c r="AA198" s="106" t="n">
        <v>2736613.71043242</v>
      </c>
      <c r="AB198" s="106" t="n">
        <v>0</v>
      </c>
      <c r="AC198" s="106" t="n">
        <v>1280803.37886942</v>
      </c>
      <c r="AD198" s="106" t="n">
        <v>849765.59</v>
      </c>
      <c r="AE198" s="106" t="n">
        <v>511029.86662728</v>
      </c>
      <c r="AF198" s="106" t="n"/>
      <c r="AG198" s="106" t="n">
        <v>140523.24640872</v>
      </c>
      <c r="AH198" s="106" t="n">
        <v>0</v>
      </c>
      <c r="AI198" s="106" t="n">
        <v>0</v>
      </c>
      <c r="AJ198" s="106" t="n">
        <v>0</v>
      </c>
      <c r="AK198" s="106" t="n">
        <v>0</v>
      </c>
      <c r="AL198" s="106" t="n">
        <v>0</v>
      </c>
      <c r="AM198" s="106" t="n">
        <v>731735.25</v>
      </c>
      <c r="AN198" s="114" t="n">
        <v>56969.5156</v>
      </c>
      <c r="AO198" s="115" t="n">
        <v>110488.63140016</v>
      </c>
      <c r="AP198" s="112" t="n">
        <f aca="false" ca="false" dt2D="false" dtr="false" t="normal">+N198-'Приложение №2'!E198</f>
        <v>0</v>
      </c>
      <c r="AQ198" s="1" t="n">
        <v>660207.23</v>
      </c>
      <c r="AR198" s="3" t="n">
        <f aca="false" ca="false" dt2D="false" dtr="false" t="normal">+(K198*10+L198*20)*12*0.85</f>
        <v>167382</v>
      </c>
      <c r="AS198" s="3" t="n">
        <f aca="false" ca="false" dt2D="false" dtr="false" t="normal">+(K198*10+L198*20)*12*30</f>
        <v>5907600</v>
      </c>
      <c r="AT198" s="9" t="n">
        <f aca="false" ca="false" dt2D="false" dtr="false" t="normal">+S198-AS198</f>
        <v>-5575781.64</v>
      </c>
      <c r="AW198" s="113" t="n">
        <f aca="false" ca="true" dt2D="false" dtr="false" t="normal">SUBTOTAL(9, AX198:BL198)</f>
        <v>1178970.48751072</v>
      </c>
      <c r="AX198" s="106" t="n"/>
      <c r="AY198" s="106" t="n"/>
      <c r="AZ198" s="106" t="n">
        <v>667653.5</v>
      </c>
      <c r="BA198" s="106" t="n">
        <v>491754.09</v>
      </c>
      <c r="BB198" s="106" t="n"/>
      <c r="BC198" s="106" t="n"/>
      <c r="BD198" s="106" t="n"/>
      <c r="BE198" s="106" t="n">
        <v>0</v>
      </c>
      <c r="BF198" s="106" t="n">
        <v>0</v>
      </c>
      <c r="BG198" s="106" t="n">
        <v>0</v>
      </c>
      <c r="BH198" s="106" t="n">
        <v>0</v>
      </c>
      <c r="BI198" s="106" t="n">
        <v>0</v>
      </c>
      <c r="BJ198" s="106" t="n"/>
      <c r="BK198" s="114" t="n"/>
      <c r="BL198" s="115" t="n">
        <v>19562.89751072</v>
      </c>
      <c r="BM198" s="14" t="n">
        <f aca="false" ca="true" dt2D="false" dtr="false" t="normal">SUBTOTAL(9, BN198:CB198)</f>
        <v>1178970.48751072</v>
      </c>
      <c r="BN198" s="106" t="n"/>
      <c r="BO198" s="106" t="n"/>
      <c r="BP198" s="133" t="n">
        <v>667653.5</v>
      </c>
      <c r="BQ198" s="106" t="n">
        <v>491754.09</v>
      </c>
      <c r="BR198" s="106" t="n"/>
      <c r="BS198" s="106" t="n"/>
      <c r="BT198" s="106" t="n"/>
      <c r="BU198" s="106" t="n">
        <v>0</v>
      </c>
      <c r="BV198" s="106" t="n">
        <v>0</v>
      </c>
      <c r="BW198" s="106" t="n">
        <v>0</v>
      </c>
      <c r="BX198" s="106" t="n">
        <v>0</v>
      </c>
      <c r="BY198" s="106" t="n">
        <v>0</v>
      </c>
      <c r="BZ198" s="106" t="n"/>
      <c r="CA198" s="114" t="n"/>
      <c r="CB198" s="115" t="n">
        <v>19562.89751072</v>
      </c>
      <c r="CD198" s="116" t="n">
        <f aca="false" ca="false" dt2D="false" dtr="false" t="normal">+CD197+1</f>
        <v>181</v>
      </c>
      <c r="CE198" s="117" t="n">
        <f aca="false" ca="false" dt2D="false" dtr="false" t="normal">+CE197+1</f>
        <v>181</v>
      </c>
      <c r="CF198" s="104" t="s">
        <v>283</v>
      </c>
      <c r="CG198" s="104" t="s">
        <v>290</v>
      </c>
      <c r="CH198" s="118" t="n">
        <f aca="false" ca="true" dt2D="false" dtr="false" t="normal">SUBTOTAL(9, CI198:CW198)</f>
        <v>1178970.48751072</v>
      </c>
      <c r="CI198" s="106" t="n"/>
      <c r="CJ198" s="106" t="n"/>
      <c r="CK198" s="133" t="n">
        <v>667653.5</v>
      </c>
      <c r="CL198" s="106" t="n">
        <v>491754.09</v>
      </c>
      <c r="CM198" s="106" t="n"/>
      <c r="CN198" s="106" t="n"/>
      <c r="CO198" s="106" t="n"/>
      <c r="CP198" s="106" t="n">
        <v>0</v>
      </c>
      <c r="CQ198" s="106" t="n">
        <v>0</v>
      </c>
      <c r="CR198" s="106" t="n">
        <v>0</v>
      </c>
      <c r="CS198" s="106" t="n">
        <v>0</v>
      </c>
      <c r="CT198" s="106" t="n">
        <v>0</v>
      </c>
      <c r="CU198" s="106" t="n"/>
      <c r="CV198" s="114" t="n"/>
      <c r="CW198" s="115" t="n">
        <v>19562.89751072</v>
      </c>
      <c r="CZ198" s="104" t="s">
        <v>290</v>
      </c>
      <c r="DA198" s="119" t="n">
        <f aca="false" ca="true" dt2D="false" dtr="false" t="normal">SUBTOTAL(9, DB198:DP198)</f>
        <v>1159407.59</v>
      </c>
      <c r="DB198" s="106" t="n"/>
      <c r="DC198" s="106" t="n"/>
      <c r="DD198" s="133" t="n">
        <v>667653.5</v>
      </c>
      <c r="DE198" s="106" t="n">
        <v>491754.09</v>
      </c>
      <c r="DF198" s="106" t="n"/>
      <c r="DG198" s="106" t="n"/>
      <c r="DH198" s="106" t="n"/>
      <c r="DI198" s="106" t="n">
        <v>0</v>
      </c>
      <c r="DJ198" s="106" t="n">
        <v>0</v>
      </c>
      <c r="DK198" s="106" t="n">
        <v>0</v>
      </c>
      <c r="DL198" s="106" t="n">
        <v>0</v>
      </c>
      <c r="DM198" s="106" t="n">
        <v>0</v>
      </c>
      <c r="DN198" s="106" t="n"/>
      <c r="DO198" s="114" t="n"/>
      <c r="DP198" s="122" t="n"/>
      <c r="DQ198" s="3" t="n">
        <f aca="false" ca="false" dt2D="false" dtr="false" t="normal">N198-DA198</f>
        <v>0</v>
      </c>
      <c r="DS198" s="9" t="n"/>
    </row>
    <row hidden="false" ht="15" outlineLevel="0" r="199">
      <c r="A199" s="103" t="n">
        <f aca="false" ca="false" dt2D="false" dtr="false" t="normal">+A198+1</f>
        <v>182</v>
      </c>
      <c r="B199" s="104" t="n">
        <f aca="false" ca="false" dt2D="false" dtr="false" t="normal">+B198+1</f>
        <v>182</v>
      </c>
      <c r="C199" s="104" t="s">
        <v>283</v>
      </c>
      <c r="D199" s="104" t="s">
        <v>291</v>
      </c>
      <c r="E199" s="105" t="n">
        <v>1983</v>
      </c>
      <c r="F199" s="105" t="n">
        <v>2012</v>
      </c>
      <c r="G199" s="105" t="s">
        <v>68</v>
      </c>
      <c r="H199" s="105" t="n">
        <v>4</v>
      </c>
      <c r="I199" s="105" t="n">
        <v>6</v>
      </c>
      <c r="J199" s="106" t="n">
        <v>5867</v>
      </c>
      <c r="K199" s="106" t="n">
        <v>4942.2</v>
      </c>
      <c r="L199" s="106" t="n">
        <v>35.2</v>
      </c>
      <c r="M199" s="107" t="n">
        <v>212</v>
      </c>
      <c r="N199" s="108" t="n">
        <f aca="false" ca="false" dt2D="false" dtr="false" t="normal">SUM(P199:T199)</f>
        <v>1990765.32</v>
      </c>
      <c r="O199" s="106" t="n"/>
      <c r="P199" s="114" t="n"/>
      <c r="Q199" s="114" t="n"/>
      <c r="R199" s="114" t="n">
        <v>1940839.38</v>
      </c>
      <c r="S199" s="114" t="n">
        <v>49925.9400000002</v>
      </c>
      <c r="T199" s="106" t="n"/>
      <c r="U199" s="114" t="n">
        <v>411.764280815124</v>
      </c>
      <c r="V199" s="114" t="n">
        <v>411.764280815124</v>
      </c>
      <c r="W199" s="110" t="n">
        <v>2022</v>
      </c>
      <c r="X199" s="9" t="e">
        <f aca="false" ca="false" dt2D="false" dtr="false" t="normal">+#REF!-'[9]Приложение №1'!$P1738</f>
        <v>#REF!</v>
      </c>
      <c r="Z199" s="113" t="n">
        <f aca="false" ca="false" dt2D="false" dtr="false" t="normal">SUM(AA199:AO199)</f>
        <v>10424876.889999999</v>
      </c>
      <c r="AA199" s="106" t="n">
        <v>0</v>
      </c>
      <c r="AB199" s="106" t="n">
        <v>0</v>
      </c>
      <c r="AC199" s="106" t="n">
        <v>4158927.1529169</v>
      </c>
      <c r="AD199" s="106" t="n">
        <v>2686586.7666708</v>
      </c>
      <c r="AE199" s="106" t="n">
        <v>1659377.25092916</v>
      </c>
      <c r="AF199" s="106" t="n"/>
      <c r="AG199" s="106" t="n">
        <v>0</v>
      </c>
      <c r="AH199" s="106" t="n">
        <v>0</v>
      </c>
      <c r="AI199" s="106" t="n">
        <v>0</v>
      </c>
      <c r="AJ199" s="106" t="n">
        <v>0</v>
      </c>
      <c r="AK199" s="106" t="n">
        <v>0</v>
      </c>
      <c r="AL199" s="106" t="n">
        <v>0</v>
      </c>
      <c r="AM199" s="106" t="n">
        <v>1629752.206</v>
      </c>
      <c r="AN199" s="114" t="n">
        <v>104248.7689</v>
      </c>
      <c r="AO199" s="115" t="n">
        <v>185984.74458314</v>
      </c>
      <c r="AP199" s="112" t="n">
        <f aca="false" ca="false" dt2D="false" dtr="false" t="normal">+N199-'Приложение №2'!E199</f>
        <v>0</v>
      </c>
      <c r="AQ199" s="1" t="n">
        <f aca="false" ca="false" dt2D="false" dtr="false" t="normal">2070107.33-640553.15</f>
        <v>1429554.1800000002</v>
      </c>
      <c r="AR199" s="3" t="n">
        <f aca="false" ca="false" dt2D="false" dtr="false" t="normal">+(K199*10+L199*20)*12*0.85</f>
        <v>511285.2</v>
      </c>
      <c r="AS199" s="3" t="n">
        <f aca="false" ca="false" dt2D="false" dtr="false" t="normal">+(K199*10+L199*20)*12*30-929957.98</f>
        <v>17115402.02</v>
      </c>
      <c r="AT199" s="9" t="n">
        <f aca="false" ca="false" dt2D="false" dtr="false" t="normal">+S199-AS199</f>
        <v>-17065476.08</v>
      </c>
      <c r="AW199" s="113" t="n">
        <f aca="false" ca="true" dt2D="false" dtr="false" t="normal">SUBTOTAL(9, AX199:BL199)</f>
        <v>2049515.5313292001</v>
      </c>
      <c r="AX199" s="106" t="n">
        <v>0</v>
      </c>
      <c r="AY199" s="106" t="n">
        <v>0</v>
      </c>
      <c r="AZ199" s="106" t="n"/>
      <c r="BA199" s="106" t="n">
        <v>1990765.32</v>
      </c>
      <c r="BB199" s="106" t="n"/>
      <c r="BC199" s="106" t="n"/>
      <c r="BD199" s="106" t="n"/>
      <c r="BE199" s="106" t="n">
        <v>0</v>
      </c>
      <c r="BF199" s="106" t="n">
        <v>0</v>
      </c>
      <c r="BG199" s="106" t="n">
        <v>0</v>
      </c>
      <c r="BH199" s="106" t="n">
        <v>0</v>
      </c>
      <c r="BI199" s="106" t="n">
        <v>0</v>
      </c>
      <c r="BJ199" s="106" t="n"/>
      <c r="BK199" s="114" t="n"/>
      <c r="BL199" s="115" t="n">
        <v>58750.2113292</v>
      </c>
      <c r="BM199" s="14" t="n">
        <f aca="false" ca="true" dt2D="false" dtr="false" t="normal">SUBTOTAL(9, BN199:CB199)</f>
        <v>2049515.5313292001</v>
      </c>
      <c r="BN199" s="106" t="n">
        <v>0</v>
      </c>
      <c r="BO199" s="106" t="n">
        <v>0</v>
      </c>
      <c r="BP199" s="133" t="n"/>
      <c r="BQ199" s="106" t="n">
        <v>1990765.32</v>
      </c>
      <c r="BR199" s="106" t="n"/>
      <c r="BS199" s="106" t="n"/>
      <c r="BT199" s="106" t="n"/>
      <c r="BU199" s="106" t="n">
        <v>0</v>
      </c>
      <c r="BV199" s="106" t="n">
        <v>0</v>
      </c>
      <c r="BW199" s="106" t="n">
        <v>0</v>
      </c>
      <c r="BX199" s="106" t="n">
        <v>0</v>
      </c>
      <c r="BY199" s="106" t="n">
        <v>0</v>
      </c>
      <c r="BZ199" s="106" t="n"/>
      <c r="CA199" s="114" t="n"/>
      <c r="CB199" s="115" t="n">
        <v>58750.2113292</v>
      </c>
      <c r="CD199" s="116" t="n">
        <f aca="false" ca="false" dt2D="false" dtr="false" t="normal">+CD198+1</f>
        <v>182</v>
      </c>
      <c r="CE199" s="117" t="n">
        <f aca="false" ca="false" dt2D="false" dtr="false" t="normal">+CE198+1</f>
        <v>182</v>
      </c>
      <c r="CF199" s="104" t="s">
        <v>283</v>
      </c>
      <c r="CG199" s="104" t="s">
        <v>291</v>
      </c>
      <c r="CH199" s="118" t="n">
        <f aca="false" ca="true" dt2D="false" dtr="false" t="normal">SUBTOTAL(9, CI199:CW199)</f>
        <v>2049515.5313292001</v>
      </c>
      <c r="CI199" s="106" t="n">
        <v>0</v>
      </c>
      <c r="CJ199" s="106" t="n">
        <v>0</v>
      </c>
      <c r="CK199" s="133" t="n"/>
      <c r="CL199" s="106" t="n">
        <v>1990765.32</v>
      </c>
      <c r="CM199" s="106" t="n"/>
      <c r="CN199" s="106" t="n"/>
      <c r="CO199" s="106" t="n"/>
      <c r="CP199" s="106" t="n">
        <v>0</v>
      </c>
      <c r="CQ199" s="106" t="n">
        <v>0</v>
      </c>
      <c r="CR199" s="106" t="n">
        <v>0</v>
      </c>
      <c r="CS199" s="106" t="n">
        <v>0</v>
      </c>
      <c r="CT199" s="106" t="n">
        <v>0</v>
      </c>
      <c r="CU199" s="106" t="n"/>
      <c r="CV199" s="114" t="n"/>
      <c r="CW199" s="115" t="n">
        <v>58750.2113292</v>
      </c>
      <c r="CZ199" s="104" t="s">
        <v>291</v>
      </c>
      <c r="DA199" s="119" t="n">
        <f aca="false" ca="true" dt2D="false" dtr="false" t="normal">SUBTOTAL(9, DB199:DP199)</f>
        <v>1990765.32</v>
      </c>
      <c r="DB199" s="106" t="n">
        <v>0</v>
      </c>
      <c r="DC199" s="106" t="n">
        <v>0</v>
      </c>
      <c r="DD199" s="133" t="n"/>
      <c r="DE199" s="106" t="n">
        <v>1990765.32</v>
      </c>
      <c r="DF199" s="106" t="n"/>
      <c r="DG199" s="106" t="n"/>
      <c r="DH199" s="106" t="n"/>
      <c r="DI199" s="106" t="n">
        <v>0</v>
      </c>
      <c r="DJ199" s="106" t="n">
        <v>0</v>
      </c>
      <c r="DK199" s="106" t="n">
        <v>0</v>
      </c>
      <c r="DL199" s="106" t="n">
        <v>0</v>
      </c>
      <c r="DM199" s="106" t="n">
        <v>0</v>
      </c>
      <c r="DN199" s="106" t="n"/>
      <c r="DO199" s="114" t="n"/>
      <c r="DP199" s="122" t="n"/>
      <c r="DQ199" s="3" t="n">
        <f aca="false" ca="false" dt2D="false" dtr="false" t="normal">N199-DA199</f>
        <v>0</v>
      </c>
      <c r="DS199" s="9" t="n"/>
    </row>
    <row hidden="false" ht="15" outlineLevel="0" r="200">
      <c r="A200" s="103" t="n">
        <f aca="false" ca="false" dt2D="false" dtr="false" t="normal">+A199+1</f>
        <v>183</v>
      </c>
      <c r="B200" s="104" t="n">
        <f aca="false" ca="false" dt2D="false" dtr="false" t="normal">+B199+1</f>
        <v>183</v>
      </c>
      <c r="C200" s="104" t="s">
        <v>283</v>
      </c>
      <c r="D200" s="104" t="s">
        <v>292</v>
      </c>
      <c r="E200" s="105" t="n">
        <v>1969</v>
      </c>
      <c r="F200" s="105" t="n">
        <v>2009</v>
      </c>
      <c r="G200" s="105" t="s">
        <v>68</v>
      </c>
      <c r="H200" s="105" t="n">
        <v>4</v>
      </c>
      <c r="I200" s="105" t="n">
        <v>4</v>
      </c>
      <c r="J200" s="106" t="n">
        <v>2719.1</v>
      </c>
      <c r="K200" s="106" t="n">
        <v>2454</v>
      </c>
      <c r="L200" s="106" t="n">
        <v>66.5</v>
      </c>
      <c r="M200" s="107" t="n">
        <v>120</v>
      </c>
      <c r="N200" s="108" t="n">
        <f aca="false" ca="false" dt2D="false" dtr="false" t="normal">SUM(P200:T200)</f>
        <v>6113601.88</v>
      </c>
      <c r="O200" s="106" t="n"/>
      <c r="P200" s="114" t="n"/>
      <c r="Q200" s="114" t="n"/>
      <c r="R200" s="114" t="n">
        <v>1163543.43</v>
      </c>
      <c r="S200" s="114" t="n">
        <v>4950058.45</v>
      </c>
      <c r="T200" s="106" t="n"/>
      <c r="U200" s="114" t="n">
        <v>2486.00198823408</v>
      </c>
      <c r="V200" s="114" t="n">
        <v>2486.00198823408</v>
      </c>
      <c r="W200" s="110" t="n">
        <v>2022</v>
      </c>
      <c r="X200" s="9" t="e">
        <f aca="false" ca="false" dt2D="false" dtr="false" t="normal">+#REF!-'[9]Приложение №1'!$P1739</f>
        <v>#REF!</v>
      </c>
      <c r="Z200" s="113" t="n">
        <f aca="false" ca="false" dt2D="false" dtr="false" t="normal">SUM(AA200:AO200)</f>
        <v>14067048.463402</v>
      </c>
      <c r="AA200" s="106" t="n">
        <v>0</v>
      </c>
      <c r="AB200" s="106" t="n">
        <v>0</v>
      </c>
      <c r="AC200" s="106" t="n">
        <v>0</v>
      </c>
      <c r="AD200" s="106" t="n">
        <v>0</v>
      </c>
      <c r="AE200" s="106" t="n">
        <v>850099.92968124</v>
      </c>
      <c r="AF200" s="106" t="n"/>
      <c r="AG200" s="106" t="n">
        <v>0</v>
      </c>
      <c r="AH200" s="106" t="n">
        <v>0</v>
      </c>
      <c r="AI200" s="106" t="n">
        <v>0</v>
      </c>
      <c r="AJ200" s="106" t="n">
        <v>0</v>
      </c>
      <c r="AK200" s="106" t="n">
        <v>6122487.81</v>
      </c>
      <c r="AL200" s="106" t="n">
        <v>6280344.04</v>
      </c>
      <c r="AM200" s="106" t="n">
        <v>592071.178</v>
      </c>
      <c r="AN200" s="114" t="n">
        <v>53956.3586</v>
      </c>
      <c r="AO200" s="115" t="n">
        <v>168089.14712076</v>
      </c>
      <c r="AP200" s="112" t="n">
        <f aca="false" ca="false" dt2D="false" dtr="false" t="normal">+N200-'Приложение №2'!E200</f>
        <v>0</v>
      </c>
      <c r="AQ200" s="1" t="n">
        <v>882910.83</v>
      </c>
      <c r="AR200" s="3" t="n">
        <f aca="false" ca="false" dt2D="false" dtr="false" t="normal">+(K200*10+L200*20)*12*0.85</f>
        <v>263874</v>
      </c>
      <c r="AS200" s="3" t="n">
        <f aca="false" ca="false" dt2D="false" dtr="false" t="normal">+(K200*10+L200*20)*12*30</f>
        <v>9313200</v>
      </c>
      <c r="AT200" s="9" t="n">
        <f aca="false" ca="false" dt2D="false" dtr="false" t="normal">+S200-AS200</f>
        <v>-4363141.55</v>
      </c>
      <c r="AW200" s="113" t="n">
        <f aca="false" ca="true" dt2D="false" dtr="false" t="normal">SUBTOTAL(9, AX200:BL200)</f>
        <v>6265968.011344</v>
      </c>
      <c r="AX200" s="106" t="n">
        <v>0</v>
      </c>
      <c r="AY200" s="106" t="n">
        <v>0</v>
      </c>
      <c r="AZ200" s="106" t="n">
        <v>0</v>
      </c>
      <c r="BA200" s="106" t="n">
        <v>0</v>
      </c>
      <c r="BB200" s="106" t="n"/>
      <c r="BC200" s="106" t="n"/>
      <c r="BD200" s="106" t="n"/>
      <c r="BE200" s="106" t="n">
        <v>0</v>
      </c>
      <c r="BF200" s="106" t="n">
        <v>0</v>
      </c>
      <c r="BG200" s="106" t="n">
        <v>0</v>
      </c>
      <c r="BH200" s="106" t="n">
        <v>6113601.88</v>
      </c>
      <c r="BI200" s="106" t="n"/>
      <c r="BJ200" s="106" t="n"/>
      <c r="BK200" s="114" t="n"/>
      <c r="BL200" s="115" t="n">
        <v>152366.131344</v>
      </c>
      <c r="BM200" s="14" t="n">
        <f aca="false" ca="true" dt2D="false" dtr="false" t="normal">SUBTOTAL(9, BN200:CB200)</f>
        <v>6265968.011344</v>
      </c>
      <c r="BN200" s="106" t="n">
        <v>0</v>
      </c>
      <c r="BO200" s="106" t="n">
        <v>0</v>
      </c>
      <c r="BP200" s="133" t="n">
        <v>0</v>
      </c>
      <c r="BQ200" s="106" t="n">
        <v>0</v>
      </c>
      <c r="BR200" s="106" t="n"/>
      <c r="BS200" s="106" t="n"/>
      <c r="BT200" s="106" t="n"/>
      <c r="BU200" s="106" t="n">
        <v>0</v>
      </c>
      <c r="BV200" s="106" t="n">
        <v>0</v>
      </c>
      <c r="BW200" s="106" t="n">
        <v>0</v>
      </c>
      <c r="BX200" s="106" t="n">
        <v>6113601.88</v>
      </c>
      <c r="BY200" s="106" t="n"/>
      <c r="BZ200" s="106" t="n"/>
      <c r="CA200" s="114" t="n"/>
      <c r="CB200" s="115" t="n">
        <v>152366.131344</v>
      </c>
      <c r="CD200" s="116" t="n">
        <f aca="false" ca="false" dt2D="false" dtr="false" t="normal">+CD199+1</f>
        <v>183</v>
      </c>
      <c r="CE200" s="117" t="n">
        <f aca="false" ca="false" dt2D="false" dtr="false" t="normal">+CE199+1</f>
        <v>183</v>
      </c>
      <c r="CF200" s="104" t="s">
        <v>283</v>
      </c>
      <c r="CG200" s="104" t="s">
        <v>292</v>
      </c>
      <c r="CH200" s="118" t="n">
        <f aca="false" ca="true" dt2D="false" dtr="false" t="normal">SUBTOTAL(9, CI200:CW200)</f>
        <v>6265968.011344</v>
      </c>
      <c r="CI200" s="106" t="n">
        <v>0</v>
      </c>
      <c r="CJ200" s="106" t="n">
        <v>0</v>
      </c>
      <c r="CK200" s="133" t="n">
        <v>0</v>
      </c>
      <c r="CL200" s="106" t="n">
        <v>0</v>
      </c>
      <c r="CM200" s="106" t="n"/>
      <c r="CN200" s="106" t="n"/>
      <c r="CO200" s="106" t="n"/>
      <c r="CP200" s="106" t="n">
        <v>0</v>
      </c>
      <c r="CQ200" s="106" t="n">
        <v>0</v>
      </c>
      <c r="CR200" s="106" t="n">
        <v>0</v>
      </c>
      <c r="CS200" s="106" t="n">
        <v>6113601.88</v>
      </c>
      <c r="CT200" s="106" t="n"/>
      <c r="CU200" s="106" t="n"/>
      <c r="CV200" s="114" t="n"/>
      <c r="CW200" s="115" t="n">
        <v>152366.131344</v>
      </c>
      <c r="CZ200" s="104" t="s">
        <v>292</v>
      </c>
      <c r="DA200" s="119" t="n">
        <f aca="false" ca="true" dt2D="false" dtr="false" t="normal">SUBTOTAL(9, DB200:DP200)</f>
        <v>6113601.88</v>
      </c>
      <c r="DB200" s="106" t="n">
        <v>0</v>
      </c>
      <c r="DC200" s="106" t="n">
        <v>0</v>
      </c>
      <c r="DD200" s="133" t="n">
        <v>0</v>
      </c>
      <c r="DE200" s="106" t="n">
        <v>0</v>
      </c>
      <c r="DF200" s="106" t="n"/>
      <c r="DG200" s="106" t="n"/>
      <c r="DH200" s="106" t="n"/>
      <c r="DI200" s="106" t="n">
        <v>0</v>
      </c>
      <c r="DJ200" s="106" t="n">
        <v>0</v>
      </c>
      <c r="DK200" s="106" t="n">
        <v>0</v>
      </c>
      <c r="DL200" s="106" t="n">
        <v>6113601.88</v>
      </c>
      <c r="DM200" s="106" t="n"/>
      <c r="DN200" s="106" t="n"/>
      <c r="DO200" s="114" t="n"/>
      <c r="DP200" s="122" t="n"/>
      <c r="DQ200" s="3" t="n">
        <f aca="false" ca="false" dt2D="false" dtr="false" t="normal">N200-DA200</f>
        <v>0</v>
      </c>
      <c r="DS200" s="9" t="n"/>
    </row>
    <row hidden="false" ht="15" outlineLevel="0" r="201">
      <c r="A201" s="103" t="n">
        <f aca="false" ca="false" dt2D="false" dtr="false" t="normal">+A200+1</f>
        <v>184</v>
      </c>
      <c r="B201" s="104" t="n">
        <f aca="false" ca="false" dt2D="false" dtr="false" t="normal">+B200+1</f>
        <v>184</v>
      </c>
      <c r="C201" s="104" t="s">
        <v>283</v>
      </c>
      <c r="D201" s="104" t="s">
        <v>293</v>
      </c>
      <c r="E201" s="105" t="n">
        <v>1967</v>
      </c>
      <c r="F201" s="105" t="n">
        <v>2008</v>
      </c>
      <c r="G201" s="105" t="s">
        <v>68</v>
      </c>
      <c r="H201" s="105" t="n">
        <v>4</v>
      </c>
      <c r="I201" s="105" t="n">
        <v>4</v>
      </c>
      <c r="J201" s="106" t="n">
        <v>2789.5</v>
      </c>
      <c r="K201" s="106" t="n">
        <v>2436</v>
      </c>
      <c r="L201" s="106" t="n">
        <v>98.5</v>
      </c>
      <c r="M201" s="107" t="n">
        <v>116</v>
      </c>
      <c r="N201" s="108" t="n">
        <f aca="false" ca="false" dt2D="false" dtr="false" t="normal">SUM(P201:T201)</f>
        <v>18044694.39</v>
      </c>
      <c r="O201" s="106" t="n"/>
      <c r="P201" s="114" t="n">
        <v>546289.42</v>
      </c>
      <c r="Q201" s="114" t="n"/>
      <c r="R201" s="114" t="n">
        <v>1107518.53</v>
      </c>
      <c r="S201" s="114" t="n">
        <v>9478800</v>
      </c>
      <c r="T201" s="106" t="n">
        <v>6912086.44</v>
      </c>
      <c r="U201" s="114" t="n">
        <v>7203.44766700493</v>
      </c>
      <c r="V201" s="114" t="n">
        <v>7203.44766700493</v>
      </c>
      <c r="W201" s="110" t="n">
        <v>2022</v>
      </c>
      <c r="X201" s="9" t="e">
        <f aca="false" ca="false" dt2D="false" dtr="false" t="normal">+#REF!-'[9]Приложение №1'!$P1301</f>
        <v>#REF!</v>
      </c>
      <c r="Z201" s="113" t="n">
        <f aca="false" ca="false" dt2D="false" dtr="false" t="normal">SUM(AA201:AO201)</f>
        <v>19003273.532024</v>
      </c>
      <c r="AA201" s="106" t="n">
        <v>4925306.53</v>
      </c>
      <c r="AB201" s="106" t="n">
        <v>0</v>
      </c>
      <c r="AC201" s="106" t="n">
        <v>0</v>
      </c>
      <c r="AD201" s="106" t="n">
        <v>0</v>
      </c>
      <c r="AE201" s="106" t="n">
        <v>844685.70089904</v>
      </c>
      <c r="AF201" s="106" t="n"/>
      <c r="AG201" s="106" t="n">
        <v>0</v>
      </c>
      <c r="AH201" s="106" t="n">
        <v>0</v>
      </c>
      <c r="AI201" s="106" t="n">
        <v>0</v>
      </c>
      <c r="AJ201" s="106" t="n">
        <v>0</v>
      </c>
      <c r="AK201" s="106" t="n">
        <v>6067163.07</v>
      </c>
      <c r="AL201" s="106" t="n">
        <v>6238206.81</v>
      </c>
      <c r="AM201" s="106" t="n">
        <v>642911.348</v>
      </c>
      <c r="AN201" s="114" t="n">
        <v>54084.7856</v>
      </c>
      <c r="AO201" s="115" t="n">
        <v>230915.28752496</v>
      </c>
      <c r="AP201" s="112" t="n">
        <f aca="false" ca="false" dt2D="false" dtr="false" t="normal">+N201-'Приложение №2'!E201</f>
        <v>0</v>
      </c>
      <c r="AQ201" s="1" t="n">
        <v>996118.85</v>
      </c>
      <c r="AR201" s="3" t="n">
        <f aca="false" ca="false" dt2D="false" dtr="false" t="normal">+(K201*10+L201*20)*12*0.85</f>
        <v>268566</v>
      </c>
      <c r="AS201" s="3" t="n">
        <f aca="false" ca="false" dt2D="false" dtr="false" t="normal">+(K201*10+L201*20)*12*30</f>
        <v>9478800</v>
      </c>
      <c r="AT201" s="9" t="n">
        <f aca="false" ca="false" dt2D="false" dtr="false" t="normal">+S201-AS201</f>
        <v>0</v>
      </c>
      <c r="AW201" s="113" t="n">
        <f aca="false" ca="true" dt2D="false" dtr="false" t="normal">SUBTOTAL(9, AX201:BL201)</f>
        <v>18257138.112024</v>
      </c>
      <c r="AX201" s="106" t="n">
        <v>4878537.09</v>
      </c>
      <c r="AY201" s="106" t="n">
        <v>0</v>
      </c>
      <c r="AZ201" s="106" t="n">
        <v>0</v>
      </c>
      <c r="BA201" s="106" t="n">
        <v>0</v>
      </c>
      <c r="BB201" s="106" t="n"/>
      <c r="BC201" s="106" t="n"/>
      <c r="BD201" s="106" t="n"/>
      <c r="BE201" s="106" t="n">
        <v>0</v>
      </c>
      <c r="BF201" s="106" t="n">
        <v>0</v>
      </c>
      <c r="BG201" s="106" t="n">
        <v>0</v>
      </c>
      <c r="BH201" s="106" t="n">
        <v>5994057.42</v>
      </c>
      <c r="BI201" s="106" t="n">
        <v>7172099.88</v>
      </c>
      <c r="BJ201" s="106" t="n"/>
      <c r="BK201" s="114" t="n"/>
      <c r="BL201" s="115" t="n">
        <v>212443.722024</v>
      </c>
      <c r="BM201" s="14" t="n">
        <f aca="false" ca="true" dt2D="false" dtr="false" t="normal">SUBTOTAL(9, BN201:CB201)</f>
        <v>18257138.112024</v>
      </c>
      <c r="BN201" s="106" t="n">
        <v>4878537.09</v>
      </c>
      <c r="BO201" s="106" t="n">
        <v>0</v>
      </c>
      <c r="BP201" s="133" t="n">
        <v>0</v>
      </c>
      <c r="BQ201" s="106" t="n">
        <v>0</v>
      </c>
      <c r="BR201" s="106" t="n"/>
      <c r="BS201" s="106" t="n"/>
      <c r="BT201" s="106" t="n"/>
      <c r="BU201" s="106" t="n">
        <v>0</v>
      </c>
      <c r="BV201" s="106" t="n">
        <v>0</v>
      </c>
      <c r="BW201" s="106" t="n">
        <v>0</v>
      </c>
      <c r="BX201" s="106" t="n">
        <v>5994057.42</v>
      </c>
      <c r="BY201" s="106" t="n">
        <v>7172099.88</v>
      </c>
      <c r="BZ201" s="106" t="n"/>
      <c r="CA201" s="114" t="n"/>
      <c r="CB201" s="115" t="n">
        <v>212443.722024</v>
      </c>
      <c r="CD201" s="116" t="n">
        <f aca="false" ca="false" dt2D="false" dtr="false" t="normal">+CD200+1</f>
        <v>184</v>
      </c>
      <c r="CE201" s="117" t="n">
        <f aca="false" ca="false" dt2D="false" dtr="false" t="normal">+CE200+1</f>
        <v>184</v>
      </c>
      <c r="CF201" s="104" t="s">
        <v>283</v>
      </c>
      <c r="CG201" s="104" t="s">
        <v>293</v>
      </c>
      <c r="CH201" s="118" t="n">
        <f aca="false" ca="true" dt2D="false" dtr="false" t="normal">SUBTOTAL(9, CI201:CW201)</f>
        <v>18257138.112024</v>
      </c>
      <c r="CI201" s="106" t="n">
        <v>4878537.09</v>
      </c>
      <c r="CJ201" s="106" t="n">
        <v>0</v>
      </c>
      <c r="CK201" s="133" t="n">
        <v>0</v>
      </c>
      <c r="CL201" s="106" t="n">
        <v>0</v>
      </c>
      <c r="CM201" s="106" t="n"/>
      <c r="CN201" s="106" t="n"/>
      <c r="CO201" s="106" t="n"/>
      <c r="CP201" s="106" t="n">
        <v>0</v>
      </c>
      <c r="CQ201" s="106" t="n">
        <v>0</v>
      </c>
      <c r="CR201" s="106" t="n">
        <v>0</v>
      </c>
      <c r="CS201" s="106" t="n">
        <v>5994057.42</v>
      </c>
      <c r="CT201" s="106" t="n">
        <v>7172099.88</v>
      </c>
      <c r="CU201" s="106" t="n"/>
      <c r="CV201" s="114" t="n"/>
      <c r="CW201" s="115" t="n">
        <v>212443.722024</v>
      </c>
      <c r="CZ201" s="104" t="s">
        <v>293</v>
      </c>
      <c r="DA201" s="119" t="n">
        <f aca="false" ca="true" dt2D="false" dtr="false" t="normal">SUBTOTAL(9, DB201:DP201)</f>
        <v>18044694.39</v>
      </c>
      <c r="DB201" s="106" t="n">
        <v>4878537.09</v>
      </c>
      <c r="DC201" s="106" t="n">
        <v>0</v>
      </c>
      <c r="DD201" s="133" t="n">
        <v>0</v>
      </c>
      <c r="DE201" s="106" t="n">
        <v>0</v>
      </c>
      <c r="DF201" s="106" t="n"/>
      <c r="DG201" s="106" t="n"/>
      <c r="DH201" s="106" t="n"/>
      <c r="DI201" s="106" t="n">
        <v>0</v>
      </c>
      <c r="DJ201" s="106" t="n">
        <v>0</v>
      </c>
      <c r="DK201" s="106" t="n">
        <v>0</v>
      </c>
      <c r="DL201" s="106" t="n">
        <v>5994057.42</v>
      </c>
      <c r="DM201" s="106" t="n">
        <v>7172099.88</v>
      </c>
      <c r="DN201" s="106" t="n"/>
      <c r="DO201" s="114" t="n"/>
      <c r="DP201" s="122" t="n"/>
      <c r="DQ201" s="3" t="n">
        <f aca="false" ca="false" dt2D="false" dtr="false" t="normal">N201-DA201</f>
        <v>0</v>
      </c>
      <c r="DS201" s="9" t="n"/>
    </row>
    <row hidden="false" ht="15" outlineLevel="0" r="202">
      <c r="A202" s="103" t="n">
        <f aca="false" ca="false" dt2D="false" dtr="false" t="normal">+A201+1</f>
        <v>185</v>
      </c>
      <c r="B202" s="104" t="n">
        <f aca="false" ca="false" dt2D="false" dtr="false" t="normal">+B201+1</f>
        <v>185</v>
      </c>
      <c r="C202" s="104" t="s">
        <v>283</v>
      </c>
      <c r="D202" s="104" t="s">
        <v>294</v>
      </c>
      <c r="E202" s="105" t="n">
        <v>1975</v>
      </c>
      <c r="F202" s="105" t="n">
        <v>1985</v>
      </c>
      <c r="G202" s="105" t="s">
        <v>68</v>
      </c>
      <c r="H202" s="105" t="n">
        <v>4</v>
      </c>
      <c r="I202" s="105" t="n">
        <v>1</v>
      </c>
      <c r="J202" s="106" t="n">
        <v>2576.4</v>
      </c>
      <c r="K202" s="106" t="n">
        <v>1895.4</v>
      </c>
      <c r="L202" s="106" t="n">
        <v>169.5</v>
      </c>
      <c r="M202" s="107" t="n">
        <v>92</v>
      </c>
      <c r="N202" s="108" t="n">
        <f aca="false" ca="false" dt2D="false" dtr="false" t="normal">SUM(P202:T202)</f>
        <v>1207654.75</v>
      </c>
      <c r="O202" s="106" t="n"/>
      <c r="P202" s="114" t="n"/>
      <c r="Q202" s="114" t="n"/>
      <c r="R202" s="114" t="n">
        <v>1018495.61</v>
      </c>
      <c r="S202" s="114" t="n">
        <v>189159.14</v>
      </c>
      <c r="T202" s="106" t="n">
        <v>0</v>
      </c>
      <c r="U202" s="114" t="n">
        <v>602.906908296101</v>
      </c>
      <c r="V202" s="114" t="n">
        <v>602.906908296101</v>
      </c>
      <c r="W202" s="110" t="n">
        <v>2022</v>
      </c>
      <c r="X202" s="9" t="e">
        <f aca="false" ca="false" dt2D="false" dtr="false" t="normal">+#REF!-'[9]Приложение №1'!$P1740</f>
        <v>#REF!</v>
      </c>
      <c r="Z202" s="113" t="n">
        <f aca="false" ca="false" dt2D="false" dtr="false" t="normal">SUM(AA202:AO202)</f>
        <v>1957771.9699999997</v>
      </c>
      <c r="AA202" s="106" t="n">
        <v>0</v>
      </c>
      <c r="AB202" s="106" t="n">
        <v>0</v>
      </c>
      <c r="AC202" s="106" t="n">
        <v>1705129.32835938</v>
      </c>
      <c r="AD202" s="106" t="n">
        <v>0</v>
      </c>
      <c r="AE202" s="106" t="n">
        <v>0</v>
      </c>
      <c r="AF202" s="106" t="n"/>
      <c r="AG202" s="106" t="n">
        <v>0</v>
      </c>
      <c r="AH202" s="106" t="n">
        <v>0</v>
      </c>
      <c r="AI202" s="106" t="n">
        <v>0</v>
      </c>
      <c r="AJ202" s="106" t="n">
        <v>0</v>
      </c>
      <c r="AK202" s="106" t="n">
        <v>0</v>
      </c>
      <c r="AL202" s="106" t="n">
        <v>0</v>
      </c>
      <c r="AM202" s="106" t="n">
        <v>195777.197</v>
      </c>
      <c r="AN202" s="114" t="n">
        <v>19577.7197</v>
      </c>
      <c r="AO202" s="115" t="n">
        <v>37287.72494062</v>
      </c>
      <c r="AP202" s="112" t="n">
        <f aca="false" ca="false" dt2D="false" dtr="false" t="normal">+N202-'Приложение №2'!E202</f>
        <v>0</v>
      </c>
      <c r="AQ202" s="1" t="n">
        <v>790586.81</v>
      </c>
      <c r="AR202" s="3" t="n">
        <f aca="false" ca="false" dt2D="false" dtr="false" t="normal">+(K202*10+L202*20)*12*0.85</f>
        <v>227908.8</v>
      </c>
      <c r="AS202" s="3" t="n">
        <f aca="false" ca="false" dt2D="false" dtr="false" t="normal">+(K202*10+L202*20)*12*30</f>
        <v>8043840</v>
      </c>
      <c r="AT202" s="9" t="n">
        <f aca="false" ca="false" dt2D="false" dtr="false" t="normal">+S202-AS202</f>
        <v>-7854680.86</v>
      </c>
      <c r="AW202" s="113" t="n">
        <f aca="false" ca="true" dt2D="false" dtr="false" t="normal">SUBTOTAL(9, AX202:BL202)</f>
        <v>1244942.47494062</v>
      </c>
      <c r="AX202" s="106" t="n">
        <v>0</v>
      </c>
      <c r="AY202" s="106" t="n">
        <v>0</v>
      </c>
      <c r="AZ202" s="106" t="n">
        <v>1207654.75</v>
      </c>
      <c r="BA202" s="106" t="n">
        <v>0</v>
      </c>
      <c r="BB202" s="106" t="n">
        <v>0</v>
      </c>
      <c r="BC202" s="106" t="n"/>
      <c r="BD202" s="106" t="n"/>
      <c r="BE202" s="106" t="n">
        <v>0</v>
      </c>
      <c r="BF202" s="106" t="n">
        <v>0</v>
      </c>
      <c r="BG202" s="106" t="n">
        <v>0</v>
      </c>
      <c r="BH202" s="106" t="n">
        <v>0</v>
      </c>
      <c r="BI202" s="106" t="n">
        <v>0</v>
      </c>
      <c r="BJ202" s="106" t="n"/>
      <c r="BK202" s="114" t="n"/>
      <c r="BL202" s="115" t="n">
        <v>37287.72494062</v>
      </c>
      <c r="BM202" s="14" t="n">
        <f aca="false" ca="true" dt2D="false" dtr="false" t="normal">SUBTOTAL(9, BN202:CB202)</f>
        <v>1244942.47494062</v>
      </c>
      <c r="BN202" s="106" t="n">
        <v>0</v>
      </c>
      <c r="BO202" s="106" t="n">
        <v>0</v>
      </c>
      <c r="BP202" s="133" t="n">
        <v>1207654.75</v>
      </c>
      <c r="BQ202" s="106" t="n">
        <v>0</v>
      </c>
      <c r="BR202" s="106" t="n">
        <v>0</v>
      </c>
      <c r="BS202" s="106" t="n"/>
      <c r="BT202" s="106" t="n"/>
      <c r="BU202" s="106" t="n">
        <v>0</v>
      </c>
      <c r="BV202" s="106" t="n">
        <v>0</v>
      </c>
      <c r="BW202" s="106" t="n">
        <v>0</v>
      </c>
      <c r="BX202" s="106" t="n">
        <v>0</v>
      </c>
      <c r="BY202" s="106" t="n">
        <v>0</v>
      </c>
      <c r="BZ202" s="106" t="n"/>
      <c r="CA202" s="114" t="n"/>
      <c r="CB202" s="115" t="n">
        <v>37287.72494062</v>
      </c>
      <c r="CD202" s="116" t="n">
        <f aca="false" ca="false" dt2D="false" dtr="false" t="normal">+CD201+1</f>
        <v>185</v>
      </c>
      <c r="CE202" s="117" t="n">
        <f aca="false" ca="false" dt2D="false" dtr="false" t="normal">+CE201+1</f>
        <v>185</v>
      </c>
      <c r="CF202" s="104" t="s">
        <v>283</v>
      </c>
      <c r="CG202" s="104" t="s">
        <v>294</v>
      </c>
      <c r="CH202" s="118" t="n">
        <f aca="false" ca="true" dt2D="false" dtr="false" t="normal">SUBTOTAL(9, CI202:CW202)</f>
        <v>1244942.47494062</v>
      </c>
      <c r="CI202" s="106" t="n">
        <v>0</v>
      </c>
      <c r="CJ202" s="106" t="n">
        <v>0</v>
      </c>
      <c r="CK202" s="133" t="n">
        <v>1207654.75</v>
      </c>
      <c r="CL202" s="106" t="n">
        <v>0</v>
      </c>
      <c r="CM202" s="106" t="n">
        <v>0</v>
      </c>
      <c r="CN202" s="106" t="n"/>
      <c r="CO202" s="106" t="n"/>
      <c r="CP202" s="106" t="n">
        <v>0</v>
      </c>
      <c r="CQ202" s="106" t="n">
        <v>0</v>
      </c>
      <c r="CR202" s="106" t="n">
        <v>0</v>
      </c>
      <c r="CS202" s="106" t="n">
        <v>0</v>
      </c>
      <c r="CT202" s="106" t="n">
        <v>0</v>
      </c>
      <c r="CU202" s="106" t="n"/>
      <c r="CV202" s="114" t="n"/>
      <c r="CW202" s="115" t="n">
        <v>37287.72494062</v>
      </c>
      <c r="CZ202" s="104" t="s">
        <v>294</v>
      </c>
      <c r="DA202" s="119" t="n">
        <f aca="false" ca="true" dt2D="false" dtr="false" t="normal">SUBTOTAL(9, DB202:DP202)</f>
        <v>1207654.75</v>
      </c>
      <c r="DB202" s="106" t="n">
        <v>0</v>
      </c>
      <c r="DC202" s="106" t="n">
        <v>0</v>
      </c>
      <c r="DD202" s="133" t="n">
        <v>1207654.75</v>
      </c>
      <c r="DE202" s="106" t="n">
        <v>0</v>
      </c>
      <c r="DF202" s="106" t="n">
        <v>0</v>
      </c>
      <c r="DG202" s="106" t="n"/>
      <c r="DH202" s="106" t="n"/>
      <c r="DI202" s="106" t="n">
        <v>0</v>
      </c>
      <c r="DJ202" s="106" t="n">
        <v>0</v>
      </c>
      <c r="DK202" s="106" t="n">
        <v>0</v>
      </c>
      <c r="DL202" s="106" t="n">
        <v>0</v>
      </c>
      <c r="DM202" s="106" t="n">
        <v>0</v>
      </c>
      <c r="DN202" s="106" t="n"/>
      <c r="DO202" s="114" t="n"/>
      <c r="DP202" s="122" t="n"/>
      <c r="DQ202" s="3" t="n">
        <f aca="false" ca="false" dt2D="false" dtr="false" t="normal">N202-DA202</f>
        <v>0</v>
      </c>
      <c r="DS202" s="9" t="n"/>
    </row>
    <row hidden="false" ht="15" outlineLevel="0" r="203">
      <c r="A203" s="103" t="n">
        <f aca="false" ca="false" dt2D="false" dtr="false" t="normal">+A202+1</f>
        <v>186</v>
      </c>
      <c r="B203" s="104" t="n">
        <f aca="false" ca="false" dt2D="false" dtr="false" t="normal">+B202+1</f>
        <v>186</v>
      </c>
      <c r="C203" s="104" t="s">
        <v>111</v>
      </c>
      <c r="D203" s="104" t="s">
        <v>295</v>
      </c>
      <c r="E203" s="105" t="n">
        <v>2005</v>
      </c>
      <c r="F203" s="105" t="n"/>
      <c r="G203" s="105" t="s">
        <v>68</v>
      </c>
      <c r="H203" s="105" t="n">
        <v>6</v>
      </c>
      <c r="I203" s="105" t="n">
        <v>1</v>
      </c>
      <c r="J203" s="106" t="n">
        <v>1214.1</v>
      </c>
      <c r="K203" s="106" t="n">
        <v>1104.6</v>
      </c>
      <c r="L203" s="106" t="n">
        <v>0</v>
      </c>
      <c r="M203" s="107" t="n">
        <v>41</v>
      </c>
      <c r="N203" s="108" t="n">
        <f aca="false" ca="false" dt2D="false" dtr="false" t="normal">SUM(P203:T203)</f>
        <v>4254086.16</v>
      </c>
      <c r="O203" s="106" t="n"/>
      <c r="P203" s="114" t="n"/>
      <c r="Q203" s="114" t="n"/>
      <c r="R203" s="114" t="n">
        <v>4254086.16</v>
      </c>
      <c r="S203" s="114" t="n"/>
      <c r="T203" s="114" t="n">
        <v>0</v>
      </c>
      <c r="U203" s="114" t="n">
        <v>3851.24584464965</v>
      </c>
      <c r="V203" s="114" t="n">
        <v>3851.24584464965</v>
      </c>
      <c r="W203" s="110" t="n">
        <v>2022</v>
      </c>
      <c r="X203" s="9" t="e">
        <f aca="false" ca="false" dt2D="false" dtr="false" t="normal">+#REF!-'[9]Приложение №1'!$P586</f>
        <v>#REF!</v>
      </c>
      <c r="Z203" s="113" t="n">
        <f aca="false" ca="false" dt2D="false" dtr="false" t="normal">SUM(AA203:AO203)</f>
        <v>7345879.354412001</v>
      </c>
      <c r="AA203" s="106" t="n">
        <v>0</v>
      </c>
      <c r="AB203" s="106" t="n">
        <v>0</v>
      </c>
      <c r="AC203" s="106" t="n">
        <v>0</v>
      </c>
      <c r="AD203" s="106" t="n">
        <v>0</v>
      </c>
      <c r="AE203" s="106" t="n">
        <v>491444.9</v>
      </c>
      <c r="AF203" s="106" t="n"/>
      <c r="AG203" s="106" t="n">
        <v>0</v>
      </c>
      <c r="AH203" s="106" t="n">
        <v>0</v>
      </c>
      <c r="AI203" s="106" t="n">
        <v>0</v>
      </c>
      <c r="AJ203" s="106" t="n">
        <v>0</v>
      </c>
      <c r="AK203" s="106" t="n">
        <v>2817572.53491042</v>
      </c>
      <c r="AL203" s="106" t="n">
        <v>3039081.78670572</v>
      </c>
      <c r="AM203" s="106" t="n">
        <v>797894.041</v>
      </c>
      <c r="AN203" s="114" t="n">
        <v>68910.7991</v>
      </c>
      <c r="AO203" s="115" t="n">
        <v>130975.29269586</v>
      </c>
      <c r="AP203" s="112" t="s">
        <v>296</v>
      </c>
      <c r="AQ203" s="1" t="n">
        <v>547627.87</v>
      </c>
      <c r="AR203" s="3" t="n">
        <f aca="false" ca="false" dt2D="false" dtr="false" t="normal">+(K203*10+L203*20)*12*0.85</f>
        <v>112669.2</v>
      </c>
      <c r="AS203" s="3" t="n">
        <f aca="false" ca="false" dt2D="false" dtr="false" t="normal">+(K203*10+L203*20)*12*30</f>
        <v>3976560</v>
      </c>
      <c r="AT203" s="9" t="n">
        <f aca="false" ca="false" dt2D="false" dtr="false" t="normal">+S203-AS203</f>
        <v>-3976560</v>
      </c>
      <c r="AW203" s="113" t="n">
        <f aca="false" ca="true" dt2D="false" dtr="false" t="normal">SUBTOTAL(9, AX203:BL203)</f>
        <v>4254086.16</v>
      </c>
      <c r="AX203" s="106" t="n"/>
      <c r="AY203" s="106" t="n"/>
      <c r="AZ203" s="106" t="n"/>
      <c r="BA203" s="106" t="n"/>
      <c r="BB203" s="106" t="n"/>
      <c r="BC203" s="106" t="n"/>
      <c r="BD203" s="106" t="n"/>
      <c r="BE203" s="106" t="n"/>
      <c r="BF203" s="106" t="n">
        <v>4254086.16</v>
      </c>
      <c r="BG203" s="106" t="n"/>
      <c r="BH203" s="106" t="n"/>
      <c r="BI203" s="106" t="n"/>
      <c r="BJ203" s="106" t="n"/>
      <c r="BK203" s="106" t="n"/>
      <c r="BL203" s="106" t="n"/>
      <c r="BM203" s="14" t="n">
        <f aca="false" ca="true" dt2D="false" dtr="false" t="normal">SUBTOTAL(9, BN203:CB203)</f>
        <v>4254086.16</v>
      </c>
      <c r="BN203" s="106" t="n"/>
      <c r="BO203" s="106" t="n"/>
      <c r="BP203" s="133" t="n"/>
      <c r="BQ203" s="106" t="n"/>
      <c r="BR203" s="106" t="n"/>
      <c r="BS203" s="106" t="n"/>
      <c r="BT203" s="106" t="n"/>
      <c r="BU203" s="106" t="n"/>
      <c r="BV203" s="106" t="n">
        <v>4254086.16</v>
      </c>
      <c r="BW203" s="106" t="n"/>
      <c r="BX203" s="106" t="n"/>
      <c r="BY203" s="106" t="n"/>
      <c r="BZ203" s="106" t="n"/>
      <c r="CA203" s="106" t="n"/>
      <c r="CB203" s="106" t="n"/>
      <c r="CD203" s="116" t="n">
        <f aca="false" ca="false" dt2D="false" dtr="false" t="normal">+CD202+1</f>
        <v>186</v>
      </c>
      <c r="CE203" s="117" t="n">
        <f aca="false" ca="false" dt2D="false" dtr="false" t="normal">+CE202+1</f>
        <v>186</v>
      </c>
      <c r="CF203" s="104" t="s">
        <v>111</v>
      </c>
      <c r="CG203" s="104" t="s">
        <v>297</v>
      </c>
      <c r="CH203" s="118" t="n">
        <f aca="false" ca="true" dt2D="false" dtr="false" t="normal">SUBTOTAL(9, CI203:CW203)</f>
        <v>4254086.16</v>
      </c>
      <c r="CI203" s="106" t="n"/>
      <c r="CJ203" s="106" t="n"/>
      <c r="CK203" s="133" t="n"/>
      <c r="CL203" s="106" t="n"/>
      <c r="CM203" s="106" t="n"/>
      <c r="CN203" s="106" t="n"/>
      <c r="CO203" s="106" t="n"/>
      <c r="CP203" s="106" t="n"/>
      <c r="CQ203" s="106" t="n">
        <v>4254086.16</v>
      </c>
      <c r="CR203" s="106" t="n"/>
      <c r="CS203" s="106" t="n"/>
      <c r="CT203" s="106" t="n"/>
      <c r="CU203" s="106" t="n"/>
      <c r="CV203" s="106" t="n"/>
      <c r="CW203" s="106" t="n"/>
      <c r="CZ203" s="104" t="s">
        <v>297</v>
      </c>
      <c r="DA203" s="119" t="n">
        <f aca="false" ca="true" dt2D="false" dtr="false" t="normal">SUBTOTAL(9, DB203:DP203)</f>
        <v>4254086.16</v>
      </c>
      <c r="DB203" s="106" t="n"/>
      <c r="DC203" s="106" t="n"/>
      <c r="DD203" s="133" t="n"/>
      <c r="DE203" s="106" t="n"/>
      <c r="DF203" s="106" t="n"/>
      <c r="DG203" s="106" t="n"/>
      <c r="DH203" s="106" t="n"/>
      <c r="DI203" s="106" t="n"/>
      <c r="DJ203" s="106" t="n">
        <v>4254086.16</v>
      </c>
      <c r="DK203" s="106" t="n"/>
      <c r="DL203" s="106" t="n"/>
      <c r="DM203" s="106" t="n"/>
      <c r="DN203" s="106" t="n"/>
      <c r="DO203" s="106" t="n"/>
      <c r="DP203" s="106" t="n"/>
      <c r="DQ203" s="3" t="n">
        <f aca="false" ca="false" dt2D="false" dtr="false" t="normal">N203-DA203</f>
        <v>0</v>
      </c>
      <c r="DS203" s="9" t="n"/>
    </row>
    <row hidden="false" ht="15" outlineLevel="0" r="204">
      <c r="A204" s="103" t="n">
        <f aca="false" ca="false" dt2D="false" dtr="false" t="normal">+A203+1</f>
        <v>187</v>
      </c>
      <c r="B204" s="104" t="n">
        <f aca="false" ca="false" dt2D="false" dtr="false" t="normal">+B203+1</f>
        <v>187</v>
      </c>
      <c r="C204" s="1" t="s">
        <v>298</v>
      </c>
      <c r="D204" s="104" t="s">
        <v>299</v>
      </c>
      <c r="E204" s="105" t="s">
        <v>300</v>
      </c>
      <c r="F204" s="105" t="n"/>
      <c r="G204" s="105" t="s">
        <v>68</v>
      </c>
      <c r="H204" s="105" t="s">
        <v>148</v>
      </c>
      <c r="I204" s="105" t="s">
        <v>105</v>
      </c>
      <c r="J204" s="106" t="n">
        <v>1440.7</v>
      </c>
      <c r="K204" s="106" t="n">
        <v>820.56</v>
      </c>
      <c r="L204" s="106" t="n">
        <v>349.5</v>
      </c>
      <c r="M204" s="107" t="n">
        <v>48</v>
      </c>
      <c r="N204" s="108" t="n">
        <f aca="false" ca="false" dt2D="false" dtr="false" t="normal">SUM(P204:T204)</f>
        <v>566057.97</v>
      </c>
      <c r="O204" s="106" t="n">
        <v>0</v>
      </c>
      <c r="P204" s="114" t="n">
        <v>0</v>
      </c>
      <c r="Q204" s="114" t="n">
        <v>0</v>
      </c>
      <c r="R204" s="114" t="n">
        <v>566057.97</v>
      </c>
      <c r="S204" s="114" t="n"/>
      <c r="T204" s="114" t="n">
        <v>0</v>
      </c>
      <c r="U204" s="114" t="n">
        <v>483.785421260448</v>
      </c>
      <c r="V204" s="114" t="n">
        <v>483.785421260448</v>
      </c>
      <c r="W204" s="110" t="n">
        <v>2022</v>
      </c>
      <c r="X204" s="9" t="n"/>
      <c r="Z204" s="136" t="n"/>
      <c r="AA204" s="9" t="n"/>
      <c r="AB204" s="9" t="n"/>
      <c r="AC204" s="9" t="n"/>
      <c r="AD204" s="9" t="n"/>
      <c r="AE204" s="9" t="n"/>
      <c r="AF204" s="9" t="n"/>
      <c r="AG204" s="9" t="n"/>
      <c r="AH204" s="9" t="n"/>
      <c r="AI204" s="9" t="n"/>
      <c r="AJ204" s="9" t="n"/>
      <c r="AK204" s="9" t="n"/>
      <c r="AL204" s="9" t="n"/>
      <c r="AM204" s="9" t="n"/>
      <c r="AN204" s="137" t="n"/>
      <c r="AO204" s="137" t="n"/>
      <c r="AP204" s="112" t="n">
        <f aca="false" ca="false" dt2D="false" dtr="false" t="normal">+N204-'Приложение №2'!E204</f>
        <v>0</v>
      </c>
      <c r="AT204" s="9" t="n">
        <f aca="false" ca="false" dt2D="false" dtr="false" t="normal">+S204-AS204</f>
        <v>0</v>
      </c>
      <c r="AW204" s="113" t="n">
        <f aca="false" ca="true" dt2D="false" dtr="false" t="normal">SUBTOTAL(9, AX204:BL204)</f>
        <v>566057.97</v>
      </c>
      <c r="AX204" s="106" t="n"/>
      <c r="AY204" s="106" t="n"/>
      <c r="AZ204" s="106" t="n"/>
      <c r="BA204" s="106" t="n"/>
      <c r="BB204" s="106" t="n"/>
      <c r="BC204" s="106" t="n"/>
      <c r="BD204" s="106" t="n"/>
      <c r="BE204" s="106" t="n"/>
      <c r="BF204" s="106" t="n">
        <v>194953.44</v>
      </c>
      <c r="BG204" s="106" t="n"/>
      <c r="BH204" s="106" t="n">
        <v>371104.53</v>
      </c>
      <c r="BI204" s="106" t="n"/>
      <c r="BJ204" s="106" t="n"/>
      <c r="BK204" s="106" t="n"/>
      <c r="BL204" s="138" t="n"/>
      <c r="BM204" s="14" t="n">
        <f aca="false" ca="true" dt2D="false" dtr="false" t="normal">SUBTOTAL(9, BN204:CB204)</f>
        <v>566057.97</v>
      </c>
      <c r="BN204" s="106" t="n"/>
      <c r="BO204" s="106" t="n"/>
      <c r="BP204" s="133" t="n"/>
      <c r="BQ204" s="106" t="n"/>
      <c r="BR204" s="106" t="n"/>
      <c r="BS204" s="106" t="n"/>
      <c r="BT204" s="106" t="n"/>
      <c r="BU204" s="106" t="n"/>
      <c r="BV204" s="106" t="n">
        <v>194953.44</v>
      </c>
      <c r="BW204" s="106" t="n"/>
      <c r="BX204" s="106" t="n">
        <v>371104.53</v>
      </c>
      <c r="BY204" s="106" t="n"/>
      <c r="BZ204" s="106" t="n"/>
      <c r="CA204" s="106" t="n"/>
      <c r="CB204" s="106" t="n"/>
      <c r="CD204" s="116" t="n">
        <f aca="false" ca="false" dt2D="false" dtr="false" t="normal">+CD203+1</f>
        <v>187</v>
      </c>
      <c r="CE204" s="117" t="n">
        <f aca="false" ca="false" dt2D="false" dtr="false" t="normal">+CE203+1</f>
        <v>187</v>
      </c>
      <c r="CF204" s="1" t="s">
        <v>301</v>
      </c>
      <c r="CG204" s="104" t="s">
        <v>299</v>
      </c>
      <c r="CH204" s="118" t="n">
        <f aca="false" ca="true" dt2D="false" dtr="false" t="normal">SUBTOTAL(9, CI204:CW204)</f>
        <v>566057.97</v>
      </c>
      <c r="CI204" s="106" t="n"/>
      <c r="CJ204" s="106" t="n"/>
      <c r="CK204" s="133" t="n"/>
      <c r="CL204" s="106" t="n"/>
      <c r="CM204" s="106" t="n"/>
      <c r="CN204" s="106" t="n"/>
      <c r="CO204" s="106" t="n"/>
      <c r="CP204" s="106" t="n"/>
      <c r="CQ204" s="106" t="n">
        <v>194953.44</v>
      </c>
      <c r="CR204" s="106" t="n"/>
      <c r="CS204" s="106" t="n">
        <v>371104.53</v>
      </c>
      <c r="CT204" s="106" t="n"/>
      <c r="CU204" s="106" t="n"/>
      <c r="CV204" s="106" t="n"/>
      <c r="CW204" s="106" t="n"/>
      <c r="CZ204" s="104" t="s">
        <v>299</v>
      </c>
      <c r="DA204" s="119" t="n">
        <f aca="false" ca="true" dt2D="false" dtr="false" t="normal">SUBTOTAL(9, DB204:DP204)</f>
        <v>566057.97</v>
      </c>
      <c r="DB204" s="106" t="n"/>
      <c r="DC204" s="106" t="n"/>
      <c r="DD204" s="133" t="n"/>
      <c r="DE204" s="106" t="n"/>
      <c r="DF204" s="106" t="n"/>
      <c r="DG204" s="106" t="n"/>
      <c r="DH204" s="106" t="n"/>
      <c r="DI204" s="106" t="n"/>
      <c r="DJ204" s="106" t="n">
        <v>194953.44</v>
      </c>
      <c r="DK204" s="106" t="n"/>
      <c r="DL204" s="106" t="n">
        <v>371104.53</v>
      </c>
      <c r="DM204" s="106" t="n"/>
      <c r="DN204" s="106" t="n"/>
      <c r="DO204" s="106" t="n"/>
      <c r="DP204" s="106" t="n"/>
      <c r="DQ204" s="3" t="n">
        <f aca="false" ca="false" dt2D="false" dtr="false" t="normal">N204-DA204</f>
        <v>0</v>
      </c>
      <c r="DS204" s="9" t="n">
        <f aca="false" ca="false" dt2D="false" dtr="false" t="normal">T204-DQ204</f>
        <v>0</v>
      </c>
    </row>
    <row hidden="false" ht="15" outlineLevel="0" r="205">
      <c r="A205" s="103" t="n">
        <f aca="false" ca="false" dt2D="false" dtr="false" t="normal">+A204+1</f>
        <v>188</v>
      </c>
      <c r="B205" s="104" t="n">
        <f aca="false" ca="false" dt2D="false" dtr="false" t="normal">+B204+1</f>
        <v>188</v>
      </c>
      <c r="C205" s="1" t="s">
        <v>298</v>
      </c>
      <c r="D205" s="104" t="s">
        <v>302</v>
      </c>
      <c r="E205" s="105" t="s">
        <v>303</v>
      </c>
      <c r="F205" s="105" t="n"/>
      <c r="G205" s="105" t="s">
        <v>68</v>
      </c>
      <c r="H205" s="105" t="s">
        <v>148</v>
      </c>
      <c r="I205" s="105" t="s">
        <v>232</v>
      </c>
      <c r="J205" s="106" t="n">
        <v>819.9</v>
      </c>
      <c r="K205" s="106" t="n">
        <v>649</v>
      </c>
      <c r="L205" s="106" t="n">
        <v>0</v>
      </c>
      <c r="M205" s="107" t="n">
        <v>30</v>
      </c>
      <c r="N205" s="108" t="n">
        <f aca="false" ca="false" dt2D="false" dtr="false" t="normal">SUM(P205:T205)</f>
        <v>10770762.3</v>
      </c>
      <c r="O205" s="106" t="n">
        <v>0</v>
      </c>
      <c r="P205" s="114" t="n">
        <v>0</v>
      </c>
      <c r="Q205" s="114" t="n">
        <v>0</v>
      </c>
      <c r="R205" s="114" t="n">
        <v>10770762.3</v>
      </c>
      <c r="S205" s="114" t="n"/>
      <c r="T205" s="114" t="n">
        <v>0</v>
      </c>
      <c r="U205" s="114" t="n">
        <v>16595.9357473035</v>
      </c>
      <c r="V205" s="114" t="n">
        <v>16595.9357473035</v>
      </c>
      <c r="W205" s="110" t="n">
        <v>2022</v>
      </c>
      <c r="X205" s="9" t="n"/>
      <c r="Z205" s="136" t="n"/>
      <c r="AA205" s="9" t="n"/>
      <c r="AB205" s="9" t="n"/>
      <c r="AC205" s="9" t="n"/>
      <c r="AD205" s="9" t="n"/>
      <c r="AE205" s="9" t="n"/>
      <c r="AF205" s="9" t="n"/>
      <c r="AG205" s="9" t="n"/>
      <c r="AH205" s="9" t="n"/>
      <c r="AI205" s="9" t="n"/>
      <c r="AJ205" s="9" t="n"/>
      <c r="AK205" s="9" t="n"/>
      <c r="AL205" s="9" t="n"/>
      <c r="AM205" s="9" t="n"/>
      <c r="AN205" s="137" t="n"/>
      <c r="AO205" s="137" t="n"/>
      <c r="AP205" s="112" t="n">
        <f aca="false" ca="false" dt2D="false" dtr="false" t="normal">+N205-'Приложение №2'!E205</f>
        <v>0</v>
      </c>
      <c r="AT205" s="9" t="n">
        <f aca="false" ca="false" dt2D="false" dtr="false" t="normal">+S205-AS205</f>
        <v>0</v>
      </c>
      <c r="AW205" s="139" t="n">
        <f aca="false" ca="true" dt2D="false" dtr="false" t="normal">SUBTOTAL(9, AX205:BL205)</f>
        <v>10770762.3</v>
      </c>
      <c r="AX205" s="140" t="n"/>
      <c r="AY205" s="140" t="n"/>
      <c r="AZ205" s="140" t="n"/>
      <c r="BA205" s="140" t="n"/>
      <c r="BB205" s="140" t="n"/>
      <c r="BC205" s="140" t="n"/>
      <c r="BD205" s="140" t="n"/>
      <c r="BE205" s="140" t="n"/>
      <c r="BF205" s="140" t="n">
        <v>5195058.41</v>
      </c>
      <c r="BG205" s="140" t="n"/>
      <c r="BH205" s="140" t="n">
        <v>5575703.89</v>
      </c>
      <c r="BI205" s="140" t="n"/>
      <c r="BJ205" s="140" t="n"/>
      <c r="BK205" s="140" t="n"/>
      <c r="BL205" s="141" t="n"/>
      <c r="BM205" s="142" t="n">
        <f aca="false" ca="true" dt2D="false" dtr="false" t="normal">SUBTOTAL(9, BN205:CB205)</f>
        <v>10770762.3</v>
      </c>
      <c r="BN205" s="140" t="n"/>
      <c r="BO205" s="140" t="n"/>
      <c r="BP205" s="143" t="n"/>
      <c r="BQ205" s="140" t="n"/>
      <c r="BR205" s="140" t="n"/>
      <c r="BS205" s="140" t="n"/>
      <c r="BT205" s="140" t="n"/>
      <c r="BU205" s="140" t="n"/>
      <c r="BV205" s="140" t="n">
        <v>5195058.41</v>
      </c>
      <c r="BW205" s="140" t="n"/>
      <c r="BX205" s="140" t="n">
        <v>5575703.89</v>
      </c>
      <c r="BY205" s="140" t="n"/>
      <c r="BZ205" s="140" t="n"/>
      <c r="CA205" s="140" t="n"/>
      <c r="CB205" s="140" t="n"/>
      <c r="CD205" s="144" t="n">
        <f aca="false" ca="false" dt2D="false" dtr="false" t="normal">+CD204+1</f>
        <v>188</v>
      </c>
      <c r="CE205" s="145" t="n">
        <f aca="false" ca="false" dt2D="false" dtr="false" t="normal">+CE204+1</f>
        <v>188</v>
      </c>
      <c r="CF205" s="1" t="s">
        <v>301</v>
      </c>
      <c r="CG205" s="146" t="s">
        <v>302</v>
      </c>
      <c r="CH205" s="147" t="n">
        <f aca="false" ca="true" dt2D="false" dtr="false" t="normal">SUBTOTAL(9, CI205:CW205)</f>
        <v>10770762.3</v>
      </c>
      <c r="CI205" s="140" t="n"/>
      <c r="CJ205" s="140" t="n"/>
      <c r="CK205" s="143" t="n"/>
      <c r="CL205" s="140" t="n"/>
      <c r="CM205" s="140" t="n"/>
      <c r="CN205" s="140" t="n"/>
      <c r="CO205" s="140" t="n"/>
      <c r="CP205" s="140" t="n"/>
      <c r="CQ205" s="140" t="n">
        <v>5195058.41</v>
      </c>
      <c r="CR205" s="140" t="n"/>
      <c r="CS205" s="140" t="n">
        <v>5575703.89</v>
      </c>
      <c r="CT205" s="140" t="n"/>
      <c r="CU205" s="140" t="n"/>
      <c r="CV205" s="140" t="n"/>
      <c r="CW205" s="140" t="n"/>
      <c r="CZ205" s="146" t="s">
        <v>302</v>
      </c>
      <c r="DA205" s="148" t="n">
        <f aca="false" ca="true" dt2D="false" dtr="false" t="normal">SUBTOTAL(9, DB205:DP205)</f>
        <v>10770762.3</v>
      </c>
      <c r="DB205" s="140" t="n"/>
      <c r="DC205" s="140" t="n"/>
      <c r="DD205" s="143" t="n"/>
      <c r="DE205" s="140" t="n"/>
      <c r="DF205" s="140" t="n"/>
      <c r="DG205" s="140" t="n"/>
      <c r="DH205" s="140" t="n"/>
      <c r="DI205" s="140" t="n"/>
      <c r="DJ205" s="140" t="n">
        <v>5195058.41</v>
      </c>
      <c r="DK205" s="140" t="n"/>
      <c r="DL205" s="140" t="n">
        <v>5575703.89</v>
      </c>
      <c r="DM205" s="140" t="n"/>
      <c r="DN205" s="140" t="n"/>
      <c r="DO205" s="140" t="n"/>
      <c r="DP205" s="140" t="n"/>
      <c r="DQ205" s="3" t="n">
        <f aca="false" ca="false" dt2D="false" dtr="false" t="normal">N205-DA205</f>
        <v>0</v>
      </c>
      <c r="DS205" s="9" t="n">
        <f aca="false" ca="false" dt2D="false" dtr="false" t="normal">T205-DQ205</f>
        <v>0</v>
      </c>
    </row>
    <row hidden="false" ht="15" outlineLevel="0" r="206">
      <c r="A206" s="149" t="n"/>
      <c r="B206" s="149" t="n"/>
      <c r="C206" s="149" t="n"/>
      <c r="D206" s="74" t="n">
        <v>2023</v>
      </c>
      <c r="E206" s="150" t="n"/>
      <c r="F206" s="150" t="n"/>
      <c r="G206" s="150" t="n"/>
      <c r="H206" s="150" t="n"/>
      <c r="I206" s="150" t="n"/>
      <c r="J206" s="151" t="n">
        <f aca="false" ca="false" dt2D="false" dtr="false" t="normal">J207+J380</f>
        <v>893514.6799999999</v>
      </c>
      <c r="K206" s="151" t="n">
        <f aca="false" ca="false" dt2D="false" dtr="false" t="normal">K207+K380</f>
        <v>743118.5399999999</v>
      </c>
      <c r="L206" s="151" t="n">
        <f aca="false" ca="false" dt2D="false" dtr="false" t="normal">L207+L380</f>
        <v>43982.530000000006</v>
      </c>
      <c r="M206" s="151" t="n">
        <f aca="false" ca="false" dt2D="false" dtr="false" t="normal">M207+M380</f>
        <v>31855</v>
      </c>
      <c r="N206" s="151" t="n">
        <f aca="false" ca="false" dt2D="false" dtr="false" t="normal">SUM(P206:T206)</f>
        <v>2357254214.9046297</v>
      </c>
      <c r="O206" s="151" t="n">
        <f aca="false" ca="false" dt2D="false" dtr="false" t="normal">O207+O380</f>
        <v>0</v>
      </c>
      <c r="P206" s="151" t="n">
        <f aca="false" ca="false" dt2D="false" dtr="false" t="normal">P207+P380</f>
        <v>749983518.601956</v>
      </c>
      <c r="Q206" s="151" t="n">
        <f aca="false" ca="false" dt2D="false" dtr="false" t="normal">Q207+Q380</f>
        <v>7110772</v>
      </c>
      <c r="R206" s="151" t="n">
        <f aca="false" ca="false" dt2D="false" dtr="false" t="normal">R207+R380</f>
        <v>372427855.38236666</v>
      </c>
      <c r="S206" s="151" t="n">
        <f aca="false" ca="false" dt2D="false" dtr="false" t="normal">S207+S380</f>
        <v>1156207386.1924963</v>
      </c>
      <c r="T206" s="152" t="n">
        <f aca="false" ca="false" dt2D="false" dtr="false" t="normal">T207+T380</f>
        <v>71524682.72781062</v>
      </c>
      <c r="U206" s="153" t="n"/>
      <c r="V206" s="153" t="n"/>
      <c r="W206" s="154" t="n"/>
      <c r="X206" s="9" t="n"/>
      <c r="Z206" s="136" t="n"/>
      <c r="AA206" s="9" t="n"/>
      <c r="AB206" s="9" t="n"/>
      <c r="AC206" s="9" t="n"/>
      <c r="AD206" s="9" t="n"/>
      <c r="AE206" s="9" t="n"/>
      <c r="AF206" s="9" t="n"/>
      <c r="AG206" s="9" t="n"/>
      <c r="AH206" s="9" t="n"/>
      <c r="AI206" s="9" t="n"/>
      <c r="AJ206" s="9" t="n"/>
      <c r="AK206" s="9" t="n"/>
      <c r="AL206" s="9" t="n"/>
      <c r="AM206" s="9" t="n"/>
      <c r="AN206" s="137" t="n"/>
      <c r="AO206" s="137" t="n"/>
      <c r="AP206" s="112" t="n"/>
      <c r="AT206" s="9" t="n"/>
      <c r="AW206" s="139" t="n"/>
      <c r="AX206" s="140" t="n"/>
      <c r="AY206" s="140" t="n"/>
      <c r="AZ206" s="140" t="n"/>
      <c r="BA206" s="140" t="n"/>
      <c r="BB206" s="140" t="n"/>
      <c r="BC206" s="140" t="n"/>
      <c r="BD206" s="140" t="n"/>
      <c r="BE206" s="140" t="n"/>
      <c r="BF206" s="140" t="n"/>
      <c r="BG206" s="140" t="n"/>
      <c r="BH206" s="140" t="n"/>
      <c r="BI206" s="140" t="n"/>
      <c r="BJ206" s="140" t="n"/>
      <c r="BK206" s="140" t="n"/>
      <c r="BL206" s="141" t="n"/>
      <c r="BM206" s="142" t="n"/>
      <c r="BN206" s="140" t="n"/>
      <c r="BO206" s="140" t="n"/>
      <c r="BP206" s="143" t="n"/>
      <c r="BQ206" s="140" t="n"/>
      <c r="BR206" s="140" t="n"/>
      <c r="BS206" s="140" t="n"/>
      <c r="BT206" s="140" t="n"/>
      <c r="BU206" s="140" t="n"/>
      <c r="BV206" s="140" t="n"/>
      <c r="BW206" s="140" t="n"/>
      <c r="BX206" s="140" t="n"/>
      <c r="BY206" s="140" t="n"/>
      <c r="BZ206" s="140" t="n"/>
      <c r="CA206" s="140" t="n"/>
      <c r="CB206" s="140" t="n"/>
      <c r="CD206" s="155" t="n"/>
      <c r="CE206" s="156" t="n"/>
      <c r="CF206" s="149" t="n"/>
      <c r="CG206" s="157" t="n">
        <v>2023</v>
      </c>
      <c r="CH206" s="158" t="n">
        <f aca="false" ca="false" dt2D="false" dtr="false" t="normal">CH207+CH380</f>
        <v>2485408477.3561807</v>
      </c>
      <c r="CI206" s="159" t="n">
        <f aca="false" ca="false" dt2D="false" dtr="false" t="normal">CI207+CI380</f>
        <v>370237572.12199986</v>
      </c>
      <c r="CJ206" s="159" t="n">
        <f aca="false" ca="false" dt2D="false" dtr="false" t="normal">CJ207+CJ380</f>
        <v>95469739.89000002</v>
      </c>
      <c r="CK206" s="159" t="n">
        <f aca="false" ca="false" dt2D="false" dtr="false" t="normal">CK207+CK380</f>
        <v>156384312.5</v>
      </c>
      <c r="CL206" s="159" t="n">
        <f aca="false" ca="false" dt2D="false" dtr="false" t="normal">CL207+CL380</f>
        <v>98009059.78999999</v>
      </c>
      <c r="CM206" s="159" t="n">
        <f aca="false" ca="false" dt2D="false" dtr="false" t="normal">CM207+CM380</f>
        <v>24461049.949</v>
      </c>
      <c r="CN206" s="159" t="n">
        <f aca="false" ca="false" dt2D="false" dtr="false" t="normal">CN207+CN380</f>
        <v>0</v>
      </c>
      <c r="CO206" s="159" t="n">
        <f aca="false" ca="false" dt2D="false" dtr="false" t="normal">CO207+CO380</f>
        <v>1515829.2</v>
      </c>
      <c r="CP206" s="159" t="n">
        <f aca="false" ca="false" dt2D="false" dtr="false" t="normal">CP207+CP380</f>
        <v>70747186.21000001</v>
      </c>
      <c r="CQ206" s="159" t="n">
        <f aca="false" ca="false" dt2D="false" dtr="false" t="normal">CQ207+CQ380</f>
        <v>493044101.23502535</v>
      </c>
      <c r="CR206" s="159" t="n">
        <f aca="false" ca="false" dt2D="false" dtr="false" t="normal">CR207+CR380</f>
        <v>55019781.86</v>
      </c>
      <c r="CS206" s="159" t="n">
        <f aca="false" ca="false" dt2D="false" dtr="false" t="normal">CS207+CS380</f>
        <v>632269454.81</v>
      </c>
      <c r="CT206" s="159" t="n">
        <f aca="false" ca="false" dt2D="false" dtr="false" t="normal">CT207+CT380</f>
        <v>326730280.55999994</v>
      </c>
      <c r="CU206" s="159" t="n">
        <f aca="false" ca="false" dt2D="false" dtr="false" t="normal">CU207+CU380</f>
        <v>26416260.585307483</v>
      </c>
      <c r="CV206" s="159" t="n">
        <f aca="false" ca="false" dt2D="false" dtr="false" t="normal">CV207+CV380</f>
        <v>1673742.33</v>
      </c>
      <c r="CW206" s="159" t="n">
        <f aca="false" ca="false" dt2D="false" dtr="false" t="normal">CW207+CW380</f>
        <v>133430106.31484818</v>
      </c>
      <c r="CZ206" s="157" t="n">
        <v>2023</v>
      </c>
      <c r="DA206" s="160" t="n">
        <f aca="false" ca="false" dt2D="false" dtr="false" t="normal">DA207+DA380</f>
        <v>2357254214.9046297</v>
      </c>
      <c r="DB206" s="159" t="n">
        <f aca="false" ca="false" dt2D="false" dtr="false" t="normal">DB207+DB380</f>
        <v>370237572.12199986</v>
      </c>
      <c r="DC206" s="159" t="n">
        <f aca="false" ca="false" dt2D="false" dtr="false" t="normal">DC207+DC380</f>
        <v>95469739.89000002</v>
      </c>
      <c r="DD206" s="159" t="n">
        <f aca="false" ca="false" dt2D="false" dtr="false" t="normal">DD207+DD380</f>
        <v>156384312.5</v>
      </c>
      <c r="DE206" s="159" t="n">
        <f aca="false" ca="false" dt2D="false" dtr="false" t="normal">DE207+DE380</f>
        <v>98009059.78999999</v>
      </c>
      <c r="DF206" s="159" t="n">
        <f aca="false" ca="false" dt2D="false" dtr="false" t="normal">DF207+DF380</f>
        <v>24461049.949</v>
      </c>
      <c r="DG206" s="159" t="n">
        <f aca="false" ca="false" dt2D="false" dtr="false" t="normal">DG207+DG380</f>
        <v>0</v>
      </c>
      <c r="DH206" s="159" t="n">
        <f aca="false" ca="false" dt2D="false" dtr="false" t="normal">DH207+DH380</f>
        <v>1515829.2</v>
      </c>
      <c r="DI206" s="159" t="n">
        <f aca="false" ca="false" dt2D="false" dtr="false" t="normal">DI207+DI380</f>
        <v>70747186.21000001</v>
      </c>
      <c r="DJ206" s="159" t="n">
        <f aca="false" ca="false" dt2D="false" dtr="false" t="normal">DJ207+DJ380</f>
        <v>493044101.23502535</v>
      </c>
      <c r="DK206" s="159" t="n">
        <f aca="false" ca="false" dt2D="false" dtr="false" t="normal">DK207+DK380</f>
        <v>55019781.86</v>
      </c>
      <c r="DL206" s="159" t="n">
        <f aca="false" ca="false" dt2D="false" dtr="false" t="normal">DL207+DL380</f>
        <v>632269454.81</v>
      </c>
      <c r="DM206" s="159" t="n">
        <f aca="false" ca="false" dt2D="false" dtr="false" t="normal">DM207+DM380</f>
        <v>326730280.55999994</v>
      </c>
      <c r="DN206" s="159" t="n">
        <f aca="false" ca="false" dt2D="false" dtr="false" t="normal">DN207+DN380</f>
        <v>26416260.585307483</v>
      </c>
      <c r="DO206" s="159" t="n">
        <f aca="false" ca="false" dt2D="false" dtr="false" t="normal">DO207+DO380</f>
        <v>1673742.33</v>
      </c>
      <c r="DP206" s="159" t="n">
        <f aca="false" ca="false" dt2D="false" dtr="false" t="normal">DP207+DP380</f>
        <v>5275843.863296885</v>
      </c>
      <c r="DQ206" s="3" t="n"/>
      <c r="DS206" s="9" t="n"/>
    </row>
    <row customFormat="true" hidden="false" ht="15" outlineLevel="0" r="207" s="149">
      <c r="A207" s="161" t="n"/>
      <c r="B207" s="161" t="n"/>
      <c r="C207" s="162" t="n"/>
      <c r="D207" s="163" t="s">
        <v>304</v>
      </c>
      <c r="E207" s="164" t="n"/>
      <c r="F207" s="164" t="n"/>
      <c r="G207" s="164" t="n"/>
      <c r="H207" s="164" t="n"/>
      <c r="I207" s="164" t="n"/>
      <c r="J207" s="165" t="n">
        <f aca="false" ca="false" dt2D="false" dtr="false" t="normal">SUM(J208:J379)</f>
        <v>656540.6699999999</v>
      </c>
      <c r="K207" s="165" t="n">
        <f aca="false" ca="false" dt2D="false" dtr="false" t="normal">SUM(K208:K379)</f>
        <v>543160.25</v>
      </c>
      <c r="L207" s="165" t="n">
        <f aca="false" ca="false" dt2D="false" dtr="false" t="normal">SUM(L208:L379)</f>
        <v>34751.310000000005</v>
      </c>
      <c r="M207" s="165" t="n">
        <f aca="false" ca="false" dt2D="false" dtr="false" t="normal">SUM(M208:M379)</f>
        <v>23397</v>
      </c>
      <c r="N207" s="166" t="n">
        <f aca="false" ca="false" dt2D="false" dtr="false" t="normal">SUM(P207:T207)</f>
        <v>1588780850.7326298</v>
      </c>
      <c r="O207" s="167" t="n">
        <v>0</v>
      </c>
      <c r="P207" s="167" t="n">
        <f aca="false" ca="false" dt2D="false" dtr="false" t="normal">SUM(P208:P379)</f>
        <v>442625761.60067046</v>
      </c>
      <c r="Q207" s="167" t="n">
        <f aca="false" ca="false" dt2D="false" dtr="false" t="normal">SUM(Q208:Q379)</f>
        <v>4063638.64</v>
      </c>
      <c r="R207" s="167" t="n">
        <f aca="false" ca="false" dt2D="false" dtr="false" t="normal">SUM(R208:R379)</f>
        <v>262012132.4560914</v>
      </c>
      <c r="S207" s="167" t="n">
        <f aca="false" ca="false" dt2D="false" dtr="false" t="normal">SUM(S208:S379)</f>
        <v>826642119.9692237</v>
      </c>
      <c r="T207" s="168" t="n">
        <f aca="false" ca="false" dt2D="false" dtr="false" t="normal">SUM(T208:T379)</f>
        <v>53437198.06664423</v>
      </c>
      <c r="U207" s="169" t="n"/>
      <c r="V207" s="169" t="n"/>
      <c r="W207" s="170" t="n"/>
      <c r="X207" s="171" t="n"/>
      <c r="Z207" s="172" t="n"/>
      <c r="AA207" s="171" t="n"/>
      <c r="AB207" s="171" t="n"/>
      <c r="AC207" s="171" t="n"/>
      <c r="AD207" s="171" t="n"/>
      <c r="AE207" s="171" t="n"/>
      <c r="AF207" s="171" t="n"/>
      <c r="AG207" s="171" t="n"/>
      <c r="AH207" s="171" t="n"/>
      <c r="AI207" s="171" t="n"/>
      <c r="AJ207" s="171" t="n"/>
      <c r="AK207" s="171" t="n"/>
      <c r="AL207" s="171" t="n"/>
      <c r="AM207" s="171" t="n"/>
      <c r="AN207" s="173" t="n"/>
      <c r="AO207" s="173" t="n"/>
      <c r="AP207" s="174" t="n">
        <f aca="false" ca="false" dt2D="false" dtr="false" t="normal">+N207-'Приложение №2'!E207</f>
        <v>0</v>
      </c>
      <c r="AR207" s="175" t="n"/>
      <c r="AS207" s="175" t="n"/>
      <c r="AT207" s="171" t="n">
        <f aca="false" ca="false" dt2D="false" dtr="false" t="normal">+P207+Q207+R207+S207+T207-'Приложение №2'!E207</f>
        <v>0</v>
      </c>
      <c r="AW207" s="176" t="n">
        <f aca="false" ca="false" dt2D="false" dtr="false" t="normal">SUM(AX207:BL207)</f>
        <v>2934635444.3719854</v>
      </c>
      <c r="AX207" s="152" t="n">
        <f aca="false" ca="false" dt2D="false" dtr="false" t="normal">SUM(AX208:AX376)</f>
        <v>467684436.891952</v>
      </c>
      <c r="AY207" s="152" t="n">
        <f aca="false" ca="false" dt2D="false" dtr="false" t="normal">SUM(AY208:AY376)</f>
        <v>153800288.2409304</v>
      </c>
      <c r="AZ207" s="152" t="n">
        <f aca="false" ca="false" dt2D="false" dtr="false" t="normal">SUM(AZ208:AZ376)</f>
        <v>222921858.38291654</v>
      </c>
      <c r="BA207" s="152" t="n">
        <f aca="false" ca="false" dt2D="false" dtr="false" t="normal">SUM(BA208:BA376)</f>
        <v>135016701.04765344</v>
      </c>
      <c r="BB207" s="152" t="n">
        <f aca="false" ca="false" dt2D="false" dtr="false" t="normal">SUM(BB208:BB376)</f>
        <v>22814777.362083185</v>
      </c>
      <c r="BC207" s="152" t="n">
        <f aca="false" ca="false" dt2D="false" dtr="false" t="normal">SUM(BC208:BC376)</f>
        <v>0</v>
      </c>
      <c r="BD207" s="152" t="n">
        <f aca="false" ca="false" dt2D="false" dtr="false" t="normal">SUM(BD208:BD376)</f>
        <v>14721472.67348414</v>
      </c>
      <c r="BE207" s="152" t="n">
        <f aca="false" ca="false" dt2D="false" dtr="false" t="normal">SUM(BE208:BE376)</f>
        <v>55387763.957508564</v>
      </c>
      <c r="BF207" s="152" t="n">
        <f aca="false" ca="false" dt2D="false" dtr="false" t="normal">SUM(BF208:BF376)</f>
        <v>634674495.9810932</v>
      </c>
      <c r="BG207" s="152" t="n">
        <f aca="false" ca="false" dt2D="false" dtr="false" t="normal">SUM(BG208:BG376)</f>
        <v>34044696.739999995</v>
      </c>
      <c r="BH207" s="152" t="n">
        <f aca="false" ca="false" dt2D="false" dtr="false" t="normal">SUM(BH208:BH376)</f>
        <v>575913624.9383643</v>
      </c>
      <c r="BI207" s="152" t="n">
        <f aca="false" ca="false" dt2D="false" dtr="false" t="normal">SUM(BI208:BI376)</f>
        <v>461045314.0258266</v>
      </c>
      <c r="BJ207" s="152" t="n">
        <f aca="false" ca="false" dt2D="false" dtr="false" t="normal">SUM(BJ208:BJ376)</f>
        <v>66317150.55156619</v>
      </c>
      <c r="BK207" s="152" t="n">
        <f aca="false" ca="false" dt2D="false" dtr="false" t="normal">SUM(BK208:BK376)</f>
        <v>5808162.78978114</v>
      </c>
      <c r="BL207" s="177" t="n">
        <f aca="false" ca="false" dt2D="false" dtr="false" t="normal">SUM(BL208:BL376)</f>
        <v>84484700.78882621</v>
      </c>
      <c r="BM207" s="178" t="n">
        <f aca="false" ca="false" dt2D="false" dtr="false" t="normal">SUM(BN207:CB207)</f>
        <v>2585857521.780474</v>
      </c>
      <c r="BN207" s="152" t="n">
        <f aca="false" ca="false" dt2D="false" dtr="false" t="normal">SUM(BN208:BN376)</f>
        <v>408171731.5457869</v>
      </c>
      <c r="BO207" s="152" t="n">
        <f aca="false" ca="false" dt2D="false" dtr="false" t="normal">SUM(BO208:BO376)</f>
        <v>131793571.28521027</v>
      </c>
      <c r="BP207" s="152" t="n">
        <f aca="false" ca="false" dt2D="false" dtr="false" t="normal">SUM(BP208:BP376)</f>
        <v>190957041.03607842</v>
      </c>
      <c r="BQ207" s="152" t="n">
        <f aca="false" ca="false" dt2D="false" dtr="false" t="normal">SUM(BQ208:BQ376)</f>
        <v>123740709.05200832</v>
      </c>
      <c r="BR207" s="152" t="n">
        <f aca="false" ca="false" dt2D="false" dtr="false" t="normal">SUM(BR208:BR376)</f>
        <v>22599021.72208318</v>
      </c>
      <c r="BS207" s="152" t="n">
        <f aca="false" ca="false" dt2D="false" dtr="false" t="normal">SUM(BS208:BS376)</f>
        <v>0</v>
      </c>
      <c r="BT207" s="152" t="n">
        <f aca="false" ca="false" dt2D="false" dtr="false" t="normal">SUM(BT208:BT376)</f>
        <v>14834126.47441922</v>
      </c>
      <c r="BU207" s="152" t="n">
        <f aca="false" ca="false" dt2D="false" dtr="false" t="normal">SUM(BU208:BU376)</f>
        <v>55387763.957508564</v>
      </c>
      <c r="BV207" s="152" t="n">
        <f aca="false" ca="false" dt2D="false" dtr="false" t="normal">SUM(BV208:BV376)</f>
        <v>503614667.1439209</v>
      </c>
      <c r="BW207" s="152" t="n">
        <f aca="false" ca="false" dt2D="false" dtr="false" t="normal">SUM(BW208:BW376)</f>
        <v>33477025.279999997</v>
      </c>
      <c r="BX207" s="152" t="n">
        <f aca="false" ca="false" dt2D="false" dtr="false" t="normal">SUM(BX208:BX376)</f>
        <v>539965639.637809</v>
      </c>
      <c r="BY207" s="152" t="n">
        <f aca="false" ca="false" dt2D="false" dtr="false" t="normal">SUM(BY208:BY376)</f>
        <v>404533981.4954764</v>
      </c>
      <c r="BZ207" s="152" t="n">
        <f aca="false" ca="false" dt2D="false" dtr="false" t="normal">SUM(BZ208:BZ376)</f>
        <v>66489379.571566194</v>
      </c>
      <c r="CA207" s="152" t="n">
        <f aca="false" ca="false" dt2D="false" dtr="false" t="normal">SUM(CA208:CA376)</f>
        <v>5808162.78978114</v>
      </c>
      <c r="CB207" s="152" t="n">
        <f aca="false" ca="false" dt2D="false" dtr="false" t="normal">SUM(CB208:CB376)</f>
        <v>84484700.78882621</v>
      </c>
      <c r="CC207" s="1" t="n"/>
      <c r="CD207" s="179" t="n"/>
      <c r="CE207" s="179" t="n"/>
      <c r="CF207" s="180" t="n"/>
      <c r="CG207" s="163" t="s">
        <v>304</v>
      </c>
      <c r="CH207" s="181" t="n">
        <f aca="false" ca="false" dt2D="false" dtr="false" t="normal">SUM(CI207:CW207)</f>
        <v>1669740958.02284</v>
      </c>
      <c r="CI207" s="165" t="n">
        <f aca="false" ca="false" dt2D="false" dtr="false" t="normal">SUM(CI208:CI379)</f>
        <v>225812151.79999986</v>
      </c>
      <c r="CJ207" s="165" t="n">
        <f aca="false" ca="false" dt2D="false" dtr="false" t="normal">SUM(CJ208:CJ379)</f>
        <v>53247479.42</v>
      </c>
      <c r="CK207" s="165" t="n">
        <f aca="false" ca="false" dt2D="false" dtr="false" t="normal">SUM(CK208:CK379)</f>
        <v>130878867.69000001</v>
      </c>
      <c r="CL207" s="165" t="n">
        <f aca="false" ca="false" dt2D="false" dtr="false" t="normal">SUM(CL208:CL379)</f>
        <v>75359890.47999999</v>
      </c>
      <c r="CM207" s="165" t="n">
        <f aca="false" ca="false" dt2D="false" dtr="false" t="normal">SUM(CM208:CM379)</f>
        <v>18927579.639</v>
      </c>
      <c r="CN207" s="165" t="n">
        <f aca="false" ca="false" dt2D="false" dtr="false" t="normal">SUM(CN208:CN376)</f>
        <v>0</v>
      </c>
      <c r="CO207" s="165" t="n">
        <f aca="false" ca="false" dt2D="false" dtr="false" t="normal">SUM(CO208:CO379)</f>
        <v>0</v>
      </c>
      <c r="CP207" s="165" t="n">
        <f aca="false" ca="false" dt2D="false" dtr="false" t="normal">SUM(CP208:CP379)</f>
        <v>53772127.82</v>
      </c>
      <c r="CQ207" s="165" t="n">
        <f aca="false" ca="false" dt2D="false" dtr="false" t="normal">SUM(CQ208:CQ379)</f>
        <v>443523458.33502537</v>
      </c>
      <c r="CR207" s="165" t="n">
        <f aca="false" ca="false" dt2D="false" dtr="false" t="normal">SUM(CR208:CR379)</f>
        <v>34761605.88</v>
      </c>
      <c r="CS207" s="165" t="n">
        <f aca="false" ca="false" dt2D="false" dtr="false" t="normal">SUM(CS208:CS379)</f>
        <v>268646577.95</v>
      </c>
      <c r="CT207" s="165" t="n">
        <f aca="false" ca="false" dt2D="false" dtr="false" t="normal">SUM(CT208:CT379)</f>
        <v>259457726.89999995</v>
      </c>
      <c r="CU207" s="165" t="n">
        <f aca="false" ca="false" dt2D="false" dtr="false" t="normal">SUM(CU208:CU379)</f>
        <v>19512709.595307484</v>
      </c>
      <c r="CV207" s="165" t="n">
        <f aca="false" ca="false" dt2D="false" dtr="false" t="normal">SUM(CV208:CV379)</f>
        <v>1071227.73</v>
      </c>
      <c r="CW207" s="165" t="n">
        <f aca="false" ca="false" dt2D="false" dtr="false" t="normal">SUM(CW208:CW379)</f>
        <v>84769554.78350747</v>
      </c>
      <c r="CX207" s="1" t="n"/>
      <c r="CY207" s="1" t="n"/>
      <c r="CZ207" s="163" t="s">
        <v>304</v>
      </c>
      <c r="DA207" s="182" t="n">
        <f aca="false" ca="false" dt2D="false" dtr="false" t="normal">SUM(DB207:DP207)</f>
        <v>1588780850.7326295</v>
      </c>
      <c r="DB207" s="165" t="n">
        <f aca="false" ca="false" dt2D="false" dtr="false" t="normal">SUM(DB208:DB379)</f>
        <v>225812151.79999986</v>
      </c>
      <c r="DC207" s="165" t="n">
        <f aca="false" ca="false" dt2D="false" dtr="false" t="normal">SUM(DC208:DC379)</f>
        <v>53247479.42</v>
      </c>
      <c r="DD207" s="165" t="n">
        <f aca="false" ca="false" dt2D="false" dtr="false" t="normal">SUM(DD208:DD379)</f>
        <v>130878867.69000001</v>
      </c>
      <c r="DE207" s="165" t="n">
        <f aca="false" ca="false" dt2D="false" dtr="false" t="normal">SUM(DE208:DE379)</f>
        <v>75359890.47999999</v>
      </c>
      <c r="DF207" s="165" t="n">
        <f aca="false" ca="false" dt2D="false" dtr="false" t="normal">SUM(DF208:DF379)</f>
        <v>18927579.639</v>
      </c>
      <c r="DG207" s="165" t="n">
        <f aca="false" ca="false" dt2D="false" dtr="false" t="normal">SUM(DG208:DG376)</f>
        <v>0</v>
      </c>
      <c r="DH207" s="165" t="n">
        <f aca="false" ca="false" dt2D="false" dtr="false" t="normal">SUM(DH208:DH379)</f>
        <v>0</v>
      </c>
      <c r="DI207" s="165" t="n">
        <f aca="false" ca="false" dt2D="false" dtr="false" t="normal">SUM(DI208:DI379)</f>
        <v>53772127.82</v>
      </c>
      <c r="DJ207" s="165" t="n">
        <f aca="false" ca="false" dt2D="false" dtr="false" t="normal">SUM(DJ208:DJ379)</f>
        <v>443523458.33502537</v>
      </c>
      <c r="DK207" s="165" t="n">
        <f aca="false" ca="false" dt2D="false" dtr="false" t="normal">SUM(DK208:DK379)</f>
        <v>34761605.88</v>
      </c>
      <c r="DL207" s="165" t="n">
        <f aca="false" ca="false" dt2D="false" dtr="false" t="normal">SUM(DL208:DL379)</f>
        <v>268646577.95</v>
      </c>
      <c r="DM207" s="165" t="n">
        <f aca="false" ca="false" dt2D="false" dtr="false" t="normal">SUM(DM208:DM379)</f>
        <v>259457726.89999995</v>
      </c>
      <c r="DN207" s="165" t="n">
        <f aca="false" ca="false" dt2D="false" dtr="false" t="normal">SUM(DN208:DN379)</f>
        <v>19512709.595307484</v>
      </c>
      <c r="DO207" s="165" t="n">
        <f aca="false" ca="false" dt2D="false" dtr="false" t="normal">SUM(DO208:DO379)</f>
        <v>1071227.73</v>
      </c>
      <c r="DP207" s="165" t="n">
        <f aca="false" ca="false" dt2D="false" dtr="false" t="normal">SUM(DP208:DP379)</f>
        <v>3809447.493296885</v>
      </c>
      <c r="DQ207" s="3" t="n"/>
      <c r="DR207" s="1" t="n"/>
      <c r="DS207" s="9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</row>
    <row hidden="false" ht="15" outlineLevel="0" r="208">
      <c r="A208" s="183" t="n">
        <f aca="false" ca="false" dt2D="false" dtr="false" t="normal">+A205+1</f>
        <v>189</v>
      </c>
      <c r="B208" s="184" t="n">
        <v>1</v>
      </c>
      <c r="C208" s="117" t="s">
        <v>305</v>
      </c>
      <c r="D208" s="117" t="s">
        <v>306</v>
      </c>
      <c r="E208" s="105" t="n">
        <v>1993</v>
      </c>
      <c r="F208" s="105" t="n">
        <v>2013</v>
      </c>
      <c r="G208" s="105" t="s">
        <v>68</v>
      </c>
      <c r="H208" s="105" t="n">
        <v>9</v>
      </c>
      <c r="I208" s="105" t="n">
        <v>1</v>
      </c>
      <c r="J208" s="106" t="n">
        <v>4027.7</v>
      </c>
      <c r="K208" s="106" t="n">
        <v>2671.9</v>
      </c>
      <c r="L208" s="106" t="n">
        <v>0</v>
      </c>
      <c r="M208" s="107" t="n">
        <v>88</v>
      </c>
      <c r="N208" s="108" t="n">
        <f aca="false" ca="false" dt2D="false" dtr="false" t="normal">SUM(P208:T208)</f>
        <v>5403128.5</v>
      </c>
      <c r="O208" s="114" t="n"/>
      <c r="P208" s="114" t="n">
        <v>951459.540000001</v>
      </c>
      <c r="Q208" s="114" t="n"/>
      <c r="R208" s="114" t="n">
        <v>1171287.68</v>
      </c>
      <c r="S208" s="114" t="n">
        <v>3280381.28</v>
      </c>
      <c r="T208" s="114" t="n">
        <v>0</v>
      </c>
      <c r="U208" s="114" t="n">
        <v>2058.63897753802</v>
      </c>
      <c r="V208" s="114" t="n">
        <v>1174.283020064</v>
      </c>
      <c r="W208" s="185" t="n">
        <v>2023</v>
      </c>
      <c r="X208" s="9" t="e">
        <f aca="false" ca="false" dt2D="false" dtr="false" t="normal">+#REF!-'[9]Приложение №1'!$P358</f>
        <v>#REF!</v>
      </c>
      <c r="Z208" s="113" t="n">
        <f aca="false" ca="false" dt2D="false" dtr="false" t="normal">SUM(AA208:AO208)</f>
        <v>5182418.487916802</v>
      </c>
      <c r="AA208" s="106" t="n">
        <v>0</v>
      </c>
      <c r="AB208" s="106" t="n">
        <v>0</v>
      </c>
      <c r="AC208" s="106" t="n">
        <v>0</v>
      </c>
      <c r="AD208" s="106" t="n">
        <v>0</v>
      </c>
      <c r="AE208" s="106" t="n">
        <v>0</v>
      </c>
      <c r="AF208" s="106" t="n"/>
      <c r="AG208" s="106" t="n">
        <v>0</v>
      </c>
      <c r="AH208" s="106" t="n">
        <v>0</v>
      </c>
      <c r="AI208" s="106" t="n">
        <v>0</v>
      </c>
      <c r="AJ208" s="106" t="n">
        <v>4513648.11172509</v>
      </c>
      <c r="AK208" s="106" t="n">
        <v>0</v>
      </c>
      <c r="AL208" s="106" t="n">
        <v>0</v>
      </c>
      <c r="AM208" s="106" t="n">
        <v>518241.84879168</v>
      </c>
      <c r="AN208" s="114" t="n">
        <v>51824.184879168</v>
      </c>
      <c r="AO208" s="115" t="n">
        <v>98704.3425208634</v>
      </c>
      <c r="AP208" s="112" t="n">
        <f aca="false" ca="false" dt2D="false" dtr="false" t="normal">+N208-'Приложение №2'!E208</f>
        <v>0</v>
      </c>
      <c r="AQ208" s="1" t="n">
        <f aca="false" ca="false" dt2D="false" dtr="false" t="normal">1985654.28-830510.88</f>
        <v>1155143.4</v>
      </c>
      <c r="AR208" s="3" t="n">
        <f aca="false" ca="false" dt2D="false" dtr="false" t="normal">+(K208*13.95+L208*23.65)*12*0.85</f>
        <v>380184.65099999995</v>
      </c>
      <c r="AS208" s="3" t="n">
        <f aca="false" ca="false" dt2D="false" dtr="false" t="normal">+(K208*13.95+L208*23.65)*12*30-2624808.09</f>
        <v>10793473.709999999</v>
      </c>
      <c r="AT208" s="9" t="n">
        <f aca="false" ca="false" dt2D="false" dtr="false" t="normal">+S208-AS208</f>
        <v>-7513092.43</v>
      </c>
      <c r="AU208" s="9" t="e">
        <f aca="false" ca="false" dt2D="false" dtr="false" t="normal">+P208-'[5]Приложение №1'!$P461</f>
        <v>#REF!</v>
      </c>
      <c r="AV208" s="9" t="e">
        <f aca="false" ca="false" dt2D="false" dtr="false" t="normal">+Q208-'[5]Приложение №1'!$Q461</f>
        <v>#REF!</v>
      </c>
      <c r="AW208" s="186" t="n">
        <f aca="false" ca="true" dt2D="false" dtr="false" t="normal">SUBTOTAL(9, AX208:BL208)</f>
        <v>5500477.484083827</v>
      </c>
      <c r="AX208" s="106" t="n">
        <v>0</v>
      </c>
      <c r="AY208" s="106" t="n">
        <v>0</v>
      </c>
      <c r="AZ208" s="106" t="n">
        <v>0</v>
      </c>
      <c r="BA208" s="106" t="n">
        <v>0</v>
      </c>
      <c r="BB208" s="106" t="n">
        <v>0</v>
      </c>
      <c r="BC208" s="106" t="n"/>
      <c r="BD208" s="106" t="n"/>
      <c r="BE208" s="106" t="n">
        <v>0</v>
      </c>
      <c r="BF208" s="106" t="n"/>
      <c r="BG208" s="106" t="n">
        <v>5403128.5</v>
      </c>
      <c r="BH208" s="106" t="n">
        <v>0</v>
      </c>
      <c r="BI208" s="106" t="n">
        <v>0</v>
      </c>
      <c r="BJ208" s="106" t="n"/>
      <c r="BK208" s="114" t="n"/>
      <c r="BL208" s="187" t="n">
        <v>97348.9840838267</v>
      </c>
      <c r="BM208" s="186" t="n">
        <f aca="false" ca="true" dt2D="false" dtr="false" t="normal">SUBTOTAL(9, BN208:CB208)</f>
        <v>5500477.484083827</v>
      </c>
      <c r="BN208" s="106" t="n">
        <v>0</v>
      </c>
      <c r="BO208" s="106" t="n">
        <v>0</v>
      </c>
      <c r="BP208" s="106" t="n">
        <v>0</v>
      </c>
      <c r="BQ208" s="106" t="n">
        <v>0</v>
      </c>
      <c r="BR208" s="106" t="n">
        <v>0</v>
      </c>
      <c r="BS208" s="106" t="n"/>
      <c r="BT208" s="106" t="n"/>
      <c r="BU208" s="106" t="n">
        <v>0</v>
      </c>
      <c r="BV208" s="106" t="n"/>
      <c r="BW208" s="106" t="n">
        <v>5403128.5</v>
      </c>
      <c r="BX208" s="106" t="n">
        <v>0</v>
      </c>
      <c r="BY208" s="106" t="n">
        <v>0</v>
      </c>
      <c r="BZ208" s="106" t="n"/>
      <c r="CA208" s="114" t="n"/>
      <c r="CB208" s="115" t="n">
        <v>97348.9840838267</v>
      </c>
      <c r="CD208" s="116" t="n">
        <f aca="false" ca="false" dt2D="false" dtr="false" t="normal">+CD205+1</f>
        <v>189</v>
      </c>
      <c r="CE208" s="117" t="n">
        <v>1</v>
      </c>
      <c r="CF208" s="104" t="s">
        <v>305</v>
      </c>
      <c r="CG208" s="117" t="s">
        <v>306</v>
      </c>
      <c r="CH208" s="188" t="n">
        <f aca="false" ca="true" dt2D="false" dtr="false" t="normal">SUBTOTAL(9, CI208:CW208)</f>
        <v>5500477.484083827</v>
      </c>
      <c r="CI208" s="114" t="n">
        <v>0</v>
      </c>
      <c r="CJ208" s="114" t="n">
        <v>0</v>
      </c>
      <c r="CK208" s="114" t="n">
        <v>0</v>
      </c>
      <c r="CL208" s="114" t="n">
        <v>0</v>
      </c>
      <c r="CM208" s="114" t="n">
        <v>0</v>
      </c>
      <c r="CN208" s="114" t="n"/>
      <c r="CO208" s="114" t="n"/>
      <c r="CP208" s="114" t="n">
        <v>0</v>
      </c>
      <c r="CQ208" s="114" t="n"/>
      <c r="CR208" s="114" t="n">
        <v>5403128.5</v>
      </c>
      <c r="CS208" s="114" t="n">
        <v>0</v>
      </c>
      <c r="CT208" s="114" t="n">
        <v>0</v>
      </c>
      <c r="CU208" s="114" t="n"/>
      <c r="CV208" s="114" t="n"/>
      <c r="CW208" s="115" t="n">
        <v>97348.9840838267</v>
      </c>
      <c r="CZ208" s="117" t="s">
        <v>306</v>
      </c>
      <c r="DA208" s="189" t="n">
        <f aca="false" ca="true" dt2D="false" dtr="false" t="normal">SUBTOTAL(9, DB208:DP208)</f>
        <v>5403128.5</v>
      </c>
      <c r="DB208" s="114" t="n">
        <v>0</v>
      </c>
      <c r="DC208" s="114" t="n">
        <v>0</v>
      </c>
      <c r="DD208" s="114" t="n">
        <v>0</v>
      </c>
      <c r="DE208" s="114" t="n">
        <v>0</v>
      </c>
      <c r="DF208" s="114" t="n">
        <v>0</v>
      </c>
      <c r="DG208" s="114" t="n"/>
      <c r="DH208" s="114" t="n"/>
      <c r="DI208" s="114" t="n">
        <v>0</v>
      </c>
      <c r="DJ208" s="114" t="n"/>
      <c r="DK208" s="114" t="n">
        <v>5403128.5</v>
      </c>
      <c r="DL208" s="114" t="n">
        <v>0</v>
      </c>
      <c r="DM208" s="114" t="n">
        <v>0</v>
      </c>
      <c r="DN208" s="114" t="n"/>
      <c r="DO208" s="114" t="n"/>
      <c r="DP208" s="122" t="n"/>
      <c r="DQ208" s="3" t="n">
        <f aca="false" ca="false" dt2D="false" dtr="false" t="normal">N208-DA208</f>
        <v>0</v>
      </c>
      <c r="DS208" s="9" t="n"/>
    </row>
    <row hidden="false" ht="15" outlineLevel="0" r="209">
      <c r="A209" s="183" t="n">
        <v>190</v>
      </c>
      <c r="B209" s="184" t="n">
        <v>2</v>
      </c>
      <c r="C209" s="117" t="s">
        <v>305</v>
      </c>
      <c r="D209" s="117" t="s">
        <v>307</v>
      </c>
      <c r="E209" s="105" t="n">
        <v>1993</v>
      </c>
      <c r="F209" s="105" t="n">
        <v>2013</v>
      </c>
      <c r="G209" s="105" t="s">
        <v>68</v>
      </c>
      <c r="H209" s="105" t="n">
        <v>9</v>
      </c>
      <c r="I209" s="105" t="n">
        <v>1</v>
      </c>
      <c r="J209" s="106" t="n">
        <v>4065.2</v>
      </c>
      <c r="K209" s="106" t="n">
        <v>2714.9</v>
      </c>
      <c r="L209" s="106" t="n">
        <v>0</v>
      </c>
      <c r="M209" s="107" t="n">
        <v>97</v>
      </c>
      <c r="N209" s="108" t="n">
        <f aca="false" ca="false" dt2D="false" dtr="false" t="normal">SUM(P209:T209)</f>
        <v>5976346.289999999</v>
      </c>
      <c r="O209" s="114" t="n"/>
      <c r="P209" s="114" t="n">
        <v>1451368.66</v>
      </c>
      <c r="Q209" s="114" t="n"/>
      <c r="R209" s="114" t="n">
        <v>589325.33</v>
      </c>
      <c r="S209" s="114" t="n">
        <v>3935652.3</v>
      </c>
      <c r="T209" s="114" t="n">
        <v>0</v>
      </c>
      <c r="U209" s="114" t="n">
        <v>2372.28398686903</v>
      </c>
      <c r="V209" s="114" t="n">
        <v>1175.283020064</v>
      </c>
      <c r="W209" s="185" t="n">
        <v>2023</v>
      </c>
      <c r="X209" s="9" t="e">
        <f aca="false" ca="false" dt2D="false" dtr="false" t="normal">+#REF!-'[9]Приложение №1'!$P359</f>
        <v>#REF!</v>
      </c>
      <c r="Z209" s="113" t="n">
        <f aca="false" ca="false" dt2D="false" dtr="false" t="normal">SUM(AA209:AO209)</f>
        <v>7671098.762115611</v>
      </c>
      <c r="AA209" s="106" t="n">
        <v>0</v>
      </c>
      <c r="AB209" s="106" t="n">
        <v>0</v>
      </c>
      <c r="AC209" s="106" t="n">
        <v>0</v>
      </c>
      <c r="AD209" s="106" t="n">
        <v>0</v>
      </c>
      <c r="AE209" s="106" t="n">
        <v>0</v>
      </c>
      <c r="AF209" s="106" t="n"/>
      <c r="AG209" s="106" t="n">
        <v>0</v>
      </c>
      <c r="AH209" s="106" t="n">
        <v>0</v>
      </c>
      <c r="AI209" s="106" t="n">
        <v>0</v>
      </c>
      <c r="AJ209" s="106" t="n">
        <v>4524977.63339639</v>
      </c>
      <c r="AK209" s="106" t="n"/>
      <c r="AL209" s="106" t="n">
        <v>0</v>
      </c>
      <c r="AM209" s="106" t="n">
        <v>2437984.22943696</v>
      </c>
      <c r="AN209" s="114" t="n">
        <v>243798.422943696</v>
      </c>
      <c r="AO209" s="115" t="n">
        <v>464338.476338564</v>
      </c>
      <c r="AP209" s="112" t="n">
        <f aca="false" ca="false" dt2D="false" dtr="false" t="normal">+N209-'Приложение №2'!E209</f>
        <v>0</v>
      </c>
      <c r="AQ209" s="1" t="n">
        <f aca="false" ca="false" dt2D="false" dtr="false" t="normal">2036159.03-955818.8-238954.7-238954.7008</f>
        <v>602430.8292</v>
      </c>
      <c r="AR209" s="3" t="n">
        <f aca="false" ca="false" dt2D="false" dtr="false" t="normal">+(K209*13.95+L209*23.65)*12*0.85</f>
        <v>386303.1209999999</v>
      </c>
      <c r="AS209" s="3" t="n">
        <f aca="false" ca="false" dt2D="false" dtr="false" t="normal">+(K209*13.95+L209*23.65)*12*30-785411.714-946514.09-915077.42</f>
        <v>10987224.576</v>
      </c>
      <c r="AT209" s="9" t="n">
        <f aca="false" ca="false" dt2D="false" dtr="false" t="normal">+S209-AS209</f>
        <v>-7051572.276</v>
      </c>
      <c r="AU209" s="9" t="e">
        <f aca="false" ca="false" dt2D="false" dtr="false" t="normal">+P209-'[5]Приложение №1'!$P462</f>
        <v>#REF!</v>
      </c>
      <c r="AV209" s="9" t="e">
        <f aca="false" ca="false" dt2D="false" dtr="false" t="normal">+Q209-'[5]Приложение №1'!$Q462</f>
        <v>#REF!</v>
      </c>
      <c r="AW209" s="186" t="n">
        <f aca="false" ca="true" dt2D="false" dtr="false" t="normal">SUBTOTAL(9, AX209:BL209)</f>
        <v>6440513.795950722</v>
      </c>
      <c r="AX209" s="106" t="n">
        <v>0</v>
      </c>
      <c r="AY209" s="106" t="n">
        <v>0</v>
      </c>
      <c r="AZ209" s="106" t="n">
        <v>0</v>
      </c>
      <c r="BA209" s="106" t="n">
        <v>0</v>
      </c>
      <c r="BB209" s="106" t="n">
        <v>0</v>
      </c>
      <c r="BC209" s="106" t="n"/>
      <c r="BD209" s="106" t="n"/>
      <c r="BE209" s="106" t="n">
        <v>0</v>
      </c>
      <c r="BF209" s="106" t="n">
        <v>0</v>
      </c>
      <c r="BG209" s="106" t="n">
        <v>5976346.29</v>
      </c>
      <c r="BH209" s="106" t="n"/>
      <c r="BI209" s="106" t="n">
        <v>0</v>
      </c>
      <c r="BJ209" s="106" t="n"/>
      <c r="BK209" s="114" t="n"/>
      <c r="BL209" s="187" t="n">
        <v>464167.505950722</v>
      </c>
      <c r="BM209" s="186" t="n">
        <f aca="false" ca="true" dt2D="false" dtr="false" t="normal">SUBTOTAL(9, BN209:CB209)</f>
        <v>6440513.795950722</v>
      </c>
      <c r="BN209" s="106" t="n">
        <v>0</v>
      </c>
      <c r="BO209" s="106" t="n">
        <v>0</v>
      </c>
      <c r="BP209" s="106" t="n">
        <v>0</v>
      </c>
      <c r="BQ209" s="106" t="n">
        <v>0</v>
      </c>
      <c r="BR209" s="106" t="n">
        <v>0</v>
      </c>
      <c r="BS209" s="106" t="n"/>
      <c r="BT209" s="106" t="n"/>
      <c r="BU209" s="106" t="n">
        <v>0</v>
      </c>
      <c r="BV209" s="106" t="n">
        <v>0</v>
      </c>
      <c r="BW209" s="106" t="n">
        <v>5976346.29</v>
      </c>
      <c r="BX209" s="106" t="n"/>
      <c r="BY209" s="106" t="n">
        <v>0</v>
      </c>
      <c r="BZ209" s="106" t="n"/>
      <c r="CA209" s="114" t="n"/>
      <c r="CB209" s="115" t="n">
        <v>464167.505950722</v>
      </c>
      <c r="CD209" s="116" t="n">
        <f aca="false" ca="false" dt2D="false" dtr="false" t="normal">+CD208+1</f>
        <v>190</v>
      </c>
      <c r="CE209" s="117" t="n">
        <f aca="false" ca="false" dt2D="false" dtr="false" t="normal">+CE208+1</f>
        <v>2</v>
      </c>
      <c r="CF209" s="104" t="s">
        <v>305</v>
      </c>
      <c r="CG209" s="117" t="s">
        <v>307</v>
      </c>
      <c r="CH209" s="188" t="n">
        <f aca="false" ca="true" dt2D="false" dtr="false" t="normal">SUBTOTAL(9, CI209:CW209)</f>
        <v>6440513.795950722</v>
      </c>
      <c r="CI209" s="114" t="n">
        <v>0</v>
      </c>
      <c r="CJ209" s="114" t="n">
        <v>0</v>
      </c>
      <c r="CK209" s="114" t="n">
        <v>0</v>
      </c>
      <c r="CL209" s="114" t="n">
        <v>0</v>
      </c>
      <c r="CM209" s="114" t="n">
        <v>0</v>
      </c>
      <c r="CN209" s="114" t="n"/>
      <c r="CO209" s="114" t="n"/>
      <c r="CP209" s="114" t="n">
        <v>0</v>
      </c>
      <c r="CQ209" s="114" t="n">
        <v>0</v>
      </c>
      <c r="CR209" s="114" t="n">
        <v>5976346.29</v>
      </c>
      <c r="CS209" s="114" t="n"/>
      <c r="CT209" s="114" t="n">
        <v>0</v>
      </c>
      <c r="CU209" s="114" t="n"/>
      <c r="CV209" s="114" t="n"/>
      <c r="CW209" s="115" t="n">
        <v>464167.505950722</v>
      </c>
      <c r="CZ209" s="117" t="s">
        <v>307</v>
      </c>
      <c r="DA209" s="189" t="n">
        <f aca="false" ca="true" dt2D="false" dtr="false" t="normal">SUBTOTAL(9, DB209:DP209)</f>
        <v>5976346.29</v>
      </c>
      <c r="DB209" s="114" t="n">
        <v>0</v>
      </c>
      <c r="DC209" s="114" t="n">
        <v>0</v>
      </c>
      <c r="DD209" s="114" t="n">
        <v>0</v>
      </c>
      <c r="DE209" s="114" t="n">
        <v>0</v>
      </c>
      <c r="DF209" s="114" t="n">
        <v>0</v>
      </c>
      <c r="DG209" s="114" t="n"/>
      <c r="DH209" s="114" t="n"/>
      <c r="DI209" s="114" t="n">
        <v>0</v>
      </c>
      <c r="DJ209" s="114" t="n">
        <v>0</v>
      </c>
      <c r="DK209" s="114" t="n">
        <v>5976346.29</v>
      </c>
      <c r="DL209" s="114" t="n"/>
      <c r="DM209" s="114" t="n">
        <v>0</v>
      </c>
      <c r="DN209" s="114" t="n"/>
      <c r="DO209" s="114" t="n"/>
      <c r="DP209" s="122" t="n"/>
      <c r="DQ209" s="3" t="n">
        <f aca="false" ca="false" dt2D="false" dtr="false" t="normal">N209-DA209</f>
        <v>0</v>
      </c>
      <c r="DS209" s="9" t="n"/>
    </row>
    <row hidden="false" ht="15" outlineLevel="0" r="210">
      <c r="A210" s="183" t="n">
        <v>191</v>
      </c>
      <c r="B210" s="184" t="n">
        <v>3</v>
      </c>
      <c r="C210" s="104" t="s">
        <v>305</v>
      </c>
      <c r="D210" s="104" t="s">
        <v>308</v>
      </c>
      <c r="E210" s="105" t="n">
        <v>1997</v>
      </c>
      <c r="F210" s="105" t="n">
        <v>2013</v>
      </c>
      <c r="G210" s="105" t="s">
        <v>68</v>
      </c>
      <c r="H210" s="105" t="n">
        <v>3</v>
      </c>
      <c r="I210" s="105" t="n">
        <v>3</v>
      </c>
      <c r="J210" s="106" t="n">
        <v>2554.7</v>
      </c>
      <c r="K210" s="106" t="n">
        <v>1158.4</v>
      </c>
      <c r="L210" s="106" t="n">
        <v>157.9</v>
      </c>
      <c r="M210" s="107" t="n">
        <v>40</v>
      </c>
      <c r="N210" s="108" t="n">
        <f aca="false" ca="false" dt2D="false" dtr="false" t="normal">SUM(P210:T210)</f>
        <v>442092.5</v>
      </c>
      <c r="O210" s="106" t="n"/>
      <c r="P210" s="106" t="n"/>
      <c r="Q210" s="106" t="n"/>
      <c r="R210" s="106" t="n">
        <v>442092.5</v>
      </c>
      <c r="S210" s="106" t="n"/>
      <c r="T210" s="106" t="n">
        <v>0</v>
      </c>
      <c r="U210" s="106" t="n">
        <v>9006.82940818962</v>
      </c>
      <c r="V210" s="106" t="n">
        <v>9006.82940818962</v>
      </c>
      <c r="W210" s="185" t="n">
        <v>2023</v>
      </c>
      <c r="X210" s="9" t="e">
        <f aca="false" ca="false" dt2D="false" dtr="false" t="normal">+#REF!-'[9]Приложение №1'!$P1469</f>
        <v>#REF!</v>
      </c>
      <c r="Z210" s="108" t="n">
        <f aca="false" ca="false" dt2D="false" dtr="false" t="normal">SUM(AA210:AO210)</f>
        <v>50522516.66999996</v>
      </c>
      <c r="AA210" s="106" t="n">
        <v>5373102.41241228</v>
      </c>
      <c r="AB210" s="106" t="n">
        <v>2799379.09841856</v>
      </c>
      <c r="AC210" s="106" t="n">
        <v>1158345.46972326</v>
      </c>
      <c r="AD210" s="106" t="n">
        <v>601928.63075688</v>
      </c>
      <c r="AE210" s="106" t="n">
        <v>0</v>
      </c>
      <c r="AF210" s="106" t="n"/>
      <c r="AG210" s="106" t="n">
        <v>439165.68767148</v>
      </c>
      <c r="AH210" s="106" t="n">
        <v>0</v>
      </c>
      <c r="AI210" s="106" t="n">
        <v>12048310.589364</v>
      </c>
      <c r="AJ210" s="106" t="n">
        <v>4856893.85457318</v>
      </c>
      <c r="AK210" s="106" t="n">
        <v>13999412.9497916</v>
      </c>
      <c r="AL210" s="106" t="n">
        <v>2997543.60403176</v>
      </c>
      <c r="AM210" s="106" t="n">
        <v>4775024.6969</v>
      </c>
      <c r="AN210" s="106" t="n">
        <v>505225.1667</v>
      </c>
      <c r="AO210" s="111" t="n">
        <v>968184.50965696</v>
      </c>
      <c r="AP210" s="112" t="n">
        <f aca="false" ca="false" dt2D="false" dtr="false" t="normal">+N210-'Приложение №2'!E210</f>
        <v>0</v>
      </c>
      <c r="AQ210" s="1" t="n">
        <v>739157.71</v>
      </c>
      <c r="AR210" s="3" t="n">
        <f aca="false" ca="false" dt2D="false" dtr="false" t="normal">+(K210*10+L210*20)*12*0.85</f>
        <v>150368.4</v>
      </c>
      <c r="AS210" s="3" t="n">
        <f aca="false" ca="false" dt2D="false" dtr="false" t="normal">+(K210*10+L210*20)*12*30</f>
        <v>5307120</v>
      </c>
      <c r="AT210" s="9" t="n">
        <f aca="false" ca="false" dt2D="false" dtr="false" t="normal">+S210-AS210</f>
        <v>-5307120</v>
      </c>
      <c r="AU210" s="9" t="e">
        <f aca="false" ca="false" dt2D="false" dtr="false" t="normal">+P210-'[5]Приложение №1'!$P209</f>
        <v>#REF!</v>
      </c>
      <c r="AV210" s="9" t="e">
        <f aca="false" ca="false" dt2D="false" dtr="false" t="normal">+Q210-'[5]Приложение №1'!$Q209</f>
        <v>#REF!</v>
      </c>
      <c r="AW210" s="113" t="n">
        <f aca="false" ca="true" dt2D="false" dtr="false" t="normal">SUBTOTAL(9, AX210:BL210)</f>
        <v>11855689.549999999</v>
      </c>
      <c r="AX210" s="106" t="n"/>
      <c r="AY210" s="106" t="n"/>
      <c r="AZ210" s="106" t="n">
        <v>647925.87</v>
      </c>
      <c r="BA210" s="106" t="n"/>
      <c r="BB210" s="106" t="n">
        <v>0</v>
      </c>
      <c r="BC210" s="106" t="n"/>
      <c r="BD210" s="106" t="n"/>
      <c r="BE210" s="106" t="n">
        <v>0</v>
      </c>
      <c r="BF210" s="106" t="n">
        <v>4272787.71</v>
      </c>
      <c r="BG210" s="106" t="n"/>
      <c r="BH210" s="106" t="n">
        <v>5939807.05</v>
      </c>
      <c r="BI210" s="106" t="n"/>
      <c r="BJ210" s="106" t="n"/>
      <c r="BK210" s="114" t="n"/>
      <c r="BL210" s="187" t="n">
        <v>995168.92</v>
      </c>
      <c r="BM210" s="113" t="n">
        <f aca="false" ca="true" dt2D="false" dtr="false" t="normal">SUBTOTAL(9, BN210:CB210)</f>
        <v>11855689.549999999</v>
      </c>
      <c r="BN210" s="106" t="n"/>
      <c r="BO210" s="106" t="n"/>
      <c r="BP210" s="106" t="n">
        <v>647925.87</v>
      </c>
      <c r="BQ210" s="106" t="n"/>
      <c r="BR210" s="106" t="n">
        <v>0</v>
      </c>
      <c r="BS210" s="106" t="n"/>
      <c r="BT210" s="106" t="n"/>
      <c r="BU210" s="106" t="n">
        <v>0</v>
      </c>
      <c r="BV210" s="106" t="n">
        <v>4272787.71</v>
      </c>
      <c r="BW210" s="106" t="n"/>
      <c r="BX210" s="106" t="n">
        <v>5939807.05</v>
      </c>
      <c r="BY210" s="106" t="n"/>
      <c r="BZ210" s="106" t="n"/>
      <c r="CA210" s="114" t="n"/>
      <c r="CB210" s="114" t="n">
        <v>995168.92</v>
      </c>
      <c r="CD210" s="116" t="n">
        <f aca="false" ca="false" dt2D="false" dtr="false" t="normal">+CD209+1</f>
        <v>191</v>
      </c>
      <c r="CE210" s="117" t="n">
        <f aca="false" ca="false" dt2D="false" dtr="false" t="normal">+CE209+1</f>
        <v>3</v>
      </c>
      <c r="CF210" s="104" t="s">
        <v>305</v>
      </c>
      <c r="CG210" s="117" t="s">
        <v>308</v>
      </c>
      <c r="CH210" s="118" t="n">
        <f aca="false" ca="true" dt2D="false" dtr="false" t="normal">SUBTOTAL(9, CI210:CW210)</f>
        <v>1437261.42</v>
      </c>
      <c r="CI210" s="114" t="n"/>
      <c r="CJ210" s="114" t="n"/>
      <c r="CK210" s="114" t="n">
        <v>442092.5</v>
      </c>
      <c r="CL210" s="114" t="n"/>
      <c r="CM210" s="114" t="n">
        <v>0</v>
      </c>
      <c r="CN210" s="114" t="n"/>
      <c r="CO210" s="114" t="n"/>
      <c r="CP210" s="114" t="n">
        <v>0</v>
      </c>
      <c r="CQ210" s="114" t="n"/>
      <c r="CR210" s="106" t="n"/>
      <c r="CS210" s="114" t="n"/>
      <c r="CT210" s="114" t="n"/>
      <c r="CU210" s="114" t="n"/>
      <c r="CV210" s="114" t="n"/>
      <c r="CW210" s="115" t="n">
        <v>995168.92</v>
      </c>
      <c r="CZ210" s="117" t="s">
        <v>308</v>
      </c>
      <c r="DA210" s="119" t="n">
        <f aca="false" ca="true" dt2D="false" dtr="false" t="normal">SUBTOTAL(9, DB210:DP210)</f>
        <v>442092.5</v>
      </c>
      <c r="DB210" s="114" t="n"/>
      <c r="DC210" s="114" t="n"/>
      <c r="DD210" s="114" t="n">
        <v>442092.5</v>
      </c>
      <c r="DE210" s="114" t="n"/>
      <c r="DF210" s="114" t="n">
        <v>0</v>
      </c>
      <c r="DG210" s="114" t="n"/>
      <c r="DH210" s="114" t="n"/>
      <c r="DI210" s="114" t="n">
        <v>0</v>
      </c>
      <c r="DJ210" s="114" t="n"/>
      <c r="DK210" s="106" t="n"/>
      <c r="DL210" s="114" t="n"/>
      <c r="DM210" s="114" t="n"/>
      <c r="DN210" s="114" t="n"/>
      <c r="DO210" s="114" t="n"/>
      <c r="DP210" s="122" t="n"/>
      <c r="DQ210" s="3" t="n">
        <f aca="false" ca="false" dt2D="false" dtr="false" t="normal">N210-DA210</f>
        <v>0</v>
      </c>
      <c r="DS210" s="9" t="n"/>
    </row>
    <row customFormat="true" hidden="false" ht="15" outlineLevel="0" r="211" s="129">
      <c r="A211" s="183" t="n">
        <f aca="false" ca="false" dt2D="false" dtr="false" t="normal">+A210+1</f>
        <v>192</v>
      </c>
      <c r="B211" s="184" t="n">
        <v>4</v>
      </c>
      <c r="C211" s="117" t="s">
        <v>66</v>
      </c>
      <c r="D211" s="117" t="s">
        <v>67</v>
      </c>
      <c r="E211" s="105" t="s">
        <v>309</v>
      </c>
      <c r="F211" s="105" t="n"/>
      <c r="G211" s="105" t="s">
        <v>68</v>
      </c>
      <c r="H211" s="105" t="s">
        <v>104</v>
      </c>
      <c r="I211" s="105" t="s">
        <v>188</v>
      </c>
      <c r="J211" s="106" t="n">
        <v>5474.4</v>
      </c>
      <c r="K211" s="106" t="n">
        <v>4591</v>
      </c>
      <c r="L211" s="106" t="n">
        <v>74.8</v>
      </c>
      <c r="M211" s="107" t="n">
        <v>142</v>
      </c>
      <c r="N211" s="108" t="n">
        <f aca="false" ca="false" dt2D="false" dtr="false" t="normal">SUM(P211:T211)</f>
        <v>4023991.38</v>
      </c>
      <c r="O211" s="114" t="n">
        <v>0</v>
      </c>
      <c r="P211" s="114" t="n">
        <v>3054635.8</v>
      </c>
      <c r="Q211" s="114" t="n">
        <v>0</v>
      </c>
      <c r="R211" s="114" t="n">
        <v>732511.620000001</v>
      </c>
      <c r="S211" s="114" t="n">
        <v>236843.959999999</v>
      </c>
      <c r="T211" s="190" t="n">
        <v>0</v>
      </c>
      <c r="U211" s="106" t="n">
        <v>1076.31151479542</v>
      </c>
      <c r="V211" s="106" t="n">
        <v>1076.31151479542</v>
      </c>
      <c r="W211" s="185" t="n">
        <v>2023</v>
      </c>
      <c r="X211" s="129" t="n">
        <v>1911755.57</v>
      </c>
      <c r="Y211" s="129" t="n">
        <f aca="false" ca="false" dt2D="false" dtr="false" t="normal">+(K211*9.1+L211*18.19)*12</f>
        <v>517664.544</v>
      </c>
      <c r="AA211" s="130" t="e">
        <f aca="false" ca="false" dt2D="false" dtr="false" t="normal">+N211-'[8]Приложение № 2'!E201</f>
        <v>#REF!</v>
      </c>
      <c r="AD211" s="130" t="e">
        <f aca="false" ca="false" dt2D="false" dtr="false" t="normal">+N211-'[8]Приложение № 2'!E201</f>
        <v>#REF!</v>
      </c>
      <c r="AP211" s="112" t="n">
        <f aca="false" ca="false" dt2D="false" dtr="false" t="normal">+N211-'Приложение №2'!E211</f>
        <v>0</v>
      </c>
      <c r="AQ211" s="132" t="n">
        <f aca="false" ca="false" dt2D="false" dtr="false" t="normal">2359832.72-R18</f>
        <v>-343147.54946667</v>
      </c>
      <c r="AR211" s="3" t="n">
        <f aca="false" ca="false" dt2D="false" dtr="false" t="normal">+(K211*10+L211*20)*12*0.85</f>
        <v>483541.2</v>
      </c>
      <c r="AS211" s="3" t="n">
        <f aca="false" ca="false" dt2D="false" dtr="false" t="normal">+(K211*10+L211*20)*12*30-S18</f>
        <v>-4053688.4800000004</v>
      </c>
      <c r="AT211" s="9" t="n">
        <f aca="false" ca="false" dt2D="false" dtr="false" t="normal">+S211-AS211</f>
        <v>4290532.4399999995</v>
      </c>
      <c r="AU211" s="9" t="e">
        <f aca="false" ca="false" dt2D="false" dtr="false" t="normal">+P211-'[5]Приложение №1'!$P211</f>
        <v>#REF!</v>
      </c>
      <c r="AV211" s="9" t="e">
        <f aca="false" ca="false" dt2D="false" dtr="false" t="normal">+Q211-'[5]Приложение №1'!$Q211</f>
        <v>#REF!</v>
      </c>
      <c r="AW211" s="113" t="n">
        <f aca="false" ca="true" dt2D="false" dtr="false" t="normal">SUBTOTAL(9, AX211:BL211)</f>
        <v>5021854.265732474</v>
      </c>
      <c r="AX211" s="106" t="n"/>
      <c r="AY211" s="106" t="n"/>
      <c r="AZ211" s="106" t="n">
        <v>3532583.68211828</v>
      </c>
      <c r="BA211" s="106" t="n">
        <v>0</v>
      </c>
      <c r="BB211" s="106" t="n">
        <v>0</v>
      </c>
      <c r="BC211" s="106" t="n"/>
      <c r="BD211" s="106" t="n">
        <v>0</v>
      </c>
      <c r="BE211" s="106" t="n">
        <v>0</v>
      </c>
      <c r="BF211" s="106" t="n">
        <v>0</v>
      </c>
      <c r="BG211" s="106" t="n">
        <v>0</v>
      </c>
      <c r="BH211" s="106" t="n"/>
      <c r="BI211" s="106" t="n"/>
      <c r="BJ211" s="106" t="n">
        <v>840138.45</v>
      </c>
      <c r="BK211" s="114" t="n"/>
      <c r="BL211" s="187" t="n">
        <v>649132.133614194</v>
      </c>
      <c r="BM211" s="113" t="n">
        <f aca="false" ca="true" dt2D="false" dtr="false" t="normal">SUBTOTAL(9, BN211:CB211)</f>
        <v>5251524.143614193</v>
      </c>
      <c r="BN211" s="106" t="n"/>
      <c r="BO211" s="106" t="n"/>
      <c r="BP211" s="106" t="n">
        <v>3762253.56</v>
      </c>
      <c r="BQ211" s="106" t="n">
        <v>0</v>
      </c>
      <c r="BR211" s="106" t="n">
        <v>0</v>
      </c>
      <c r="BS211" s="106" t="n"/>
      <c r="BT211" s="106" t="n">
        <v>0</v>
      </c>
      <c r="BU211" s="106" t="n">
        <v>0</v>
      </c>
      <c r="BV211" s="106" t="n">
        <v>0</v>
      </c>
      <c r="BW211" s="106" t="n">
        <v>0</v>
      </c>
      <c r="BX211" s="106" t="n"/>
      <c r="BY211" s="106" t="n"/>
      <c r="BZ211" s="106" t="n">
        <v>840138.45</v>
      </c>
      <c r="CA211" s="114" t="n"/>
      <c r="CB211" s="115" t="n">
        <v>649132.133614194</v>
      </c>
      <c r="CD211" s="116" t="n">
        <f aca="false" ca="false" dt2D="false" dtr="false" t="normal">+CD210+1</f>
        <v>192</v>
      </c>
      <c r="CE211" s="117" t="n">
        <f aca="false" ca="false" dt2D="false" dtr="false" t="normal">+CE210+1</f>
        <v>4</v>
      </c>
      <c r="CF211" s="104" t="s">
        <v>66</v>
      </c>
      <c r="CG211" s="117" t="s">
        <v>67</v>
      </c>
      <c r="CH211" s="118" t="n">
        <f aca="false" ca="true" dt2D="false" dtr="false" t="normal">SUBTOTAL(9, CI211:CW211)</f>
        <v>4673123.513614194</v>
      </c>
      <c r="CI211" s="114" t="n"/>
      <c r="CJ211" s="114" t="n"/>
      <c r="CK211" s="114" t="n">
        <v>3762253.56</v>
      </c>
      <c r="CL211" s="114" t="n">
        <v>0</v>
      </c>
      <c r="CM211" s="114" t="n">
        <v>0</v>
      </c>
      <c r="CN211" s="114" t="n"/>
      <c r="CO211" s="114" t="n"/>
      <c r="CP211" s="114" t="n">
        <v>0</v>
      </c>
      <c r="CQ211" s="114" t="n">
        <v>0</v>
      </c>
      <c r="CR211" s="114" t="n">
        <v>0</v>
      </c>
      <c r="CS211" s="106" t="n"/>
      <c r="CT211" s="114" t="n"/>
      <c r="CU211" s="114" t="n">
        <v>257737.82</v>
      </c>
      <c r="CV211" s="114" t="n">
        <v>4000</v>
      </c>
      <c r="CW211" s="115" t="n">
        <v>649132.133614194</v>
      </c>
      <c r="CZ211" s="117" t="s">
        <v>67</v>
      </c>
      <c r="DA211" s="119" t="n">
        <f aca="false" ca="true" dt2D="false" dtr="false" t="normal">SUBTOTAL(9, DB211:DP211)</f>
        <v>4023991.38</v>
      </c>
      <c r="DB211" s="114" t="n"/>
      <c r="DC211" s="114" t="n"/>
      <c r="DD211" s="114" t="n">
        <v>3762253.56</v>
      </c>
      <c r="DE211" s="114" t="n">
        <v>0</v>
      </c>
      <c r="DF211" s="114" t="n">
        <v>0</v>
      </c>
      <c r="DG211" s="114" t="n"/>
      <c r="DH211" s="114" t="n"/>
      <c r="DI211" s="114" t="n">
        <v>0</v>
      </c>
      <c r="DJ211" s="114" t="n">
        <v>0</v>
      </c>
      <c r="DK211" s="114" t="n">
        <v>0</v>
      </c>
      <c r="DL211" s="106" t="n"/>
      <c r="DM211" s="114" t="n"/>
      <c r="DN211" s="114" t="n">
        <v>257737.82</v>
      </c>
      <c r="DO211" s="114" t="n">
        <v>4000</v>
      </c>
      <c r="DP211" s="122" t="n"/>
      <c r="DQ211" s="3" t="n">
        <f aca="false" ca="false" dt2D="false" dtr="false" t="normal">N211-DA211</f>
        <v>0</v>
      </c>
      <c r="DS211" s="9" t="n"/>
    </row>
    <row customFormat="true" customHeight="true" hidden="false" ht="15" outlineLevel="0" r="212" s="129">
      <c r="A212" s="183" t="n">
        <f aca="false" ca="false" dt2D="false" dtr="false" t="normal">+A211+1</f>
        <v>193</v>
      </c>
      <c r="B212" s="184" t="n">
        <v>5</v>
      </c>
      <c r="C212" s="117" t="s">
        <v>66</v>
      </c>
      <c r="D212" s="117" t="s">
        <v>69</v>
      </c>
      <c r="E212" s="105" t="s">
        <v>103</v>
      </c>
      <c r="F212" s="105" t="n"/>
      <c r="G212" s="105" t="s">
        <v>68</v>
      </c>
      <c r="H212" s="105" t="s">
        <v>104</v>
      </c>
      <c r="I212" s="105" t="s">
        <v>188</v>
      </c>
      <c r="J212" s="106" t="n">
        <v>4657</v>
      </c>
      <c r="K212" s="106" t="n">
        <v>4657</v>
      </c>
      <c r="L212" s="106" t="n">
        <v>0</v>
      </c>
      <c r="M212" s="107" t="n">
        <v>172</v>
      </c>
      <c r="N212" s="108" t="n">
        <f aca="false" ca="false" dt2D="false" dtr="false" t="normal">SUM(P212:T212)</f>
        <v>21777938.17</v>
      </c>
      <c r="O212" s="114" t="n">
        <v>0</v>
      </c>
      <c r="P212" s="114" t="n">
        <v>5312507.8</v>
      </c>
      <c r="Q212" s="114" t="n">
        <v>0</v>
      </c>
      <c r="R212" s="114" t="n">
        <v>1314330.065</v>
      </c>
      <c r="S212" s="114" t="n">
        <v>15151100.305</v>
      </c>
      <c r="T212" s="114" t="n">
        <v>0</v>
      </c>
      <c r="U212" s="106" t="n">
        <v>5218.08745698601</v>
      </c>
      <c r="V212" s="106" t="n">
        <v>5218.08745698601</v>
      </c>
      <c r="W212" s="185" t="n">
        <v>2023</v>
      </c>
      <c r="X212" s="129" t="n">
        <v>1982772.77</v>
      </c>
      <c r="Y212" s="129" t="n">
        <f aca="false" ca="false" dt2D="false" dtr="false" t="normal">+(K212*9.1+L212*18.19)*12</f>
        <v>508544.39999999997</v>
      </c>
      <c r="AA212" s="130" t="e">
        <f aca="false" ca="false" dt2D="false" dtr="false" t="normal">+N212-'[8]Приложение № 2'!E202</f>
        <v>#REF!</v>
      </c>
      <c r="AD212" s="130" t="e">
        <f aca="false" ca="false" dt2D="false" dtr="false" t="normal">+N212-'[8]Приложение № 2'!E202</f>
        <v>#REF!</v>
      </c>
      <c r="AP212" s="112" t="n">
        <f aca="false" ca="false" dt2D="false" dtr="false" t="normal">+N212-'Приложение №2'!E212</f>
        <v>0</v>
      </c>
      <c r="AQ212" s="132" t="n">
        <f aca="false" ca="false" dt2D="false" dtr="false" t="normal">2457007.84-R19</f>
        <v>-475014</v>
      </c>
      <c r="AR212" s="3" t="n">
        <f aca="false" ca="false" dt2D="false" dtr="false" t="normal">+(K212*10+L212*20)*12*0.85</f>
        <v>475014</v>
      </c>
      <c r="AS212" s="3" t="n">
        <f aca="false" ca="false" dt2D="false" dtr="false" t="normal">+(K212*10+L212*20)*12*30-S19</f>
        <v>0</v>
      </c>
      <c r="AT212" s="9" t="n">
        <f aca="false" ca="false" dt2D="false" dtr="false" t="normal">+S212-AS212</f>
        <v>15151100.305</v>
      </c>
      <c r="AU212" s="9" t="e">
        <f aca="false" ca="false" dt2D="false" dtr="false" t="normal">+P212-'[5]Приложение №1'!$P212</f>
        <v>#REF!</v>
      </c>
      <c r="AV212" s="9" t="e">
        <f aca="false" ca="false" dt2D="false" dtr="false" t="normal">+Q212-'[5]Приложение №1'!$Q212</f>
        <v>#REF!</v>
      </c>
      <c r="AW212" s="113" t="n">
        <f aca="false" ca="true" dt2D="false" dtr="false" t="normal">SUBTOTAL(9, AX212:BL212)</f>
        <v>24300633.287183873</v>
      </c>
      <c r="AX212" s="106" t="n"/>
      <c r="AY212" s="106" t="n"/>
      <c r="AZ212" s="106" t="n">
        <v>3525921.00124841</v>
      </c>
      <c r="BA212" s="106" t="n">
        <v>0</v>
      </c>
      <c r="BB212" s="106" t="n">
        <v>0</v>
      </c>
      <c r="BC212" s="106" t="n"/>
      <c r="BD212" s="106" t="n">
        <v>0</v>
      </c>
      <c r="BE212" s="106" t="n">
        <v>0</v>
      </c>
      <c r="BF212" s="106" t="n">
        <v>0</v>
      </c>
      <c r="BG212" s="106" t="n">
        <v>0</v>
      </c>
      <c r="BH212" s="106" t="n">
        <v>19328224.8471088</v>
      </c>
      <c r="BI212" s="106" t="n"/>
      <c r="BJ212" s="106" t="n">
        <v>852470.5</v>
      </c>
      <c r="BK212" s="114" t="n"/>
      <c r="BL212" s="187" t="n">
        <v>594016.938826665</v>
      </c>
      <c r="BM212" s="113" t="n">
        <f aca="false" ca="true" dt2D="false" dtr="false" t="normal">SUBTOTAL(9, BN212:CB212)</f>
        <v>22496625.708826665</v>
      </c>
      <c r="BN212" s="106" t="n"/>
      <c r="BO212" s="106" t="n"/>
      <c r="BP212" s="106" t="n">
        <v>3766305.47</v>
      </c>
      <c r="BQ212" s="106" t="n">
        <v>0</v>
      </c>
      <c r="BR212" s="106" t="n">
        <v>0</v>
      </c>
      <c r="BS212" s="106" t="n"/>
      <c r="BT212" s="106" t="n">
        <v>0</v>
      </c>
      <c r="BU212" s="106" t="n">
        <v>0</v>
      </c>
      <c r="BV212" s="106" t="n">
        <v>0</v>
      </c>
      <c r="BW212" s="106" t="n">
        <v>0</v>
      </c>
      <c r="BX212" s="106" t="n">
        <v>17283832.8</v>
      </c>
      <c r="BY212" s="106" t="n"/>
      <c r="BZ212" s="106" t="n">
        <v>852470.5</v>
      </c>
      <c r="CA212" s="114" t="n"/>
      <c r="CB212" s="115" t="n">
        <v>594016.938826665</v>
      </c>
      <c r="CD212" s="116" t="n">
        <f aca="false" ca="false" dt2D="false" dtr="false" t="normal">+CD211+1</f>
        <v>193</v>
      </c>
      <c r="CE212" s="117" t="n">
        <f aca="false" ca="false" dt2D="false" dtr="false" t="normal">+CE211+1</f>
        <v>5</v>
      </c>
      <c r="CF212" s="104" t="s">
        <v>66</v>
      </c>
      <c r="CG212" s="117" t="s">
        <v>69</v>
      </c>
      <c r="CH212" s="118" t="n">
        <f aca="false" ca="true" dt2D="false" dtr="false" t="normal">SUBTOTAL(9, CI212:CW212)</f>
        <v>22371955.108826663</v>
      </c>
      <c r="CI212" s="114" t="n"/>
      <c r="CJ212" s="114" t="n"/>
      <c r="CK212" s="114" t="n">
        <v>3766305.47</v>
      </c>
      <c r="CL212" s="114" t="n">
        <v>0</v>
      </c>
      <c r="CM212" s="114" t="n">
        <v>0</v>
      </c>
      <c r="CN212" s="114" t="n"/>
      <c r="CO212" s="114" t="n"/>
      <c r="CP212" s="114" t="n">
        <v>0</v>
      </c>
      <c r="CQ212" s="114" t="n">
        <v>0</v>
      </c>
      <c r="CR212" s="114" t="n">
        <v>0</v>
      </c>
      <c r="CS212" s="114" t="n">
        <v>17283832.8</v>
      </c>
      <c r="CT212" s="114" t="n"/>
      <c r="CU212" s="114" t="n">
        <v>711799.9</v>
      </c>
      <c r="CV212" s="114" t="n">
        <v>16000</v>
      </c>
      <c r="CW212" s="115" t="n">
        <v>594016.938826665</v>
      </c>
      <c r="CZ212" s="117" t="s">
        <v>69</v>
      </c>
      <c r="DA212" s="119" t="n">
        <f aca="false" ca="true" dt2D="false" dtr="false" t="normal">SUBTOTAL(9, DB212:DP212)</f>
        <v>21777938.169999998</v>
      </c>
      <c r="DB212" s="114" t="n"/>
      <c r="DC212" s="114" t="n"/>
      <c r="DD212" s="114" t="n">
        <v>3766305.47</v>
      </c>
      <c r="DE212" s="114" t="n">
        <v>0</v>
      </c>
      <c r="DF212" s="114" t="n">
        <v>0</v>
      </c>
      <c r="DG212" s="114" t="n"/>
      <c r="DH212" s="114" t="n"/>
      <c r="DI212" s="114" t="n">
        <v>0</v>
      </c>
      <c r="DJ212" s="114" t="n">
        <v>0</v>
      </c>
      <c r="DK212" s="114" t="n">
        <v>0</v>
      </c>
      <c r="DL212" s="114" t="n">
        <v>17283832.8</v>
      </c>
      <c r="DM212" s="114" t="n"/>
      <c r="DN212" s="114" t="n">
        <v>711799.9</v>
      </c>
      <c r="DO212" s="114" t="n">
        <v>16000</v>
      </c>
      <c r="DP212" s="122" t="n"/>
      <c r="DQ212" s="3" t="n">
        <f aca="false" ca="false" dt2D="false" dtr="false" t="normal">N212-DA212</f>
        <v>0</v>
      </c>
      <c r="DS212" s="9" t="n"/>
    </row>
    <row customFormat="true" hidden="false" ht="15" outlineLevel="0" r="213" s="129">
      <c r="A213" s="183" t="n">
        <f aca="false" ca="false" dt2D="false" dtr="false" t="normal">+A212+1</f>
        <v>194</v>
      </c>
      <c r="B213" s="184" t="n">
        <v>6</v>
      </c>
      <c r="C213" s="117" t="s">
        <v>66</v>
      </c>
      <c r="D213" s="117" t="s">
        <v>70</v>
      </c>
      <c r="E213" s="105" t="s">
        <v>310</v>
      </c>
      <c r="F213" s="105" t="n"/>
      <c r="G213" s="105" t="s">
        <v>68</v>
      </c>
      <c r="H213" s="105" t="s">
        <v>104</v>
      </c>
      <c r="I213" s="105" t="s">
        <v>187</v>
      </c>
      <c r="J213" s="106" t="n">
        <v>3725.7</v>
      </c>
      <c r="K213" s="106" t="n">
        <v>3170.6</v>
      </c>
      <c r="L213" s="106" t="n">
        <v>0</v>
      </c>
      <c r="M213" s="107" t="n">
        <v>120</v>
      </c>
      <c r="N213" s="108" t="n">
        <f aca="false" ca="false" dt2D="false" dtr="false" t="normal">SUM(P213:T213)</f>
        <v>15325690.4</v>
      </c>
      <c r="O213" s="114" t="n">
        <v>0</v>
      </c>
      <c r="P213" s="114" t="n">
        <v>12324543.11</v>
      </c>
      <c r="Q213" s="114" t="n">
        <v>0</v>
      </c>
      <c r="R213" s="114" t="n"/>
      <c r="S213" s="114" t="n">
        <v>1538172.706</v>
      </c>
      <c r="T213" s="114" t="n">
        <v>1462974.584</v>
      </c>
      <c r="U213" s="106" t="n">
        <v>5293.18623071679</v>
      </c>
      <c r="V213" s="106" t="n">
        <v>5293.18623071679</v>
      </c>
      <c r="W213" s="185" t="n">
        <v>2023</v>
      </c>
      <c r="X213" s="129" t="n">
        <v>1250350.7</v>
      </c>
      <c r="Y213" s="129" t="n">
        <f aca="false" ca="false" dt2D="false" dtr="false" t="normal">+(K213*9.1+L213*18.19)*12</f>
        <v>346229.52</v>
      </c>
      <c r="AA213" s="130" t="e">
        <f aca="false" ca="false" dt2D="false" dtr="false" t="normal">+N213-'[8]Приложение № 2'!E203</f>
        <v>#REF!</v>
      </c>
      <c r="AD213" s="130" t="e">
        <f aca="false" ca="false" dt2D="false" dtr="false" t="normal">+N213-'[8]Приложение № 2'!E203</f>
        <v>#REF!</v>
      </c>
      <c r="AP213" s="112" t="n">
        <f aca="false" ca="false" dt2D="false" dtr="false" t="normal">+N213-'Приложение №2'!E213</f>
        <v>0</v>
      </c>
      <c r="AQ213" s="132" t="n">
        <f aca="false" ca="false" dt2D="false" dtr="false" t="normal">1554485.44-R20</f>
        <v>-323401.19999999995</v>
      </c>
      <c r="AR213" s="3" t="n">
        <f aca="false" ca="false" dt2D="false" dtr="false" t="normal">+(K213*10+L213*20)*12*0.85</f>
        <v>323401.2</v>
      </c>
      <c r="AS213" s="3" t="n">
        <f aca="false" ca="false" dt2D="false" dtr="false" t="normal">+(K213*10+L213*20)*12*30-S20</f>
        <v>0</v>
      </c>
      <c r="AT213" s="9" t="n">
        <f aca="false" ca="false" dt2D="false" dtr="false" t="normal">+S213-AS213</f>
        <v>1538172.706</v>
      </c>
      <c r="AU213" s="9" t="e">
        <f aca="false" ca="false" dt2D="false" dtr="false" t="normal">+P213-'[5]Приложение №1'!$P213</f>
        <v>#REF!</v>
      </c>
      <c r="AV213" s="9" t="e">
        <f aca="false" ca="false" dt2D="false" dtr="false" t="normal">+Q213-'[5]Приложение №1'!$Q213</f>
        <v>#REF!</v>
      </c>
      <c r="AW213" s="113" t="n">
        <f aca="false" ca="true" dt2D="false" dtr="false" t="normal">SUBTOTAL(9, AX213:BL213)</f>
        <v>16593212.285611924</v>
      </c>
      <c r="AX213" s="106" t="n"/>
      <c r="AY213" s="1" t="n"/>
      <c r="AZ213" s="106" t="n">
        <v>2400533.63250123</v>
      </c>
      <c r="BA213" s="1" t="n">
        <v>0</v>
      </c>
      <c r="BB213" s="106" t="n">
        <v>0</v>
      </c>
      <c r="BC213" s="106" t="n"/>
      <c r="BD213" s="106" t="n">
        <v>0</v>
      </c>
      <c r="BE213" s="106" t="n">
        <v>0</v>
      </c>
      <c r="BF213" s="1" t="n">
        <v>0</v>
      </c>
      <c r="BG213" s="1" t="n">
        <v>0</v>
      </c>
      <c r="BH213" s="106" t="n">
        <v>13159130.2770546</v>
      </c>
      <c r="BI213" s="106" t="n"/>
      <c r="BJ213" s="106" t="n">
        <v>693290.04</v>
      </c>
      <c r="BK213" s="114" t="n"/>
      <c r="BL213" s="187" t="n">
        <v>340258.336056094</v>
      </c>
      <c r="BM213" s="113" t="n">
        <f aca="false" ca="true" dt2D="false" dtr="false" t="normal">SUBTOTAL(9, BN213:CB213)</f>
        <v>15750714.386056095</v>
      </c>
      <c r="BN213" s="106" t="n"/>
      <c r="BO213" s="1" t="n"/>
      <c r="BP213" s="106" t="n">
        <v>2589897.61</v>
      </c>
      <c r="BQ213" s="1" t="n">
        <v>0</v>
      </c>
      <c r="BR213" s="106" t="n">
        <v>0</v>
      </c>
      <c r="BS213" s="106" t="n"/>
      <c r="BT213" s="106" t="n">
        <v>0</v>
      </c>
      <c r="BU213" s="106" t="n">
        <v>0</v>
      </c>
      <c r="BV213" s="1" t="n">
        <v>0</v>
      </c>
      <c r="BW213" s="1" t="n">
        <v>0</v>
      </c>
      <c r="BX213" s="106" t="n">
        <v>12127268.4</v>
      </c>
      <c r="BY213" s="106" t="n"/>
      <c r="BZ213" s="106" t="n">
        <v>693290.04</v>
      </c>
      <c r="CA213" s="114" t="n"/>
      <c r="CB213" s="115" t="n">
        <v>340258.336056094</v>
      </c>
      <c r="CD213" s="116" t="n">
        <f aca="false" ca="false" dt2D="false" dtr="false" t="normal">+CD212+1</f>
        <v>194</v>
      </c>
      <c r="CE213" s="117" t="n">
        <f aca="false" ca="false" dt2D="false" dtr="false" t="normal">+CE212+1</f>
        <v>6</v>
      </c>
      <c r="CF213" s="104" t="s">
        <v>66</v>
      </c>
      <c r="CG213" s="117" t="s">
        <v>70</v>
      </c>
      <c r="CH213" s="118" t="n">
        <f aca="false" ca="true" dt2D="false" dtr="false" t="normal">SUBTOTAL(9, CI213:CW213)</f>
        <v>15665948.736056095</v>
      </c>
      <c r="CI213" s="114" t="n"/>
      <c r="CJ213" s="191" t="n"/>
      <c r="CK213" s="114" t="n">
        <v>2589897.61</v>
      </c>
      <c r="CL213" s="191" t="n">
        <v>0</v>
      </c>
      <c r="CM213" s="114" t="n">
        <v>0</v>
      </c>
      <c r="CN213" s="114" t="n"/>
      <c r="CO213" s="114" t="n"/>
      <c r="CP213" s="114" t="n">
        <v>0</v>
      </c>
      <c r="CQ213" s="191" t="n">
        <v>0</v>
      </c>
      <c r="CR213" s="191" t="n">
        <v>0</v>
      </c>
      <c r="CS213" s="114" t="n">
        <v>12127268.4</v>
      </c>
      <c r="CT213" s="114" t="n"/>
      <c r="CU213" s="114" t="n">
        <v>594524.39</v>
      </c>
      <c r="CV213" s="114" t="n">
        <v>14000</v>
      </c>
      <c r="CW213" s="115" t="n">
        <v>340258.336056094</v>
      </c>
      <c r="CZ213" s="117" t="s">
        <v>70</v>
      </c>
      <c r="DA213" s="119" t="n">
        <f aca="false" ca="true" dt2D="false" dtr="false" t="normal">SUBTOTAL(9, DB213:DP213)</f>
        <v>15325690.4</v>
      </c>
      <c r="DB213" s="114" t="n"/>
      <c r="DC213" s="191" t="n"/>
      <c r="DD213" s="114" t="n">
        <v>2589897.61</v>
      </c>
      <c r="DE213" s="191" t="n">
        <v>0</v>
      </c>
      <c r="DF213" s="114" t="n">
        <v>0</v>
      </c>
      <c r="DG213" s="114" t="n"/>
      <c r="DH213" s="114" t="n"/>
      <c r="DI213" s="114" t="n">
        <v>0</v>
      </c>
      <c r="DJ213" s="191" t="n">
        <v>0</v>
      </c>
      <c r="DK213" s="191" t="n">
        <v>0</v>
      </c>
      <c r="DL213" s="114" t="n">
        <v>12127268.4</v>
      </c>
      <c r="DM213" s="114" t="n"/>
      <c r="DN213" s="114" t="n">
        <v>594524.39</v>
      </c>
      <c r="DO213" s="114" t="n">
        <v>14000</v>
      </c>
      <c r="DP213" s="122" t="n"/>
      <c r="DQ213" s="3" t="n">
        <f aca="false" ca="false" dt2D="false" dtr="false" t="normal">N213-DA213</f>
        <v>0</v>
      </c>
      <c r="DS213" s="9" t="n"/>
    </row>
    <row hidden="false" ht="15" outlineLevel="0" r="214">
      <c r="A214" s="183" t="n">
        <f aca="false" ca="false" dt2D="false" dtr="false" t="normal">+A213+1</f>
        <v>195</v>
      </c>
      <c r="B214" s="184" t="n">
        <v>7</v>
      </c>
      <c r="C214" s="117" t="s">
        <v>75</v>
      </c>
      <c r="D214" s="117" t="s">
        <v>311</v>
      </c>
      <c r="E214" s="105" t="n">
        <v>1989</v>
      </c>
      <c r="F214" s="105" t="n">
        <v>2012</v>
      </c>
      <c r="G214" s="105" t="s">
        <v>68</v>
      </c>
      <c r="H214" s="105" t="n">
        <v>5</v>
      </c>
      <c r="I214" s="105" t="n">
        <v>4</v>
      </c>
      <c r="J214" s="106" t="n">
        <v>5759.5</v>
      </c>
      <c r="K214" s="106" t="n">
        <v>4823.5</v>
      </c>
      <c r="L214" s="106" t="n">
        <v>45.7</v>
      </c>
      <c r="M214" s="107" t="n">
        <v>161</v>
      </c>
      <c r="N214" s="108" t="n">
        <f aca="false" ca="false" dt2D="false" dtr="false" t="normal">SUM(P214:T214)</f>
        <v>10867243.93</v>
      </c>
      <c r="O214" s="114" t="n"/>
      <c r="P214" s="114" t="n">
        <v>2183252.61</v>
      </c>
      <c r="Q214" s="114" t="n"/>
      <c r="R214" s="114" t="n">
        <v>835185.525</v>
      </c>
      <c r="S214" s="114" t="n">
        <v>7848805.795</v>
      </c>
      <c r="T214" s="114" t="n"/>
      <c r="U214" s="106" t="n">
        <v>3631.35654119086</v>
      </c>
      <c r="V214" s="106" t="n">
        <v>3631.35654119086</v>
      </c>
      <c r="W214" s="185" t="n">
        <v>2023</v>
      </c>
      <c r="X214" s="9" t="e">
        <f aca="false" ca="false" dt2D="false" dtr="false" t="normal">+#REF!-'[9]Приложение №1'!$P1506</f>
        <v>#REF!</v>
      </c>
      <c r="Z214" s="113" t="n">
        <f aca="false" ca="false" dt2D="false" dtr="false" t="normal">SUM(AA214:AO214)</f>
        <v>25451028.170904994</v>
      </c>
      <c r="AA214" s="106" t="n">
        <v>0</v>
      </c>
      <c r="AB214" s="106" t="n">
        <v>0</v>
      </c>
      <c r="AC214" s="106" t="n">
        <v>0</v>
      </c>
      <c r="AD214" s="106" t="n">
        <v>0</v>
      </c>
      <c r="AE214" s="106" t="n">
        <v>0</v>
      </c>
      <c r="AF214" s="106" t="n"/>
      <c r="AG214" s="106" t="n">
        <v>0</v>
      </c>
      <c r="AH214" s="106" t="n">
        <v>0</v>
      </c>
      <c r="AI214" s="106" t="n">
        <v>0</v>
      </c>
      <c r="AJ214" s="106" t="n">
        <v>8223538.83304262</v>
      </c>
      <c r="AK214" s="106" t="n">
        <v>10255795.8070279</v>
      </c>
      <c r="AL214" s="106" t="n">
        <v>3687340.14949187</v>
      </c>
      <c r="AM214" s="106" t="n">
        <v>2545102.8170905</v>
      </c>
      <c r="AN214" s="114" t="n">
        <v>254510.28170905</v>
      </c>
      <c r="AO214" s="115" t="n">
        <v>484740.282543056</v>
      </c>
      <c r="AP214" s="112" t="n">
        <f aca="false" ca="false" dt2D="false" dtr="false" t="normal">+N214-'Приложение №2'!E214</f>
        <v>0</v>
      </c>
      <c r="AQ214" s="1" t="n">
        <v>2384141.34</v>
      </c>
      <c r="AR214" s="3" t="n">
        <f aca="false" ca="false" dt2D="false" dtr="false" t="normal">+(K214*10+L214*20)*12*0.85</f>
        <v>501319.8</v>
      </c>
      <c r="AS214" s="3" t="n">
        <f aca="false" ca="false" dt2D="false" dtr="false" t="normal">+(K214*10+L214*20)*12*30</f>
        <v>17693640</v>
      </c>
      <c r="AT214" s="9" t="n">
        <f aca="false" ca="false" dt2D="false" dtr="false" t="normal">+S214-AS214</f>
        <v>-9844834.205</v>
      </c>
      <c r="AU214" s="9" t="e">
        <f aca="false" ca="false" dt2D="false" dtr="false" t="normal">+P214-'[5]Приложение №1'!$P215</f>
        <v>#REF!</v>
      </c>
      <c r="AV214" s="9" t="e">
        <f aca="false" ca="false" dt2D="false" dtr="false" t="normal">+Q214-'[5]Приложение №1'!$Q215</f>
        <v>#REF!</v>
      </c>
      <c r="AW214" s="113" t="n">
        <f aca="false" ca="true" dt2D="false" dtr="false" t="normal">SUBTOTAL(9, AX214:BL214)</f>
        <v>17681801.27036654</v>
      </c>
      <c r="AX214" s="106" t="n">
        <v>0</v>
      </c>
      <c r="AY214" s="106" t="n">
        <v>0</v>
      </c>
      <c r="AZ214" s="106" t="n">
        <v>3130340.41</v>
      </c>
      <c r="BA214" s="106" t="n">
        <v>2723483.78</v>
      </c>
      <c r="BB214" s="106" t="n">
        <v>0</v>
      </c>
      <c r="BC214" s="106" t="n"/>
      <c r="BD214" s="106" t="n"/>
      <c r="BE214" s="106" t="n">
        <v>0</v>
      </c>
      <c r="BF214" s="106" t="n">
        <v>0</v>
      </c>
      <c r="BG214" s="106" t="n">
        <v>6881364.65</v>
      </c>
      <c r="BH214" s="106" t="n">
        <v>4596356.03</v>
      </c>
      <c r="BI214" s="106" t="n"/>
      <c r="BJ214" s="106" t="n"/>
      <c r="BK214" s="114" t="n"/>
      <c r="BL214" s="187" t="n">
        <f aca="false" ca="false" dt2D="false" dtr="false" t="normal">179832.138797376+170424.261569162</f>
        <v>350256.400366538</v>
      </c>
      <c r="BM214" s="113" t="n">
        <f aca="false" ca="true" dt2D="false" dtr="false" t="normal">SUBTOTAL(9, BN214:CB214)</f>
        <v>14479316.830366537</v>
      </c>
      <c r="BN214" s="106" t="n">
        <v>0</v>
      </c>
      <c r="BO214" s="106" t="n">
        <v>0</v>
      </c>
      <c r="BP214" s="106" t="n">
        <v>1953253.18</v>
      </c>
      <c r="BQ214" s="106" t="n">
        <v>1982667.17</v>
      </c>
      <c r="BR214" s="106" t="n">
        <v>0</v>
      </c>
      <c r="BS214" s="106" t="n"/>
      <c r="BT214" s="106" t="n"/>
      <c r="BU214" s="106" t="n">
        <v>0</v>
      </c>
      <c r="BV214" s="106" t="n">
        <v>0</v>
      </c>
      <c r="BW214" s="106" t="n">
        <v>5596784.05</v>
      </c>
      <c r="BX214" s="106" t="n">
        <v>4596356.03</v>
      </c>
      <c r="BY214" s="106" t="n"/>
      <c r="BZ214" s="106" t="n"/>
      <c r="CA214" s="114" t="n"/>
      <c r="CB214" s="115" t="n">
        <f aca="false" ca="false" dt2D="false" dtr="false" t="normal">179832.138797376+170424.261569162</f>
        <v>350256.400366538</v>
      </c>
      <c r="CD214" s="116" t="n">
        <f aca="false" ca="false" dt2D="false" dtr="false" t="normal">+CD213+1</f>
        <v>195</v>
      </c>
      <c r="CE214" s="117" t="n">
        <f aca="false" ca="false" dt2D="false" dtr="false" t="normal">+CE213+1</f>
        <v>7</v>
      </c>
      <c r="CF214" s="104" t="s">
        <v>75</v>
      </c>
      <c r="CG214" s="117" t="s">
        <v>311</v>
      </c>
      <c r="CH214" s="118" t="n">
        <f aca="false" ca="true" dt2D="false" dtr="false" t="normal">SUBTOTAL(9, CI214:CW214)</f>
        <v>11167541.400366537</v>
      </c>
      <c r="CI214" s="114" t="n">
        <v>0</v>
      </c>
      <c r="CJ214" s="114" t="n">
        <v>0</v>
      </c>
      <c r="CK214" s="114" t="n">
        <v>1953253.18</v>
      </c>
      <c r="CL214" s="114" t="n">
        <v>1982667.17</v>
      </c>
      <c r="CM214" s="114" t="n">
        <v>0</v>
      </c>
      <c r="CN214" s="114" t="n"/>
      <c r="CO214" s="114" t="n"/>
      <c r="CP214" s="114" t="n">
        <v>0</v>
      </c>
      <c r="CQ214" s="114" t="n">
        <v>0</v>
      </c>
      <c r="CR214" s="114" t="n">
        <v>6881364.65</v>
      </c>
      <c r="CS214" s="114" t="n"/>
      <c r="CT214" s="114" t="n"/>
      <c r="CU214" s="114" t="n"/>
      <c r="CV214" s="114" t="n"/>
      <c r="CW214" s="115" t="n">
        <f aca="false" ca="false" dt2D="false" dtr="false" t="normal">179832.138797376+170424.261569162</f>
        <v>350256.400366538</v>
      </c>
      <c r="CZ214" s="117" t="s">
        <v>311</v>
      </c>
      <c r="DA214" s="119" t="n">
        <f aca="false" ca="true" dt2D="false" dtr="false" t="normal">SUBTOTAL(9, DB214:DP214)</f>
        <v>10867243.93</v>
      </c>
      <c r="DB214" s="114" t="n">
        <v>0</v>
      </c>
      <c r="DC214" s="114" t="n">
        <v>0</v>
      </c>
      <c r="DD214" s="114" t="n">
        <v>1953253.18</v>
      </c>
      <c r="DE214" s="114" t="n">
        <v>1982667.17</v>
      </c>
      <c r="DF214" s="114" t="n">
        <v>0</v>
      </c>
      <c r="DG214" s="114" t="n"/>
      <c r="DH214" s="114" t="n"/>
      <c r="DI214" s="114" t="n">
        <v>0</v>
      </c>
      <c r="DJ214" s="114" t="n">
        <v>0</v>
      </c>
      <c r="DK214" s="114" t="n">
        <v>6881364.65</v>
      </c>
      <c r="DL214" s="114" t="n"/>
      <c r="DM214" s="114" t="n"/>
      <c r="DN214" s="114" t="n"/>
      <c r="DO214" s="114" t="n"/>
      <c r="DP214" s="120" t="n">
        <f aca="false" ca="false" dt2D="false" dtr="false" t="normal">32043.58+17915.35</f>
        <v>49958.93</v>
      </c>
      <c r="DQ214" s="3" t="n">
        <f aca="false" ca="false" dt2D="false" dtr="false" t="normal">N214-DA214</f>
        <v>0</v>
      </c>
      <c r="DS214" s="9" t="n"/>
    </row>
    <row hidden="false" ht="15" outlineLevel="0" r="215">
      <c r="A215" s="183" t="n">
        <f aca="false" ca="false" dt2D="false" dtr="false" t="normal">+A214+1</f>
        <v>196</v>
      </c>
      <c r="B215" s="184" t="n">
        <v>8</v>
      </c>
      <c r="C215" s="104" t="s">
        <v>78</v>
      </c>
      <c r="D215" s="104" t="s">
        <v>312</v>
      </c>
      <c r="E215" s="105" t="n">
        <v>1987</v>
      </c>
      <c r="F215" s="105" t="n">
        <v>2017</v>
      </c>
      <c r="G215" s="105" t="s">
        <v>68</v>
      </c>
      <c r="H215" s="105" t="n">
        <v>9</v>
      </c>
      <c r="I215" s="105" t="n">
        <v>5</v>
      </c>
      <c r="J215" s="106" t="n">
        <v>12266.2</v>
      </c>
      <c r="K215" s="106" t="n">
        <v>9496.8</v>
      </c>
      <c r="L215" s="106" t="n">
        <v>175.7</v>
      </c>
      <c r="M215" s="107" t="n">
        <v>406</v>
      </c>
      <c r="N215" s="108" t="n">
        <f aca="false" ca="false" dt2D="false" dtr="false" t="normal">SUM(P215:T215)</f>
        <v>6651944.44</v>
      </c>
      <c r="O215" s="106" t="n"/>
      <c r="P215" s="114" t="n"/>
      <c r="Q215" s="114" t="n"/>
      <c r="R215" s="114" t="n">
        <v>6651944.44</v>
      </c>
      <c r="S215" s="114" t="n"/>
      <c r="T215" s="190" t="n"/>
      <c r="U215" s="114" t="n">
        <v>2594.5512519494</v>
      </c>
      <c r="V215" s="114" t="n">
        <v>1199.283020064</v>
      </c>
      <c r="W215" s="185" t="n">
        <v>2023</v>
      </c>
      <c r="X215" s="9" t="e">
        <f aca="false" ca="false" dt2D="false" dtr="false" t="normal">+#REF!-'[9]Приложение №1'!$P568</f>
        <v>#REF!</v>
      </c>
      <c r="Z215" s="113" t="n">
        <f aca="false" ca="false" dt2D="false" dtr="false" t="normal">SUM(AA215:AO215)</f>
        <v>34827835.57678418</v>
      </c>
      <c r="AA215" s="106" t="n">
        <v>23086920.0981789</v>
      </c>
      <c r="AB215" s="106" t="n">
        <v>0</v>
      </c>
      <c r="AC215" s="106" t="n">
        <v>6822406.55154793</v>
      </c>
      <c r="AD215" s="106" t="n">
        <v>0</v>
      </c>
      <c r="AE215" s="106" t="n">
        <v>0</v>
      </c>
      <c r="AF215" s="106" t="n"/>
      <c r="AG215" s="106" t="n">
        <v>1025719.6366826</v>
      </c>
      <c r="AH215" s="106" t="n">
        <v>0</v>
      </c>
      <c r="AI215" s="106" t="n">
        <v>0</v>
      </c>
      <c r="AJ215" s="106" t="n">
        <v>0</v>
      </c>
      <c r="AK215" s="106" t="n">
        <v>0</v>
      </c>
      <c r="AL215" s="106" t="n">
        <v>0</v>
      </c>
      <c r="AM215" s="106" t="n">
        <v>2868024.12638173</v>
      </c>
      <c r="AN215" s="114" t="n">
        <v>348278.355767841</v>
      </c>
      <c r="AO215" s="115" t="n">
        <v>676486.80822518</v>
      </c>
      <c r="AP215" s="112" t="n">
        <f aca="false" ca="false" dt2D="false" dtr="false" t="normal">+N215-'Приложение №2'!E215</f>
        <v>0</v>
      </c>
      <c r="AQ215" s="1" t="n">
        <v>7111161.16</v>
      </c>
      <c r="AR215" s="3" t="n">
        <f aca="false" ca="false" dt2D="false" dtr="false" t="normal">+(K215*13.95+L215*23.65)*12*0.85</f>
        <v>1393683.7829999998</v>
      </c>
      <c r="AS215" s="3" t="n">
        <f aca="false" ca="false" dt2D="false" dtr="false" t="normal">+(K215*13.95+L215*23.65)*12*30</f>
        <v>49188839.39999999</v>
      </c>
      <c r="AT215" s="9" t="n">
        <f aca="false" ca="false" dt2D="false" dtr="false" t="normal">+S215-AS215</f>
        <v>-49188839.39999999</v>
      </c>
      <c r="AU215" s="9" t="e">
        <f aca="false" ca="false" dt2D="false" dtr="false" t="normal">+P215-'[5]Приложение №1'!$P485</f>
        <v>#REF!</v>
      </c>
      <c r="AV215" s="9" t="e">
        <f aca="false" ca="false" dt2D="false" dtr="false" t="normal">+Q215-'[5]Приложение №1'!$Q485</f>
        <v>#REF!</v>
      </c>
      <c r="AW215" s="186" t="n">
        <f aca="false" ca="true" dt2D="false" dtr="false" t="normal">SUBTOTAL(9, AX215:BL215)</f>
        <v>24639934.32951308</v>
      </c>
      <c r="AX215" s="106" t="n">
        <v>23086920.0981789</v>
      </c>
      <c r="AY215" s="106" t="n">
        <v>0</v>
      </c>
      <c r="AZ215" s="106" t="n"/>
      <c r="BA215" s="106" t="n">
        <v>0</v>
      </c>
      <c r="BB215" s="106" t="n">
        <v>0</v>
      </c>
      <c r="BC215" s="106" t="n"/>
      <c r="BD215" s="106" t="n">
        <v>1025719.6366826</v>
      </c>
      <c r="BE215" s="106" t="n">
        <v>0</v>
      </c>
      <c r="BF215" s="106" t="n">
        <v>0</v>
      </c>
      <c r="BG215" s="106" t="n">
        <v>0</v>
      </c>
      <c r="BH215" s="106" t="n">
        <v>0</v>
      </c>
      <c r="BI215" s="106" t="n">
        <v>0</v>
      </c>
      <c r="BJ215" s="106" t="n"/>
      <c r="BK215" s="114" t="n"/>
      <c r="BL215" s="187" t="n">
        <v>527294.594651579</v>
      </c>
      <c r="BM215" s="186" t="n">
        <f aca="false" ca="true" dt2D="false" dtr="false" t="normal">SUBTOTAL(9, BN215:CB215)</f>
        <v>8100117.971334179</v>
      </c>
      <c r="BN215" s="106" t="n">
        <v>6547103.74</v>
      </c>
      <c r="BO215" s="106" t="n">
        <v>0</v>
      </c>
      <c r="BP215" s="106" t="n"/>
      <c r="BQ215" s="106" t="n">
        <v>0</v>
      </c>
      <c r="BR215" s="106" t="n">
        <v>0</v>
      </c>
      <c r="BS215" s="106" t="n"/>
      <c r="BT215" s="106" t="n">
        <v>1025719.6366826</v>
      </c>
      <c r="BU215" s="106" t="n">
        <v>0</v>
      </c>
      <c r="BV215" s="106" t="n">
        <v>0</v>
      </c>
      <c r="BW215" s="106" t="n">
        <v>0</v>
      </c>
      <c r="BX215" s="106" t="n">
        <v>0</v>
      </c>
      <c r="BY215" s="106" t="n">
        <v>0</v>
      </c>
      <c r="BZ215" s="106" t="n"/>
      <c r="CA215" s="114" t="n"/>
      <c r="CB215" s="115" t="n">
        <v>527294.594651579</v>
      </c>
      <c r="CD215" s="116" t="n">
        <f aca="false" ca="false" dt2D="false" dtr="false" t="normal">+CD214+1</f>
        <v>196</v>
      </c>
      <c r="CE215" s="117" t="n">
        <f aca="false" ca="false" dt2D="false" dtr="false" t="normal">+CE214+1</f>
        <v>8</v>
      </c>
      <c r="CF215" s="104" t="s">
        <v>78</v>
      </c>
      <c r="CG215" s="117" t="s">
        <v>312</v>
      </c>
      <c r="CH215" s="188" t="n">
        <f aca="false" ca="true" dt2D="false" dtr="false" t="normal">SUBTOTAL(9, CI215:CW215)</f>
        <v>7074398.334651579</v>
      </c>
      <c r="CI215" s="114" t="n">
        <v>6547103.74</v>
      </c>
      <c r="CJ215" s="114" t="n">
        <v>0</v>
      </c>
      <c r="CK215" s="114" t="n"/>
      <c r="CL215" s="114" t="n">
        <v>0</v>
      </c>
      <c r="CM215" s="114" t="n">
        <v>0</v>
      </c>
      <c r="CN215" s="114" t="n"/>
      <c r="CO215" s="114" t="n"/>
      <c r="CP215" s="114" t="n">
        <v>0</v>
      </c>
      <c r="CQ215" s="114" t="n">
        <v>0</v>
      </c>
      <c r="CR215" s="114" t="n">
        <v>0</v>
      </c>
      <c r="CS215" s="114" t="n">
        <v>0</v>
      </c>
      <c r="CT215" s="114" t="n">
        <v>0</v>
      </c>
      <c r="CU215" s="114" t="n"/>
      <c r="CV215" s="114" t="n"/>
      <c r="CW215" s="115" t="n">
        <v>527294.594651579</v>
      </c>
      <c r="CZ215" s="117" t="s">
        <v>312</v>
      </c>
      <c r="DA215" s="189" t="n">
        <f aca="false" ca="true" dt2D="false" dtr="false" t="normal">SUBTOTAL(9, DB215:DP215)</f>
        <v>6651944.44</v>
      </c>
      <c r="DB215" s="114" t="n">
        <v>6547103.74</v>
      </c>
      <c r="DC215" s="114" t="n">
        <v>0</v>
      </c>
      <c r="DD215" s="114" t="n"/>
      <c r="DE215" s="114" t="n">
        <v>0</v>
      </c>
      <c r="DF215" s="114" t="n">
        <v>0</v>
      </c>
      <c r="DG215" s="114" t="n"/>
      <c r="DH215" s="114" t="n"/>
      <c r="DI215" s="114" t="n">
        <v>0</v>
      </c>
      <c r="DJ215" s="114" t="n">
        <v>0</v>
      </c>
      <c r="DK215" s="114" t="n">
        <v>0</v>
      </c>
      <c r="DL215" s="114" t="n">
        <v>0</v>
      </c>
      <c r="DM215" s="114" t="n">
        <v>0</v>
      </c>
      <c r="DN215" s="114" t="n"/>
      <c r="DO215" s="114" t="n"/>
      <c r="DP215" s="120" t="n">
        <v>104840.7</v>
      </c>
      <c r="DQ215" s="3" t="n">
        <f aca="false" ca="false" dt2D="false" dtr="false" t="normal">N215-DA215</f>
        <v>0</v>
      </c>
      <c r="DS215" s="9" t="n"/>
    </row>
    <row hidden="false" ht="15" outlineLevel="0" r="216">
      <c r="A216" s="183" t="n">
        <f aca="false" ca="false" dt2D="false" dtr="false" t="normal">+A215+1</f>
        <v>197</v>
      </c>
      <c r="B216" s="184" t="n">
        <v>9</v>
      </c>
      <c r="C216" s="104" t="s">
        <v>78</v>
      </c>
      <c r="D216" s="104" t="s">
        <v>85</v>
      </c>
      <c r="E216" s="105" t="n">
        <v>1988</v>
      </c>
      <c r="F216" s="105" t="n">
        <v>2016</v>
      </c>
      <c r="G216" s="105" t="s">
        <v>68</v>
      </c>
      <c r="H216" s="105" t="n">
        <v>5</v>
      </c>
      <c r="I216" s="105" t="n">
        <v>2</v>
      </c>
      <c r="J216" s="106" t="n">
        <v>4465.5</v>
      </c>
      <c r="K216" s="106" t="n">
        <v>2945.85</v>
      </c>
      <c r="L216" s="106" t="n">
        <v>451.6</v>
      </c>
      <c r="M216" s="107" t="n">
        <v>169</v>
      </c>
      <c r="N216" s="108" t="n">
        <f aca="false" ca="false" dt2D="false" dtr="false" t="normal">SUM(P216:T216)</f>
        <v>4115348.42</v>
      </c>
      <c r="O216" s="106" t="n"/>
      <c r="P216" s="114" t="n"/>
      <c r="Q216" s="114" t="n"/>
      <c r="R216" s="114" t="n"/>
      <c r="S216" s="114" t="n">
        <v>4115348.42</v>
      </c>
      <c r="T216" s="114" t="n"/>
      <c r="U216" s="114" t="n">
        <v>5457.15628584248</v>
      </c>
      <c r="V216" s="114" t="n">
        <v>1193.283020064</v>
      </c>
      <c r="W216" s="185" t="n">
        <v>2023</v>
      </c>
      <c r="X216" s="9" t="e">
        <f aca="false" ca="false" dt2D="false" dtr="false" t="normal">+#REF!-'[9]Приложение №1'!$P1285</f>
        <v>#REF!</v>
      </c>
      <c r="Z216" s="113" t="n">
        <f aca="false" ca="false" dt2D="false" dtr="false" t="normal">SUM(AA216:AO216)</f>
        <v>40635058.08237659</v>
      </c>
      <c r="AA216" s="106" t="n">
        <v>7511049.48066122</v>
      </c>
      <c r="AB216" s="106" t="n">
        <v>3214895.56386557</v>
      </c>
      <c r="AC216" s="106" t="n">
        <v>0</v>
      </c>
      <c r="AD216" s="106" t="n">
        <v>3031175.89896693</v>
      </c>
      <c r="AE216" s="106" t="n">
        <v>0</v>
      </c>
      <c r="AF216" s="106" t="n"/>
      <c r="AG216" s="106" t="n">
        <v>311848.520414291</v>
      </c>
      <c r="AH216" s="106" t="n">
        <v>0</v>
      </c>
      <c r="AI216" s="106" t="n">
        <v>0</v>
      </c>
      <c r="AJ216" s="106" t="n">
        <v>5678337.16104455</v>
      </c>
      <c r="AK216" s="106" t="n">
        <v>15731938.2183736</v>
      </c>
      <c r="AL216" s="106" t="n">
        <v>0</v>
      </c>
      <c r="AM216" s="106" t="n">
        <v>3973603.43111939</v>
      </c>
      <c r="AN216" s="114" t="n">
        <v>406350.580823766</v>
      </c>
      <c r="AO216" s="115" t="n">
        <v>775859.227107275</v>
      </c>
      <c r="AP216" s="112" t="n">
        <f aca="false" ca="false" dt2D="false" dtr="false" t="normal">+N216-'Приложение №2'!E216</f>
        <v>0</v>
      </c>
      <c r="AQ216" s="9" t="n">
        <f aca="false" ca="false" dt2D="false" dtr="false" t="normal">2191563.13-R32</f>
        <v>54528.87999999989</v>
      </c>
      <c r="AR216" s="3" t="n">
        <f aca="false" ca="false" dt2D="false" dtr="false" t="normal">+(K216*10.5+L216*21)*12*0.85</f>
        <v>412233.255</v>
      </c>
      <c r="AS216" s="3" t="n">
        <f aca="false" ca="false" dt2D="false" dtr="false" t="normal">+(K216*10.5+L216*21)*12*30-S32</f>
        <v>10699675.590000002</v>
      </c>
      <c r="AT216" s="9" t="n">
        <f aca="false" ca="false" dt2D="false" dtr="false" t="normal">+S216-AS216</f>
        <v>-6584327.170000002</v>
      </c>
      <c r="AU216" s="9" t="e">
        <f aca="false" ca="false" dt2D="false" dtr="false" t="normal">+P216-'[5]Приложение №1'!$P479</f>
        <v>#REF!</v>
      </c>
      <c r="AV216" s="9" t="e">
        <f aca="false" ca="false" dt2D="false" dtr="false" t="normal">+Q216-'[5]Приложение №1'!$Q479</f>
        <v>#REF!</v>
      </c>
      <c r="AW216" s="186" t="n">
        <f aca="false" ca="true" dt2D="false" dtr="false" t="normal">SUBTOTAL(9, AX216:BL216)</f>
        <v>16075963.84464909</v>
      </c>
      <c r="AX216" s="106" t="n"/>
      <c r="AY216" s="106" t="n"/>
      <c r="AZ216" s="106" t="n">
        <v>0</v>
      </c>
      <c r="BA216" s="106" t="n"/>
      <c r="BB216" s="106" t="n">
        <v>0</v>
      </c>
      <c r="BC216" s="106" t="n"/>
      <c r="BD216" s="106" t="n"/>
      <c r="BE216" s="106" t="n">
        <v>0</v>
      </c>
      <c r="BF216" s="106" t="n">
        <v>0</v>
      </c>
      <c r="BG216" s="106" t="n"/>
      <c r="BH216" s="106" t="n">
        <v>15731938.2183736</v>
      </c>
      <c r="BI216" s="106" t="n">
        <v>0</v>
      </c>
      <c r="BJ216" s="106" t="n"/>
      <c r="BK216" s="114" t="n"/>
      <c r="BL216" s="187" t="n">
        <v>344025.62627549</v>
      </c>
      <c r="BM216" s="186" t="n">
        <f aca="false" ca="true" dt2D="false" dtr="false" t="normal">SUBTOTAL(9, BN216:CB216)</f>
        <v>16075963.84464909</v>
      </c>
      <c r="BN216" s="106" t="n"/>
      <c r="BO216" s="106" t="n"/>
      <c r="BP216" s="106" t="n">
        <v>0</v>
      </c>
      <c r="BQ216" s="106" t="n"/>
      <c r="BR216" s="106" t="n">
        <v>0</v>
      </c>
      <c r="BS216" s="106" t="n"/>
      <c r="BT216" s="106" t="n"/>
      <c r="BU216" s="106" t="n">
        <v>0</v>
      </c>
      <c r="BV216" s="106" t="n">
        <v>0</v>
      </c>
      <c r="BW216" s="106" t="n"/>
      <c r="BX216" s="106" t="n">
        <v>15731938.2183736</v>
      </c>
      <c r="BY216" s="106" t="n">
        <v>0</v>
      </c>
      <c r="BZ216" s="106" t="n"/>
      <c r="CA216" s="114" t="n"/>
      <c r="CB216" s="115" t="n">
        <v>344025.62627549</v>
      </c>
      <c r="CD216" s="116" t="n">
        <f aca="false" ca="false" dt2D="false" dtr="false" t="normal">+CD215+1</f>
        <v>197</v>
      </c>
      <c r="CE216" s="117" t="n">
        <f aca="false" ca="false" dt2D="false" dtr="false" t="normal">+CE215+1</f>
        <v>9</v>
      </c>
      <c r="CF216" s="104" t="s">
        <v>78</v>
      </c>
      <c r="CG216" s="117" t="s">
        <v>85</v>
      </c>
      <c r="CH216" s="188" t="n">
        <f aca="false" ca="true" dt2D="false" dtr="false" t="normal">SUBTOTAL(9, CI216:CW216)</f>
        <v>4422364.38627549</v>
      </c>
      <c r="CI216" s="114" t="n"/>
      <c r="CJ216" s="114" t="n"/>
      <c r="CK216" s="114" t="n">
        <v>0</v>
      </c>
      <c r="CL216" s="114" t="n"/>
      <c r="CM216" s="114" t="n">
        <v>0</v>
      </c>
      <c r="CN216" s="114" t="n"/>
      <c r="CO216" s="114" t="n"/>
      <c r="CP216" s="114" t="n">
        <v>0</v>
      </c>
      <c r="CQ216" s="114" t="n">
        <v>0</v>
      </c>
      <c r="CR216" s="114" t="n"/>
      <c r="CS216" s="114" t="n">
        <v>4078338.76</v>
      </c>
      <c r="CT216" s="114" t="n">
        <v>0</v>
      </c>
      <c r="CU216" s="114" t="n"/>
      <c r="CV216" s="114" t="n"/>
      <c r="CW216" s="115" t="n">
        <v>344025.62627549</v>
      </c>
      <c r="CZ216" s="117" t="s">
        <v>85</v>
      </c>
      <c r="DA216" s="189" t="n">
        <f aca="false" ca="true" dt2D="false" dtr="false" t="normal">SUBTOTAL(9, DB216:DP216)</f>
        <v>4115348.42</v>
      </c>
      <c r="DB216" s="114" t="n"/>
      <c r="DC216" s="114" t="n"/>
      <c r="DD216" s="114" t="n">
        <v>0</v>
      </c>
      <c r="DE216" s="114" t="n"/>
      <c r="DF216" s="114" t="n">
        <v>0</v>
      </c>
      <c r="DG216" s="114" t="n"/>
      <c r="DH216" s="114" t="n"/>
      <c r="DI216" s="114" t="n">
        <v>0</v>
      </c>
      <c r="DJ216" s="114" t="n">
        <v>0</v>
      </c>
      <c r="DK216" s="114" t="n"/>
      <c r="DL216" s="114" t="n">
        <v>4078338.76</v>
      </c>
      <c r="DM216" s="114" t="n">
        <v>0</v>
      </c>
      <c r="DN216" s="114" t="n"/>
      <c r="DO216" s="114" t="n"/>
      <c r="DP216" s="120" t="n">
        <v>37009.66</v>
      </c>
      <c r="DQ216" s="3" t="n">
        <f aca="false" ca="false" dt2D="false" dtr="false" t="normal">N216-DA216</f>
        <v>0</v>
      </c>
      <c r="DS216" s="9" t="n"/>
    </row>
    <row hidden="false" ht="15" outlineLevel="0" r="217">
      <c r="A217" s="183" t="n">
        <f aca="false" ca="false" dt2D="false" dtr="false" t="normal">+A216+1</f>
        <v>198</v>
      </c>
      <c r="B217" s="184" t="n">
        <v>10</v>
      </c>
      <c r="C217" s="104" t="s">
        <v>78</v>
      </c>
      <c r="D217" s="104" t="s">
        <v>313</v>
      </c>
      <c r="E217" s="105" t="n">
        <v>1997</v>
      </c>
      <c r="F217" s="105" t="n">
        <v>1997</v>
      </c>
      <c r="G217" s="105" t="s">
        <v>68</v>
      </c>
      <c r="H217" s="105" t="n">
        <v>9</v>
      </c>
      <c r="I217" s="105" t="n">
        <v>1</v>
      </c>
      <c r="J217" s="106" t="n">
        <v>2892.9</v>
      </c>
      <c r="K217" s="106" t="n">
        <v>2475.7</v>
      </c>
      <c r="L217" s="106" t="n">
        <v>0</v>
      </c>
      <c r="M217" s="107" t="n">
        <v>81</v>
      </c>
      <c r="N217" s="108" t="n">
        <f aca="false" ca="false" dt2D="false" dtr="false" t="normal">SUM(P217:T217)</f>
        <v>4652447.56</v>
      </c>
      <c r="O217" s="106" t="n"/>
      <c r="P217" s="114" t="n">
        <v>0</v>
      </c>
      <c r="Q217" s="114" t="n"/>
      <c r="R217" s="114" t="n">
        <v>2270366.743</v>
      </c>
      <c r="S217" s="114" t="n">
        <v>2382080.817</v>
      </c>
      <c r="T217" s="114" t="n"/>
      <c r="U217" s="114" t="n">
        <v>5499.65901230128</v>
      </c>
      <c r="V217" s="114" t="n">
        <v>1200.283020064</v>
      </c>
      <c r="W217" s="185" t="n">
        <v>2023</v>
      </c>
      <c r="X217" s="9" t="e">
        <f aca="false" ca="false" dt2D="false" dtr="false" t="normal">+#REF!-'[9]Приложение №1'!$P1334</f>
        <v>#REF!</v>
      </c>
      <c r="Z217" s="113" t="n">
        <f aca="false" ca="false" dt2D="false" dtr="false" t="normal">SUM(AA217:AO217)</f>
        <v>15958327.59649813</v>
      </c>
      <c r="AA217" s="106" t="n">
        <v>5934192.47136837</v>
      </c>
      <c r="AB217" s="106" t="n">
        <v>2374242.95769232</v>
      </c>
      <c r="AC217" s="106" t="n">
        <v>1753610.85076062</v>
      </c>
      <c r="AD217" s="106" t="n">
        <v>1120637.72641236</v>
      </c>
      <c r="AE217" s="106" t="n">
        <v>0</v>
      </c>
      <c r="AF217" s="106" t="n"/>
      <c r="AG217" s="106" t="n">
        <v>263647.888928099</v>
      </c>
      <c r="AH217" s="106" t="n">
        <v>0</v>
      </c>
      <c r="AI217" s="106" t="n">
        <v>2597035.67028429</v>
      </c>
      <c r="AJ217" s="106" t="n">
        <v>0</v>
      </c>
      <c r="AK217" s="106" t="n">
        <v>0</v>
      </c>
      <c r="AL217" s="106" t="n">
        <v>0</v>
      </c>
      <c r="AM217" s="106" t="n">
        <v>1448276.74905751</v>
      </c>
      <c r="AN217" s="114" t="n">
        <v>159583.275964981</v>
      </c>
      <c r="AO217" s="115" t="n">
        <v>307100.006029579</v>
      </c>
      <c r="AP217" s="112" t="n">
        <f aca="false" ca="false" dt2D="false" dtr="false" t="normal">+N217-'Приложение №2'!E217</f>
        <v>0</v>
      </c>
      <c r="AQ217" s="121" t="n">
        <v>1918099.39</v>
      </c>
      <c r="AR217" s="3" t="n">
        <f aca="false" ca="false" dt2D="false" dtr="false" t="normal">+(K217*13.95+L217*23.65)*12*0.85</f>
        <v>352267.35299999994</v>
      </c>
      <c r="AS217" s="3" t="n">
        <f aca="false" ca="false" dt2D="false" dtr="false" t="normal">+(K217*13.95+L217*23.65)*12*30</f>
        <v>12432965.399999999</v>
      </c>
      <c r="AT217" s="9" t="n">
        <f aca="false" ca="false" dt2D="false" dtr="false" t="normal">+S217-AS217</f>
        <v>-10050884.582999999</v>
      </c>
      <c r="AU217" s="9" t="e">
        <f aca="false" ca="false" dt2D="false" dtr="false" t="normal">+P217-'[5]Приложение №1'!$P486</f>
        <v>#REF!</v>
      </c>
      <c r="AV217" s="9" t="e">
        <f aca="false" ca="false" dt2D="false" dtr="false" t="normal">+Q217-'[5]Приложение №1'!$Q486</f>
        <v>#REF!</v>
      </c>
      <c r="AW217" s="186" t="n">
        <f aca="false" ca="true" dt2D="false" dtr="false" t="normal">SUBTOTAL(9, AX217:BL217)</f>
        <v>13615505.816754278</v>
      </c>
      <c r="AX217" s="106" t="n">
        <v>6434490.05696733</v>
      </c>
      <c r="AY217" s="106" t="n">
        <v>2579400.64775823</v>
      </c>
      <c r="AZ217" s="106" t="n"/>
      <c r="BA217" s="106" t="n">
        <v>1228279.07684931</v>
      </c>
      <c r="BB217" s="106" t="n">
        <v>0</v>
      </c>
      <c r="BC217" s="106" t="n"/>
      <c r="BD217" s="106" t="n">
        <v>263647.888928099</v>
      </c>
      <c r="BE217" s="106" t="n">
        <v>0</v>
      </c>
      <c r="BF217" s="106" t="n">
        <v>2818316.32177277</v>
      </c>
      <c r="BG217" s="106" t="n">
        <v>0</v>
      </c>
      <c r="BH217" s="106" t="n">
        <v>0</v>
      </c>
      <c r="BI217" s="106" t="n">
        <v>0</v>
      </c>
      <c r="BJ217" s="106" t="n"/>
      <c r="BK217" s="114" t="n"/>
      <c r="BL217" s="187" t="n">
        <v>291371.824478541</v>
      </c>
      <c r="BM217" s="186" t="n">
        <f aca="false" ca="true" dt2D="false" dtr="false" t="normal">SUBTOTAL(9, BN217:CB217)</f>
        <v>6005945.075179409</v>
      </c>
      <c r="BN217" s="106" t="n">
        <v>1431154.42</v>
      </c>
      <c r="BO217" s="106" t="n">
        <v>676787.87</v>
      </c>
      <c r="BP217" s="106" t="n"/>
      <c r="BQ217" s="106" t="n">
        <v>524666.75</v>
      </c>
      <c r="BR217" s="106" t="n">
        <v>0</v>
      </c>
      <c r="BS217" s="106" t="n"/>
      <c r="BT217" s="106" t="n">
        <v>263647.888928099</v>
      </c>
      <c r="BU217" s="106" t="n">
        <v>0</v>
      </c>
      <c r="BV217" s="106" t="n">
        <v>2818316.32177277</v>
      </c>
      <c r="BW217" s="106" t="n">
        <v>0</v>
      </c>
      <c r="BX217" s="106" t="n">
        <v>0</v>
      </c>
      <c r="BY217" s="106" t="n">
        <v>0</v>
      </c>
      <c r="BZ217" s="106" t="n"/>
      <c r="CA217" s="114" t="n"/>
      <c r="CB217" s="115" t="n">
        <v>291371.824478541</v>
      </c>
      <c r="CD217" s="116" t="n">
        <f aca="false" ca="false" dt2D="false" dtr="false" t="normal">+CD216+1</f>
        <v>198</v>
      </c>
      <c r="CE217" s="117" t="n">
        <f aca="false" ca="false" dt2D="false" dtr="false" t="normal">+CE216+1</f>
        <v>10</v>
      </c>
      <c r="CF217" s="104" t="s">
        <v>78</v>
      </c>
      <c r="CG217" s="117" t="s">
        <v>313</v>
      </c>
      <c r="CH217" s="188" t="n">
        <f aca="false" ca="true" dt2D="false" dtr="false" t="normal">SUBTOTAL(9, CI217:CW217)</f>
        <v>4943819.384478541</v>
      </c>
      <c r="CI217" s="114" t="n">
        <v>1431154.42</v>
      </c>
      <c r="CJ217" s="114" t="n">
        <v>676787.87</v>
      </c>
      <c r="CK217" s="114" t="n"/>
      <c r="CL217" s="114" t="n">
        <v>524666.75</v>
      </c>
      <c r="CM217" s="114" t="n">
        <v>0</v>
      </c>
      <c r="CN217" s="114" t="n"/>
      <c r="CO217" s="114" t="n"/>
      <c r="CP217" s="114" t="n">
        <v>0</v>
      </c>
      <c r="CQ217" s="114" t="n">
        <v>2019838.52</v>
      </c>
      <c r="CR217" s="114" t="n">
        <v>0</v>
      </c>
      <c r="CS217" s="114" t="n">
        <v>0</v>
      </c>
      <c r="CT217" s="114" t="n">
        <v>0</v>
      </c>
      <c r="CU217" s="114" t="n"/>
      <c r="CV217" s="114" t="n"/>
      <c r="CW217" s="115" t="n">
        <v>291371.824478541</v>
      </c>
      <c r="CZ217" s="117" t="s">
        <v>313</v>
      </c>
      <c r="DA217" s="189" t="n">
        <f aca="false" ca="true" dt2D="false" dtr="false" t="normal">SUBTOTAL(9, DB217:DP217)</f>
        <v>4652447.5600000005</v>
      </c>
      <c r="DB217" s="114" t="n">
        <v>1431154.42</v>
      </c>
      <c r="DC217" s="114" t="n">
        <v>676787.87</v>
      </c>
      <c r="DD217" s="114" t="n"/>
      <c r="DE217" s="114" t="n">
        <v>524666.75</v>
      </c>
      <c r="DF217" s="114" t="n">
        <v>0</v>
      </c>
      <c r="DG217" s="114" t="n"/>
      <c r="DH217" s="114" t="n"/>
      <c r="DI217" s="114" t="n">
        <v>0</v>
      </c>
      <c r="DJ217" s="114" t="n">
        <v>2019838.52</v>
      </c>
      <c r="DK217" s="114" t="n">
        <v>0</v>
      </c>
      <c r="DL217" s="114" t="n">
        <v>0</v>
      </c>
      <c r="DM217" s="114" t="n">
        <v>0</v>
      </c>
      <c r="DN217" s="114" t="n"/>
      <c r="DO217" s="114" t="n"/>
      <c r="DP217" s="122" t="n"/>
      <c r="DQ217" s="3" t="n">
        <f aca="false" ca="false" dt2D="false" dtr="false" t="normal">N217-DA217</f>
        <v>0</v>
      </c>
      <c r="DS217" s="9" t="n"/>
    </row>
    <row hidden="false" ht="15" outlineLevel="0" r="218">
      <c r="A218" s="183" t="n">
        <f aca="false" ca="false" dt2D="false" dtr="false" t="normal">+A217+1</f>
        <v>199</v>
      </c>
      <c r="B218" s="184" t="n">
        <f aca="false" ca="false" dt2D="false" dtr="false" t="normal">+B217+1</f>
        <v>11</v>
      </c>
      <c r="C218" s="104" t="s">
        <v>78</v>
      </c>
      <c r="D218" s="104" t="s">
        <v>87</v>
      </c>
      <c r="E218" s="105" t="n">
        <v>1981</v>
      </c>
      <c r="F218" s="105" t="n">
        <v>2016</v>
      </c>
      <c r="G218" s="105" t="s">
        <v>68</v>
      </c>
      <c r="H218" s="105" t="n">
        <v>4</v>
      </c>
      <c r="I218" s="105" t="n">
        <v>3</v>
      </c>
      <c r="J218" s="106" t="n">
        <v>3910.2</v>
      </c>
      <c r="K218" s="106" t="n">
        <v>2017.9</v>
      </c>
      <c r="L218" s="106" t="n">
        <v>997.9</v>
      </c>
      <c r="M218" s="107" t="n">
        <v>113</v>
      </c>
      <c r="N218" s="108" t="n">
        <f aca="false" ca="false" dt2D="false" dtr="false" t="normal">SUM(P218:T218)</f>
        <v>1472824.81</v>
      </c>
      <c r="O218" s="106" t="n"/>
      <c r="P218" s="114" t="n"/>
      <c r="Q218" s="114" t="n"/>
      <c r="R218" s="114" t="n">
        <v>806677.1</v>
      </c>
      <c r="S218" s="114" t="n">
        <v>666147.71</v>
      </c>
      <c r="T218" s="190" t="n"/>
      <c r="U218" s="106" t="n">
        <v>1444.68651649849</v>
      </c>
      <c r="V218" s="106" t="n">
        <v>1444.68651649849</v>
      </c>
      <c r="W218" s="185" t="n">
        <v>2023</v>
      </c>
      <c r="X218" s="9" t="e">
        <f aca="false" ca="false" dt2D="false" dtr="false" t="normal">+#REF!-'[9]Приложение №1'!$P1501</f>
        <v>#REF!</v>
      </c>
      <c r="Z218" s="113" t="n">
        <f aca="false" ca="false" dt2D="false" dtr="false" t="normal">SUM(AA218:AO218)</f>
        <v>33549604.466355488</v>
      </c>
      <c r="AA218" s="106" t="n">
        <v>9163753.05585479</v>
      </c>
      <c r="AB218" s="106" t="n">
        <v>4716823.2</v>
      </c>
      <c r="AC218" s="106" t="n">
        <v>2695930.73160361</v>
      </c>
      <c r="AD218" s="106" t="n">
        <v>0</v>
      </c>
      <c r="AE218" s="106" t="n">
        <v>0</v>
      </c>
      <c r="AF218" s="106" t="n"/>
      <c r="AG218" s="106" t="n">
        <v>295975.888796841</v>
      </c>
      <c r="AH218" s="106" t="n">
        <v>0</v>
      </c>
      <c r="AI218" s="106" t="n">
        <v>13238455.1326721</v>
      </c>
      <c r="AJ218" s="106" t="n">
        <v>0</v>
      </c>
      <c r="AK218" s="106" t="n">
        <v>0</v>
      </c>
      <c r="AL218" s="106" t="n">
        <v>0</v>
      </c>
      <c r="AM218" s="106" t="n">
        <v>2552926.04851368</v>
      </c>
      <c r="AN218" s="114" t="n">
        <v>295470.267540775</v>
      </c>
      <c r="AO218" s="115" t="n">
        <v>590270.141373693</v>
      </c>
      <c r="AP218" s="112" t="n">
        <f aca="false" ca="false" dt2D="false" dtr="false" t="normal">+N218-'Приложение №2'!E218</f>
        <v>0</v>
      </c>
      <c r="AQ218" s="1" t="n">
        <v>954415.48</v>
      </c>
      <c r="AR218" s="3" t="n">
        <f aca="false" ca="false" dt2D="false" dtr="false" t="normal">+(K218*10+L218*20)*12*0.85</f>
        <v>409397.39999999997</v>
      </c>
      <c r="AS218" s="3" t="n">
        <f aca="false" ca="false" dt2D="false" dtr="false" t="normal">+(K218*10+L218*20)*12*30</f>
        <v>14449320</v>
      </c>
      <c r="AT218" s="9" t="n">
        <f aca="false" ca="false" dt2D="false" dtr="false" t="normal">+S218-AS218</f>
        <v>-13783172.29</v>
      </c>
      <c r="AU218" s="9" t="e">
        <f aca="false" ca="false" dt2D="false" dtr="false" t="normal">+P218-'[5]Приложение №1'!$P231</f>
        <v>#REF!</v>
      </c>
      <c r="AV218" s="9" t="e">
        <f aca="false" ca="false" dt2D="false" dtr="false" t="normal">+Q218-'[5]Приложение №1'!$Q231</f>
        <v>#REF!</v>
      </c>
      <c r="AW218" s="113" t="n">
        <f aca="false" ca="true" dt2D="false" dtr="false" t="normal">SUBTOTAL(9, AX218:BL218)</f>
        <v>4356885.59645614</v>
      </c>
      <c r="AX218" s="106" t="n">
        <v>3825570</v>
      </c>
      <c r="AY218" s="106" t="n"/>
      <c r="AZ218" s="106" t="n"/>
      <c r="BA218" s="106" t="n">
        <v>0</v>
      </c>
      <c r="BB218" s="106" t="n">
        <v>0</v>
      </c>
      <c r="BC218" s="106" t="n"/>
      <c r="BD218" s="106" t="n"/>
      <c r="BE218" s="106" t="n"/>
      <c r="BF218" s="106" t="n"/>
      <c r="BG218" s="106" t="n">
        <v>0</v>
      </c>
      <c r="BH218" s="106" t="n">
        <v>0</v>
      </c>
      <c r="BI218" s="106" t="n">
        <v>0</v>
      </c>
      <c r="BJ218" s="106" t="n"/>
      <c r="BK218" s="114" t="n"/>
      <c r="BL218" s="187" t="n">
        <v>531315.59645614</v>
      </c>
      <c r="BM218" s="113" t="n">
        <f aca="false" ca="true" dt2D="false" dtr="false" t="normal">SUBTOTAL(9, BN218:CB218)</f>
        <v>1972053.59645614</v>
      </c>
      <c r="BN218" s="106" t="n">
        <v>1440738</v>
      </c>
      <c r="BO218" s="106" t="n"/>
      <c r="BP218" s="106" t="n"/>
      <c r="BQ218" s="106" t="n">
        <v>0</v>
      </c>
      <c r="BR218" s="106" t="n">
        <v>0</v>
      </c>
      <c r="BS218" s="106" t="n"/>
      <c r="BT218" s="106" t="n"/>
      <c r="BU218" s="106" t="n"/>
      <c r="BV218" s="106" t="n"/>
      <c r="BW218" s="106" t="n">
        <v>0</v>
      </c>
      <c r="BX218" s="106" t="n">
        <v>0</v>
      </c>
      <c r="BY218" s="106" t="n">
        <v>0</v>
      </c>
      <c r="BZ218" s="106" t="n"/>
      <c r="CA218" s="114" t="n"/>
      <c r="CB218" s="115" t="n">
        <v>531315.59645614</v>
      </c>
      <c r="CD218" s="116" t="n">
        <f aca="false" ca="false" dt2D="false" dtr="false" t="normal">+CD217+1</f>
        <v>199</v>
      </c>
      <c r="CE218" s="117" t="n">
        <f aca="false" ca="false" dt2D="false" dtr="false" t="normal">+CE217+1</f>
        <v>11</v>
      </c>
      <c r="CF218" s="104" t="s">
        <v>78</v>
      </c>
      <c r="CG218" s="117" t="s">
        <v>87</v>
      </c>
      <c r="CH218" s="118" t="n">
        <f aca="false" ca="true" dt2D="false" dtr="false" t="normal">SUBTOTAL(9, CI218:CW218)</f>
        <v>1972053.59645614</v>
      </c>
      <c r="CI218" s="114" t="n">
        <v>1440738</v>
      </c>
      <c r="CJ218" s="114" t="n"/>
      <c r="CK218" s="114" t="n"/>
      <c r="CL218" s="114" t="n">
        <v>0</v>
      </c>
      <c r="CM218" s="114" t="n">
        <v>0</v>
      </c>
      <c r="CN218" s="114" t="n"/>
      <c r="CO218" s="114" t="n"/>
      <c r="CP218" s="114" t="n"/>
      <c r="CQ218" s="114" t="n"/>
      <c r="CR218" s="114" t="n">
        <v>0</v>
      </c>
      <c r="CS218" s="114" t="n">
        <v>0</v>
      </c>
      <c r="CT218" s="114" t="n">
        <v>0</v>
      </c>
      <c r="CU218" s="114" t="n"/>
      <c r="CV218" s="114" t="n"/>
      <c r="CW218" s="115" t="n">
        <v>531315.59645614</v>
      </c>
      <c r="CZ218" s="117" t="s">
        <v>87</v>
      </c>
      <c r="DA218" s="119" t="n">
        <f aca="false" ca="true" dt2D="false" dtr="false" t="normal">SUBTOTAL(9, DB218:DP218)</f>
        <v>1472824.81</v>
      </c>
      <c r="DB218" s="114" t="n">
        <v>1440738</v>
      </c>
      <c r="DC218" s="114" t="n"/>
      <c r="DD218" s="114" t="n"/>
      <c r="DE218" s="114" t="n">
        <v>0</v>
      </c>
      <c r="DF218" s="114" t="n">
        <v>0</v>
      </c>
      <c r="DG218" s="114" t="n"/>
      <c r="DH218" s="114" t="n"/>
      <c r="DI218" s="114" t="n"/>
      <c r="DJ218" s="114" t="n"/>
      <c r="DK218" s="114" t="n">
        <v>0</v>
      </c>
      <c r="DL218" s="114" t="n">
        <v>0</v>
      </c>
      <c r="DM218" s="114" t="n">
        <v>0</v>
      </c>
      <c r="DN218" s="114" t="n"/>
      <c r="DO218" s="114" t="n"/>
      <c r="DP218" s="120" t="n">
        <v>32086.81</v>
      </c>
      <c r="DQ218" s="3" t="n">
        <f aca="false" ca="false" dt2D="false" dtr="false" t="normal">N218-DA218</f>
        <v>0</v>
      </c>
      <c r="DS218" s="9" t="n"/>
    </row>
    <row hidden="false" ht="15" outlineLevel="0" r="219">
      <c r="A219" s="183" t="n">
        <f aca="false" ca="false" dt2D="false" dtr="false" t="normal">+A218+1</f>
        <v>200</v>
      </c>
      <c r="B219" s="184" t="n">
        <f aca="false" ca="false" dt2D="false" dtr="false" t="normal">+B218+1</f>
        <v>12</v>
      </c>
      <c r="C219" s="104" t="s">
        <v>78</v>
      </c>
      <c r="D219" s="104" t="s">
        <v>314</v>
      </c>
      <c r="E219" s="105" t="n">
        <v>1990</v>
      </c>
      <c r="F219" s="105" t="n">
        <v>2017</v>
      </c>
      <c r="G219" s="105" t="s">
        <v>68</v>
      </c>
      <c r="H219" s="105" t="n">
        <v>9</v>
      </c>
      <c r="I219" s="105" t="n">
        <v>1</v>
      </c>
      <c r="J219" s="106" t="n">
        <v>3216.7</v>
      </c>
      <c r="K219" s="106" t="n">
        <v>2758.3</v>
      </c>
      <c r="L219" s="106" t="n">
        <v>0</v>
      </c>
      <c r="M219" s="107" t="n">
        <v>101</v>
      </c>
      <c r="N219" s="108" t="n">
        <f aca="false" ca="false" dt2D="false" dtr="false" t="normal">SUM(P219:T219)</f>
        <v>1265002.89</v>
      </c>
      <c r="O219" s="106" t="n"/>
      <c r="P219" s="106" t="n"/>
      <c r="Q219" s="106" t="n"/>
      <c r="R219" s="106" t="n"/>
      <c r="S219" s="106" t="n">
        <v>1265002.89</v>
      </c>
      <c r="T219" s="106" t="n"/>
      <c r="U219" s="106" t="n">
        <v>989.543462830196</v>
      </c>
      <c r="V219" s="114" t="n">
        <v>989.543462830196</v>
      </c>
      <c r="W219" s="185" t="n">
        <v>2023</v>
      </c>
      <c r="X219" s="9" t="e">
        <f aca="false" ca="false" dt2D="false" dtr="false" t="normal">+#REF!-'[9]Приложение №1'!$P949</f>
        <v>#REF!</v>
      </c>
      <c r="Z219" s="113" t="n">
        <f aca="false" ca="false" dt2D="false" dtr="false" t="normal">SUM(AA219:AO219)</f>
        <v>15264572.541393425</v>
      </c>
      <c r="AA219" s="106" t="n">
        <v>8237660.76239458</v>
      </c>
      <c r="AB219" s="106" t="n">
        <v>3295849.96565906</v>
      </c>
      <c r="AC219" s="106" t="n">
        <v>0</v>
      </c>
      <c r="AD219" s="106" t="n">
        <v>1555634.31288529</v>
      </c>
      <c r="AE219" s="106" t="n">
        <v>0</v>
      </c>
      <c r="AF219" s="106" t="n"/>
      <c r="AG219" s="106" t="n">
        <v>365987.770061385</v>
      </c>
      <c r="AH219" s="106" t="n">
        <v>0</v>
      </c>
      <c r="AI219" s="106" t="n">
        <v>0</v>
      </c>
      <c r="AJ219" s="106" t="n">
        <v>0</v>
      </c>
      <c r="AK219" s="106" t="n">
        <v>0</v>
      </c>
      <c r="AL219" s="106" t="n">
        <v>0</v>
      </c>
      <c r="AM219" s="106" t="n">
        <v>1362557.50165258</v>
      </c>
      <c r="AN219" s="114" t="n">
        <v>152645.725413934</v>
      </c>
      <c r="AO219" s="115" t="n">
        <v>294236.503326596</v>
      </c>
      <c r="AP219" s="112" t="n">
        <f aca="false" ca="false" dt2D="false" dtr="false" t="normal">+N219-'Приложение №2'!E219</f>
        <v>0</v>
      </c>
      <c r="AQ219" s="1" t="n">
        <v>1661335.31</v>
      </c>
      <c r="AR219" s="3" t="n">
        <f aca="false" ca="false" dt2D="false" dtr="false" t="normal">+(K219*13.29+L219*22.52)*12*0.85</f>
        <v>373909.6314</v>
      </c>
      <c r="AS219" s="3" t="n">
        <f aca="false" ca="false" dt2D="false" dtr="false" t="normal">+(K219*13.29+L219*22.52)*12*30</f>
        <v>13196810.52</v>
      </c>
      <c r="AT219" s="9" t="n">
        <f aca="false" ca="false" dt2D="false" dtr="false" t="normal">+S219-AS219</f>
        <v>-11931807.629999999</v>
      </c>
      <c r="AW219" s="113" t="n">
        <f aca="false" ca="true" dt2D="false" dtr="false" t="normal">SUBTOTAL(9, AX219:BL219)</f>
        <v>2729457.733524529</v>
      </c>
      <c r="AX219" s="106" t="n"/>
      <c r="AY219" s="106" t="n">
        <v>953472.79</v>
      </c>
      <c r="AZ219" s="106" t="n">
        <v>0</v>
      </c>
      <c r="BA219" s="106" t="n">
        <v>1703911.38</v>
      </c>
      <c r="BB219" s="106" t="n">
        <v>0</v>
      </c>
      <c r="BC219" s="106" t="n"/>
      <c r="BD219" s="106" t="n"/>
      <c r="BE219" s="106" t="n">
        <v>0</v>
      </c>
      <c r="BF219" s="106" t="n">
        <v>0</v>
      </c>
      <c r="BG219" s="106" t="n">
        <v>0</v>
      </c>
      <c r="BH219" s="106" t="n">
        <v>0</v>
      </c>
      <c r="BI219" s="106" t="n">
        <v>0</v>
      </c>
      <c r="BJ219" s="106" t="n"/>
      <c r="BK219" s="114" t="n"/>
      <c r="BL219" s="187" t="n">
        <v>72073.5635245288</v>
      </c>
      <c r="BM219" s="113" t="n">
        <f aca="false" ca="true" dt2D="false" dtr="false" t="normal">SUBTOTAL(9, BN219:CB219)</f>
        <v>1319581.103524529</v>
      </c>
      <c r="BN219" s="106" t="n"/>
      <c r="BO219" s="192" t="n">
        <v>598205.16</v>
      </c>
      <c r="BP219" s="106" t="n">
        <v>0</v>
      </c>
      <c r="BQ219" s="192" t="n">
        <v>649302.38</v>
      </c>
      <c r="BR219" s="106" t="n">
        <v>0</v>
      </c>
      <c r="BS219" s="106" t="n"/>
      <c r="BT219" s="106" t="n"/>
      <c r="BU219" s="106" t="n">
        <v>0</v>
      </c>
      <c r="BV219" s="106" t="n">
        <v>0</v>
      </c>
      <c r="BW219" s="106" t="n">
        <v>0</v>
      </c>
      <c r="BX219" s="106" t="n">
        <v>0</v>
      </c>
      <c r="BY219" s="106" t="n">
        <v>0</v>
      </c>
      <c r="BZ219" s="106" t="n"/>
      <c r="CA219" s="114" t="n"/>
      <c r="CB219" s="115" t="n">
        <v>72073.5635245288</v>
      </c>
      <c r="CD219" s="116" t="n">
        <f aca="false" ca="false" dt2D="false" dtr="false" t="normal">+CD218+1</f>
        <v>200</v>
      </c>
      <c r="CE219" s="117" t="n">
        <f aca="false" ca="false" dt2D="false" dtr="false" t="normal">+CE218+1</f>
        <v>12</v>
      </c>
      <c r="CF219" s="104" t="s">
        <v>78</v>
      </c>
      <c r="CG219" s="117" t="s">
        <v>314</v>
      </c>
      <c r="CH219" s="118" t="n">
        <f aca="false" ca="true" dt2D="false" dtr="false" t="normal">SUBTOTAL(9, CI219:CW219)</f>
        <v>1319581.103524529</v>
      </c>
      <c r="CI219" s="114" t="n"/>
      <c r="CJ219" s="114" t="n">
        <v>598205.16</v>
      </c>
      <c r="CK219" s="114" t="n">
        <v>0</v>
      </c>
      <c r="CL219" s="114" t="n">
        <v>649302.38</v>
      </c>
      <c r="CM219" s="114" t="n">
        <v>0</v>
      </c>
      <c r="CN219" s="114" t="n"/>
      <c r="CO219" s="114" t="n"/>
      <c r="CP219" s="114" t="n">
        <v>0</v>
      </c>
      <c r="CQ219" s="114" t="n">
        <v>0</v>
      </c>
      <c r="CR219" s="114" t="n">
        <v>0</v>
      </c>
      <c r="CS219" s="114" t="n">
        <v>0</v>
      </c>
      <c r="CT219" s="114" t="n">
        <v>0</v>
      </c>
      <c r="CU219" s="114" t="n"/>
      <c r="CV219" s="114" t="n"/>
      <c r="CW219" s="115" t="n">
        <v>72073.5635245288</v>
      </c>
      <c r="CZ219" s="117" t="s">
        <v>314</v>
      </c>
      <c r="DA219" s="119" t="n">
        <f aca="false" ca="true" dt2D="false" dtr="false" t="normal">SUBTOTAL(9, DB219:DP219)</f>
        <v>1265002.8900000001</v>
      </c>
      <c r="DB219" s="114" t="n"/>
      <c r="DC219" s="114" t="n">
        <v>598205.16</v>
      </c>
      <c r="DD219" s="114" t="n">
        <v>0</v>
      </c>
      <c r="DE219" s="114" t="n">
        <v>649302.38</v>
      </c>
      <c r="DF219" s="114" t="n">
        <v>0</v>
      </c>
      <c r="DG219" s="114" t="n"/>
      <c r="DH219" s="114" t="n"/>
      <c r="DI219" s="114" t="n">
        <v>0</v>
      </c>
      <c r="DJ219" s="114" t="n">
        <v>0</v>
      </c>
      <c r="DK219" s="114" t="n">
        <v>0</v>
      </c>
      <c r="DL219" s="114" t="n">
        <v>0</v>
      </c>
      <c r="DM219" s="114" t="n">
        <v>0</v>
      </c>
      <c r="DN219" s="114" t="n"/>
      <c r="DO219" s="114" t="n"/>
      <c r="DP219" s="120" t="n">
        <v>17495.35</v>
      </c>
      <c r="DQ219" s="3" t="n">
        <f aca="false" ca="false" dt2D="false" dtr="false" t="normal">N219-DA219</f>
        <v>0</v>
      </c>
      <c r="DS219" s="9" t="n"/>
    </row>
    <row hidden="false" ht="15" outlineLevel="0" r="220">
      <c r="A220" s="183" t="n">
        <f aca="false" ca="false" dt2D="false" dtr="false" t="normal">+A219+1</f>
        <v>201</v>
      </c>
      <c r="B220" s="184" t="n">
        <f aca="false" ca="false" dt2D="false" dtr="false" t="normal">+B219+1</f>
        <v>13</v>
      </c>
      <c r="C220" s="104" t="s">
        <v>78</v>
      </c>
      <c r="D220" s="104" t="s">
        <v>95</v>
      </c>
      <c r="E220" s="105" t="n">
        <v>1991</v>
      </c>
      <c r="F220" s="105" t="n">
        <v>1991</v>
      </c>
      <c r="G220" s="105" t="s">
        <v>68</v>
      </c>
      <c r="H220" s="105" t="n">
        <v>5</v>
      </c>
      <c r="I220" s="105" t="n">
        <v>8</v>
      </c>
      <c r="J220" s="106" t="n">
        <v>7532.7</v>
      </c>
      <c r="K220" s="106" t="n">
        <v>6513.5</v>
      </c>
      <c r="L220" s="106" t="n">
        <v>98.2</v>
      </c>
      <c r="M220" s="107" t="n">
        <v>288</v>
      </c>
      <c r="N220" s="108" t="n">
        <f aca="false" ca="false" dt2D="false" dtr="false" t="normal">SUM(P220:T220)</f>
        <v>4657286.09</v>
      </c>
      <c r="O220" s="109" t="n"/>
      <c r="P220" s="114" t="n"/>
      <c r="Q220" s="114" t="n"/>
      <c r="R220" s="114" t="n">
        <v>2140753.46</v>
      </c>
      <c r="S220" s="114" t="n">
        <v>2516532.63</v>
      </c>
      <c r="T220" s="114" t="n"/>
      <c r="U220" s="114" t="n">
        <v>795.499167980207</v>
      </c>
      <c r="V220" s="114" t="n">
        <v>795.499167980207</v>
      </c>
      <c r="W220" s="185" t="n">
        <v>2023</v>
      </c>
      <c r="X220" s="9" t="e">
        <f aca="false" ca="false" dt2D="false" dtr="false" t="normal">+#REF!-'[9]Приложение №1'!$P769</f>
        <v>#REF!</v>
      </c>
      <c r="Z220" s="113" t="n">
        <f aca="false" ca="false" dt2D="false" dtr="false" t="normal">SUM(AA220:AO220)</f>
        <v>28038201.105236765</v>
      </c>
      <c r="AA220" s="106" t="n">
        <v>13119220.4977216</v>
      </c>
      <c r="AB220" s="106" t="n">
        <v>5615316.99239804</v>
      </c>
      <c r="AC220" s="106" t="n">
        <v>0</v>
      </c>
      <c r="AD220" s="106" t="n">
        <v>5294421.91644648</v>
      </c>
      <c r="AE220" s="106" t="n">
        <v>0</v>
      </c>
      <c r="AF220" s="106" t="n"/>
      <c r="AG220" s="106" t="n">
        <v>544692.12481385</v>
      </c>
      <c r="AH220" s="106" t="n">
        <v>0</v>
      </c>
      <c r="AI220" s="106" t="n">
        <v>0</v>
      </c>
      <c r="AJ220" s="106" t="n">
        <v>0</v>
      </c>
      <c r="AK220" s="106" t="n">
        <v>0</v>
      </c>
      <c r="AL220" s="106" t="n">
        <v>0</v>
      </c>
      <c r="AM220" s="106" t="n">
        <v>2646791.57386969</v>
      </c>
      <c r="AN220" s="114" t="n">
        <v>280382.011052368</v>
      </c>
      <c r="AO220" s="115" t="n">
        <v>537375.988934735</v>
      </c>
      <c r="AP220" s="112" t="n">
        <f aca="false" ca="false" dt2D="false" dtr="false" t="normal">+N220-'Приложение №2'!E220</f>
        <v>0</v>
      </c>
      <c r="AQ220" s="1" t="e">
        <f aca="false" ca="false" dt2D="false" dtr="false" t="normal">3159895.02-'[10]Приложение №1'!$R$23-542094.29</f>
        <v>#REF!</v>
      </c>
      <c r="AR220" s="3" t="n">
        <f aca="false" ca="false" dt2D="false" dtr="false" t="normal">+(K220*10+L220*20)*12*0.85</f>
        <v>684409.7999999999</v>
      </c>
      <c r="AS220" s="3" t="e">
        <f aca="false" ca="false" dt2D="false" dtr="false" t="normal">+(K220*10+L220*20)*12*30-'[10]Приложение №1'!$S$23-4668048.56</f>
        <v>#REF!</v>
      </c>
      <c r="AT220" s="9" t="e">
        <f aca="false" ca="false" dt2D="false" dtr="false" t="normal">+S220-AS220</f>
        <v>#REF!</v>
      </c>
      <c r="AW220" s="113" t="n">
        <f aca="false" ca="true" dt2D="false" dtr="false" t="normal">SUBTOTAL(9, AX220:BL220)</f>
        <v>5259601.848934735</v>
      </c>
      <c r="AX220" s="106" t="n">
        <v>2924642.29</v>
      </c>
      <c r="AY220" s="106" t="n"/>
      <c r="AZ220" s="106" t="n"/>
      <c r="BA220" s="106" t="n">
        <v>1797583.57</v>
      </c>
      <c r="BB220" s="106" t="n">
        <v>0</v>
      </c>
      <c r="BC220" s="106" t="n"/>
      <c r="BD220" s="106" t="n"/>
      <c r="BE220" s="106" t="n">
        <v>0</v>
      </c>
      <c r="BF220" s="106" t="n">
        <v>0</v>
      </c>
      <c r="BG220" s="106" t="n">
        <v>0</v>
      </c>
      <c r="BH220" s="106" t="n">
        <v>0</v>
      </c>
      <c r="BI220" s="106" t="n">
        <v>0</v>
      </c>
      <c r="BJ220" s="106" t="n"/>
      <c r="BK220" s="114" t="n"/>
      <c r="BL220" s="187" t="n">
        <v>537375.988934735</v>
      </c>
      <c r="BM220" s="113" t="n">
        <f aca="false" ca="true" dt2D="false" dtr="false" t="normal">SUBTOTAL(9, BN220:CB220)</f>
        <v>5120371.918934735</v>
      </c>
      <c r="BN220" s="106" t="n">
        <v>2785412.36</v>
      </c>
      <c r="BO220" s="106" t="n"/>
      <c r="BP220" s="106" t="n"/>
      <c r="BQ220" s="106" t="n">
        <v>1797583.57</v>
      </c>
      <c r="BR220" s="106" t="n">
        <v>0</v>
      </c>
      <c r="BS220" s="106" t="n"/>
      <c r="BT220" s="106" t="n"/>
      <c r="BU220" s="106" t="n">
        <v>0</v>
      </c>
      <c r="BV220" s="106" t="n">
        <v>0</v>
      </c>
      <c r="BW220" s="106" t="n">
        <v>0</v>
      </c>
      <c r="BX220" s="106" t="n">
        <v>0</v>
      </c>
      <c r="BY220" s="106" t="n">
        <v>0</v>
      </c>
      <c r="BZ220" s="106" t="n"/>
      <c r="CA220" s="114" t="n"/>
      <c r="CB220" s="115" t="n">
        <v>537375.988934735</v>
      </c>
      <c r="CD220" s="116" t="n">
        <f aca="false" ca="false" dt2D="false" dtr="false" t="normal">+CD219+1</f>
        <v>201</v>
      </c>
      <c r="CE220" s="117" t="n">
        <f aca="false" ca="false" dt2D="false" dtr="false" t="normal">+CE219+1</f>
        <v>13</v>
      </c>
      <c r="CF220" s="104" t="s">
        <v>78</v>
      </c>
      <c r="CG220" s="117" t="s">
        <v>95</v>
      </c>
      <c r="CH220" s="118" t="n">
        <f aca="false" ca="true" dt2D="false" dtr="false" t="normal">SUBTOTAL(9, CI220:CW220)</f>
        <v>5120371.918934735</v>
      </c>
      <c r="CI220" s="114" t="n">
        <v>2785412.36</v>
      </c>
      <c r="CJ220" s="114" t="n"/>
      <c r="CK220" s="114" t="n"/>
      <c r="CL220" s="114" t="n">
        <v>1797583.57</v>
      </c>
      <c r="CM220" s="114" t="n">
        <v>0</v>
      </c>
      <c r="CN220" s="114" t="n"/>
      <c r="CO220" s="114" t="n"/>
      <c r="CP220" s="114" t="n">
        <v>0</v>
      </c>
      <c r="CQ220" s="114" t="n">
        <v>0</v>
      </c>
      <c r="CR220" s="114" t="n">
        <v>0</v>
      </c>
      <c r="CS220" s="114" t="n">
        <v>0</v>
      </c>
      <c r="CT220" s="114" t="n">
        <v>0</v>
      </c>
      <c r="CU220" s="114" t="n"/>
      <c r="CV220" s="114" t="n"/>
      <c r="CW220" s="115" t="n">
        <v>537375.988934735</v>
      </c>
      <c r="CZ220" s="117" t="s">
        <v>95</v>
      </c>
      <c r="DA220" s="119" t="n">
        <f aca="false" ca="true" dt2D="false" dtr="false" t="normal">SUBTOTAL(9, DB220:DP220)</f>
        <v>4657286.09</v>
      </c>
      <c r="DB220" s="114" t="n">
        <v>2785412.36</v>
      </c>
      <c r="DC220" s="114" t="n"/>
      <c r="DD220" s="114" t="n"/>
      <c r="DE220" s="114" t="n">
        <v>1797583.57</v>
      </c>
      <c r="DF220" s="114" t="n">
        <v>0</v>
      </c>
      <c r="DG220" s="114" t="n"/>
      <c r="DH220" s="114" t="n"/>
      <c r="DI220" s="114" t="n">
        <v>0</v>
      </c>
      <c r="DJ220" s="114" t="n">
        <v>0</v>
      </c>
      <c r="DK220" s="114" t="n">
        <v>0</v>
      </c>
      <c r="DL220" s="114" t="n">
        <v>0</v>
      </c>
      <c r="DM220" s="114" t="n">
        <v>0</v>
      </c>
      <c r="DN220" s="114" t="n"/>
      <c r="DO220" s="114" t="n"/>
      <c r="DP220" s="120" t="n">
        <f aca="false" ca="false" dt2D="false" dtr="false" t="normal">47685.81+26604.35</f>
        <v>74290.16</v>
      </c>
      <c r="DQ220" s="3" t="n">
        <f aca="false" ca="false" dt2D="false" dtr="false" t="normal">N220-DA220</f>
        <v>0</v>
      </c>
      <c r="DS220" s="9" t="n"/>
    </row>
    <row hidden="false" ht="15" outlineLevel="0" r="221">
      <c r="A221" s="183" t="n">
        <f aca="false" ca="false" dt2D="false" dtr="false" t="normal">+A220+1</f>
        <v>202</v>
      </c>
      <c r="B221" s="184" t="n">
        <f aca="false" ca="false" dt2D="false" dtr="false" t="normal">+B220+1</f>
        <v>14</v>
      </c>
      <c r="C221" s="104" t="s">
        <v>78</v>
      </c>
      <c r="D221" s="104" t="s">
        <v>98</v>
      </c>
      <c r="E221" s="105" t="n">
        <v>1986</v>
      </c>
      <c r="F221" s="105" t="n">
        <v>2013</v>
      </c>
      <c r="G221" s="105" t="s">
        <v>68</v>
      </c>
      <c r="H221" s="105" t="n">
        <v>5</v>
      </c>
      <c r="I221" s="105" t="n">
        <v>3</v>
      </c>
      <c r="J221" s="106" t="n">
        <v>4428.4</v>
      </c>
      <c r="K221" s="106" t="n">
        <v>3725.8</v>
      </c>
      <c r="L221" s="106" t="n">
        <v>0</v>
      </c>
      <c r="M221" s="107" t="n">
        <v>153</v>
      </c>
      <c r="N221" s="108" t="n">
        <f aca="false" ca="false" dt2D="false" dtr="false" t="normal">SUM(P221:T221)</f>
        <v>998067.65</v>
      </c>
      <c r="O221" s="106" t="n"/>
      <c r="P221" s="114" t="n"/>
      <c r="Q221" s="114" t="n"/>
      <c r="R221" s="114" t="n"/>
      <c r="S221" s="114" t="n">
        <v>998067.65</v>
      </c>
      <c r="T221" s="114" t="n"/>
      <c r="U221" s="114" t="n">
        <v>318.126606749886</v>
      </c>
      <c r="V221" s="114" t="n">
        <v>318.126606749886</v>
      </c>
      <c r="W221" s="185" t="n">
        <v>2023</v>
      </c>
      <c r="X221" s="9" t="e">
        <f aca="false" ca="false" dt2D="false" dtr="false" t="normal">+#REF!-'[9]Приложение №1'!$P1564</f>
        <v>#REF!</v>
      </c>
      <c r="Z221" s="113" t="n">
        <f aca="false" ca="false" dt2D="false" dtr="false" t="normal">SUM(AA221:AO221)</f>
        <v>12150273.237424362</v>
      </c>
      <c r="AA221" s="106" t="n">
        <v>7382843.46525461</v>
      </c>
      <c r="AB221" s="106" t="n">
        <v>0</v>
      </c>
      <c r="AC221" s="106" t="n">
        <v>0</v>
      </c>
      <c r="AD221" s="106" t="n">
        <v>2979436.7931331</v>
      </c>
      <c r="AE221" s="106" t="n">
        <v>0</v>
      </c>
      <c r="AF221" s="106" t="n"/>
      <c r="AG221" s="106" t="n">
        <v>306525.581680402</v>
      </c>
      <c r="AH221" s="106" t="n">
        <v>0</v>
      </c>
      <c r="AI221" s="106" t="n">
        <v>0</v>
      </c>
      <c r="AJ221" s="106" t="n">
        <v>0</v>
      </c>
      <c r="AK221" s="106" t="n">
        <v>0</v>
      </c>
      <c r="AL221" s="106" t="n">
        <v>0</v>
      </c>
      <c r="AM221" s="106" t="n">
        <v>1126659.48924375</v>
      </c>
      <c r="AN221" s="114" t="n">
        <v>121502.732374244</v>
      </c>
      <c r="AO221" s="115" t="n">
        <v>233305.175738256</v>
      </c>
      <c r="AP221" s="112" t="n">
        <f aca="false" ca="false" dt2D="false" dtr="false" t="normal">+N221-'Приложение №2'!E221</f>
        <v>0</v>
      </c>
      <c r="AQ221" s="9" t="n">
        <f aca="false" ca="false" dt2D="false" dtr="false" t="normal">1864228.53-R45</f>
        <v>-380031.59999999986</v>
      </c>
      <c r="AR221" s="3" t="n">
        <f aca="false" ca="false" dt2D="false" dtr="false" t="normal">+(K221*10+L221*20)*12*0.85</f>
        <v>380031.6</v>
      </c>
      <c r="AS221" s="3" t="n">
        <f aca="false" ca="false" dt2D="false" dtr="false" t="normal">+(K221*10+L221*20)*12*30-S45</f>
        <v>10541912.96</v>
      </c>
      <c r="AT221" s="9" t="n">
        <f aca="false" ca="false" dt2D="false" dtr="false" t="normal">+S221-AS221</f>
        <v>-9543845.31</v>
      </c>
      <c r="AW221" s="113" t="n">
        <f aca="false" ca="true" dt2D="false" dtr="false" t="normal">SUBTOTAL(9, AX221:BL221)</f>
        <v>1185276.1114287241</v>
      </c>
      <c r="AX221" s="106" t="n"/>
      <c r="AY221" s="106" t="n">
        <v>0</v>
      </c>
      <c r="AZ221" s="106" t="n">
        <v>0</v>
      </c>
      <c r="BA221" s="106" t="n">
        <v>998067.65</v>
      </c>
      <c r="BB221" s="106" t="n">
        <v>0</v>
      </c>
      <c r="BC221" s="106" t="n"/>
      <c r="BD221" s="106" t="n"/>
      <c r="BE221" s="106" t="n">
        <v>0</v>
      </c>
      <c r="BF221" s="106" t="n">
        <v>0</v>
      </c>
      <c r="BG221" s="106" t="n"/>
      <c r="BH221" s="106" t="n">
        <v>0</v>
      </c>
      <c r="BI221" s="106" t="n">
        <v>0</v>
      </c>
      <c r="BJ221" s="106" t="n"/>
      <c r="BK221" s="114" t="n"/>
      <c r="BL221" s="187" t="n">
        <v>187208.461428724</v>
      </c>
      <c r="BM221" s="113" t="n">
        <f aca="false" ca="true" dt2D="false" dtr="false" t="normal">SUBTOTAL(9, BN221:CB221)</f>
        <v>1185276.1114287241</v>
      </c>
      <c r="BN221" s="106" t="n"/>
      <c r="BO221" s="106" t="n">
        <v>0</v>
      </c>
      <c r="BP221" s="106" t="n">
        <v>0</v>
      </c>
      <c r="BQ221" s="106" t="n">
        <v>998067.65</v>
      </c>
      <c r="BR221" s="106" t="n">
        <v>0</v>
      </c>
      <c r="BS221" s="106" t="n"/>
      <c r="BT221" s="106" t="n"/>
      <c r="BU221" s="106" t="n">
        <v>0</v>
      </c>
      <c r="BV221" s="106" t="n">
        <v>0</v>
      </c>
      <c r="BW221" s="106" t="n"/>
      <c r="BX221" s="106" t="n">
        <v>0</v>
      </c>
      <c r="BY221" s="106" t="n">
        <v>0</v>
      </c>
      <c r="BZ221" s="106" t="n"/>
      <c r="CA221" s="114" t="n"/>
      <c r="CB221" s="187" t="n">
        <v>187208.461428724</v>
      </c>
      <c r="CD221" s="116" t="n">
        <f aca="false" ca="false" dt2D="false" dtr="false" t="normal">+CD220+1</f>
        <v>202</v>
      </c>
      <c r="CE221" s="117" t="n">
        <f aca="false" ca="false" dt2D="false" dtr="false" t="normal">+CE220+1</f>
        <v>14</v>
      </c>
      <c r="CF221" s="104" t="s">
        <v>78</v>
      </c>
      <c r="CG221" s="117" t="s">
        <v>98</v>
      </c>
      <c r="CH221" s="118" t="n">
        <f aca="false" ca="true" dt2D="false" dtr="false" t="normal">SUBTOTAL(9, CI221:CW221)</f>
        <v>1185276.1114287241</v>
      </c>
      <c r="CI221" s="114" t="n"/>
      <c r="CJ221" s="114" t="n">
        <v>0</v>
      </c>
      <c r="CK221" s="114" t="n">
        <v>0</v>
      </c>
      <c r="CL221" s="114" t="n">
        <v>998067.65</v>
      </c>
      <c r="CM221" s="114" t="n">
        <v>0</v>
      </c>
      <c r="CN221" s="114" t="n"/>
      <c r="CO221" s="114" t="n"/>
      <c r="CP221" s="114" t="n">
        <v>0</v>
      </c>
      <c r="CQ221" s="114" t="n">
        <v>0</v>
      </c>
      <c r="CR221" s="114" t="n"/>
      <c r="CS221" s="114" t="n">
        <v>0</v>
      </c>
      <c r="CT221" s="114" t="n">
        <v>0</v>
      </c>
      <c r="CU221" s="114" t="n"/>
      <c r="CV221" s="114" t="n"/>
      <c r="CW221" s="115" t="n">
        <v>187208.461428724</v>
      </c>
      <c r="CZ221" s="117" t="s">
        <v>98</v>
      </c>
      <c r="DA221" s="119" t="n">
        <f aca="false" ca="true" dt2D="false" dtr="false" t="normal">SUBTOTAL(9, DB221:DP221)</f>
        <v>998067.65</v>
      </c>
      <c r="DB221" s="114" t="n"/>
      <c r="DC221" s="114" t="n">
        <v>0</v>
      </c>
      <c r="DD221" s="114" t="n">
        <v>0</v>
      </c>
      <c r="DE221" s="114" t="n">
        <v>998067.65</v>
      </c>
      <c r="DF221" s="114" t="n">
        <v>0</v>
      </c>
      <c r="DG221" s="114" t="n"/>
      <c r="DH221" s="114" t="n"/>
      <c r="DI221" s="114" t="n">
        <v>0</v>
      </c>
      <c r="DJ221" s="114" t="n">
        <v>0</v>
      </c>
      <c r="DK221" s="114" t="n"/>
      <c r="DL221" s="114" t="n">
        <v>0</v>
      </c>
      <c r="DM221" s="114" t="n">
        <v>0</v>
      </c>
      <c r="DN221" s="114" t="n"/>
      <c r="DO221" s="114" t="n"/>
      <c r="DP221" s="122" t="n"/>
      <c r="DQ221" s="3" t="n">
        <f aca="false" ca="false" dt2D="false" dtr="false" t="normal">N221-DA221</f>
        <v>0</v>
      </c>
      <c r="DS221" s="9" t="n"/>
    </row>
    <row hidden="false" ht="15" outlineLevel="0" r="222">
      <c r="A222" s="183" t="n">
        <f aca="false" ca="false" dt2D="false" dtr="false" t="normal">+A221+1</f>
        <v>203</v>
      </c>
      <c r="B222" s="184" t="n">
        <f aca="false" ca="false" dt2D="false" dtr="false" t="normal">+B221+1</f>
        <v>15</v>
      </c>
      <c r="C222" s="117" t="s">
        <v>78</v>
      </c>
      <c r="D222" s="117" t="s">
        <v>107</v>
      </c>
      <c r="E222" s="105" t="n">
        <v>1992</v>
      </c>
      <c r="F222" s="105" t="n">
        <v>2001</v>
      </c>
      <c r="G222" s="105" t="s">
        <v>68</v>
      </c>
      <c r="H222" s="105" t="n">
        <v>3</v>
      </c>
      <c r="I222" s="105" t="n">
        <v>5</v>
      </c>
      <c r="J222" s="106" t="n">
        <v>2965.1</v>
      </c>
      <c r="K222" s="106" t="n">
        <v>2484</v>
      </c>
      <c r="L222" s="106" t="n">
        <v>87.5</v>
      </c>
      <c r="M222" s="107" t="n">
        <v>91</v>
      </c>
      <c r="N222" s="108" t="n">
        <f aca="false" ca="false" dt2D="false" dtr="false" t="normal">SUM(P222:T222)</f>
        <v>8234860.98</v>
      </c>
      <c r="O222" s="114" t="n"/>
      <c r="P222" s="114" t="n">
        <v>5985386.164</v>
      </c>
      <c r="Q222" s="114" t="n"/>
      <c r="R222" s="114" t="n">
        <v>213532.98</v>
      </c>
      <c r="S222" s="114" t="n">
        <v>2035941.836</v>
      </c>
      <c r="T222" s="114" t="n"/>
      <c r="U222" s="114" t="n">
        <v>3616.10975281901</v>
      </c>
      <c r="V222" s="114" t="n">
        <v>3616.10975281901</v>
      </c>
      <c r="W222" s="185" t="n">
        <v>2023</v>
      </c>
      <c r="X222" s="9" t="e">
        <f aca="false" ca="false" dt2D="false" dtr="false" t="normal">+#REF!-'[9]Приложение №1'!$P1556</f>
        <v>#REF!</v>
      </c>
      <c r="Z222" s="113" t="n">
        <f aca="false" ca="false" dt2D="false" dtr="false" t="normal">SUM(AA222:AO222)</f>
        <v>25552155.490000002</v>
      </c>
      <c r="AA222" s="106" t="n">
        <v>0</v>
      </c>
      <c r="AB222" s="106" t="n">
        <v>0</v>
      </c>
      <c r="AC222" s="106" t="n">
        <v>0</v>
      </c>
      <c r="AD222" s="106" t="n">
        <v>0</v>
      </c>
      <c r="AE222" s="106" t="n">
        <v>0</v>
      </c>
      <c r="AF222" s="106" t="n"/>
      <c r="AG222" s="106" t="n">
        <v>0</v>
      </c>
      <c r="AH222" s="106" t="n">
        <v>0</v>
      </c>
      <c r="AI222" s="106" t="n">
        <v>22504805.4262626</v>
      </c>
      <c r="AJ222" s="106" t="n">
        <v>0</v>
      </c>
      <c r="AK222" s="106" t="n">
        <v>0</v>
      </c>
      <c r="AL222" s="106" t="n">
        <v>0</v>
      </c>
      <c r="AM222" s="106" t="n">
        <v>2299693.9941</v>
      </c>
      <c r="AN222" s="114" t="n">
        <v>255521.5549</v>
      </c>
      <c r="AO222" s="115" t="n">
        <v>492134.5147374</v>
      </c>
      <c r="AP222" s="112" t="n">
        <f aca="false" ca="false" dt2D="false" dtr="false" t="normal">+N222-'Приложение №2'!E222</f>
        <v>0</v>
      </c>
      <c r="AQ222" s="9" t="n">
        <f aca="false" ca="false" dt2D="false" dtr="false" t="normal">1173019.05-R51</f>
        <v>-13985.589374080068</v>
      </c>
      <c r="AR222" s="3" t="n">
        <f aca="false" ca="false" dt2D="false" dtr="false" t="normal">+(K222*10+L222*20)*12*0.85</f>
        <v>271218</v>
      </c>
      <c r="AS222" s="3" t="n">
        <f aca="false" ca="false" dt2D="false" dtr="false" t="normal">+(K222*10+L222*20)*12*30-S51</f>
        <v>3099907.0893740803</v>
      </c>
      <c r="AT222" s="9" t="n">
        <f aca="false" ca="false" dt2D="false" dtr="false" t="normal">+S222-AS222</f>
        <v>-1063965.2533740804</v>
      </c>
      <c r="AW222" s="113" t="n">
        <f aca="false" ca="true" dt2D="false" dtr="false" t="normal">SUBTOTAL(9, AX222:BL222)</f>
        <v>9298826.22937408</v>
      </c>
      <c r="AX222" s="106" t="n">
        <v>0</v>
      </c>
      <c r="AY222" s="106" t="n">
        <v>0</v>
      </c>
      <c r="AZ222" s="106" t="n">
        <v>0</v>
      </c>
      <c r="BA222" s="106" t="n">
        <v>0</v>
      </c>
      <c r="BB222" s="106" t="n">
        <v>0</v>
      </c>
      <c r="BC222" s="106" t="n"/>
      <c r="BD222" s="106" t="n"/>
      <c r="BE222" s="106" t="n">
        <v>0</v>
      </c>
      <c r="BF222" s="106" t="n">
        <v>8234860.98</v>
      </c>
      <c r="BG222" s="106" t="n">
        <v>0</v>
      </c>
      <c r="BH222" s="106" t="n"/>
      <c r="BI222" s="106" t="n">
        <v>0</v>
      </c>
      <c r="BJ222" s="106" t="n"/>
      <c r="BK222" s="114" t="n"/>
      <c r="BL222" s="187" t="n">
        <v>1063965.24937408</v>
      </c>
      <c r="BM222" s="113" t="n">
        <f aca="false" ca="true" dt2D="false" dtr="false" t="normal">SUBTOTAL(9, BN222:CB222)</f>
        <v>9298826.22937408</v>
      </c>
      <c r="BN222" s="106" t="n">
        <v>0</v>
      </c>
      <c r="BO222" s="106" t="n">
        <v>0</v>
      </c>
      <c r="BP222" s="106" t="n">
        <v>0</v>
      </c>
      <c r="BQ222" s="106" t="n">
        <v>0</v>
      </c>
      <c r="BR222" s="106" t="n">
        <v>0</v>
      </c>
      <c r="BS222" s="106" t="n"/>
      <c r="BT222" s="106" t="n"/>
      <c r="BU222" s="106" t="n">
        <v>0</v>
      </c>
      <c r="BV222" s="106" t="n">
        <v>8234860.98</v>
      </c>
      <c r="BW222" s="106" t="n">
        <v>0</v>
      </c>
      <c r="BX222" s="106" t="n"/>
      <c r="BY222" s="106" t="n">
        <v>0</v>
      </c>
      <c r="BZ222" s="106" t="n"/>
      <c r="CA222" s="114" t="n"/>
      <c r="CB222" s="115" t="n">
        <v>1063965.24937408</v>
      </c>
      <c r="CD222" s="116" t="n">
        <f aca="false" ca="false" dt2D="false" dtr="false" t="normal">+CD221+1</f>
        <v>203</v>
      </c>
      <c r="CE222" s="117" t="n">
        <f aca="false" ca="false" dt2D="false" dtr="false" t="normal">+CE221+1</f>
        <v>15</v>
      </c>
      <c r="CF222" s="104" t="s">
        <v>78</v>
      </c>
      <c r="CG222" s="117" t="s">
        <v>107</v>
      </c>
      <c r="CH222" s="118" t="n">
        <f aca="false" ca="true" dt2D="false" dtr="false" t="normal">SUBTOTAL(9, CI222:CW222)</f>
        <v>9298826.22937408</v>
      </c>
      <c r="CI222" s="114" t="n">
        <v>0</v>
      </c>
      <c r="CJ222" s="114" t="n">
        <v>0</v>
      </c>
      <c r="CK222" s="114" t="n">
        <v>0</v>
      </c>
      <c r="CL222" s="114" t="n">
        <v>0</v>
      </c>
      <c r="CM222" s="114" t="n">
        <v>0</v>
      </c>
      <c r="CN222" s="114" t="n"/>
      <c r="CO222" s="114" t="n"/>
      <c r="CP222" s="114" t="n">
        <v>0</v>
      </c>
      <c r="CQ222" s="114" t="n">
        <v>8234860.98</v>
      </c>
      <c r="CR222" s="114" t="n">
        <v>0</v>
      </c>
      <c r="CS222" s="114" t="n"/>
      <c r="CT222" s="114" t="n">
        <v>0</v>
      </c>
      <c r="CU222" s="114" t="n"/>
      <c r="CV222" s="114" t="n"/>
      <c r="CW222" s="115" t="n">
        <v>1063965.24937408</v>
      </c>
      <c r="CZ222" s="117" t="s">
        <v>107</v>
      </c>
      <c r="DA222" s="119" t="n">
        <f aca="false" ca="true" dt2D="false" dtr="false" t="normal">SUBTOTAL(9, DB222:DP222)</f>
        <v>8234860.98</v>
      </c>
      <c r="DB222" s="114" t="n">
        <v>0</v>
      </c>
      <c r="DC222" s="114" t="n">
        <v>0</v>
      </c>
      <c r="DD222" s="114" t="n">
        <v>0</v>
      </c>
      <c r="DE222" s="114" t="n">
        <v>0</v>
      </c>
      <c r="DF222" s="114" t="n">
        <v>0</v>
      </c>
      <c r="DG222" s="114" t="n"/>
      <c r="DH222" s="114" t="n"/>
      <c r="DI222" s="114" t="n">
        <v>0</v>
      </c>
      <c r="DJ222" s="114" t="n">
        <v>8234860.98</v>
      </c>
      <c r="DK222" s="114" t="n">
        <v>0</v>
      </c>
      <c r="DL222" s="114" t="n"/>
      <c r="DM222" s="114" t="n">
        <v>0</v>
      </c>
      <c r="DN222" s="114" t="n"/>
      <c r="DO222" s="114" t="n"/>
      <c r="DP222" s="122" t="n"/>
      <c r="DQ222" s="3" t="n">
        <f aca="false" ca="false" dt2D="false" dtr="false" t="normal">N222-DA222</f>
        <v>0</v>
      </c>
      <c r="DS222" s="9" t="n"/>
    </row>
    <row hidden="false" ht="15" outlineLevel="0" r="223">
      <c r="A223" s="183" t="n">
        <f aca="false" ca="false" dt2D="false" dtr="false" t="normal">+A222+1</f>
        <v>204</v>
      </c>
      <c r="B223" s="184" t="n">
        <f aca="false" ca="false" dt2D="false" dtr="false" t="normal">+B222+1</f>
        <v>16</v>
      </c>
      <c r="C223" s="104" t="s">
        <v>78</v>
      </c>
      <c r="D223" s="104" t="s">
        <v>315</v>
      </c>
      <c r="E223" s="105" t="n">
        <v>1987</v>
      </c>
      <c r="F223" s="105" t="n">
        <v>2016</v>
      </c>
      <c r="G223" s="105" t="s">
        <v>68</v>
      </c>
      <c r="H223" s="105" t="n">
        <v>5</v>
      </c>
      <c r="I223" s="105" t="n">
        <v>5</v>
      </c>
      <c r="J223" s="106" t="n">
        <v>7155.6</v>
      </c>
      <c r="K223" s="106" t="n">
        <v>5789.5</v>
      </c>
      <c r="L223" s="106" t="n">
        <v>194.7</v>
      </c>
      <c r="M223" s="107" t="n">
        <v>243</v>
      </c>
      <c r="N223" s="108" t="n">
        <f aca="false" ca="false" dt2D="false" dtr="false" t="normal">SUM(P223:T223)</f>
        <v>8726659.43</v>
      </c>
      <c r="O223" s="106" t="n"/>
      <c r="P223" s="106" t="n"/>
      <c r="Q223" s="106" t="n"/>
      <c r="R223" s="106" t="n">
        <v>2256212.41</v>
      </c>
      <c r="S223" s="106" t="n">
        <v>6470447.02</v>
      </c>
      <c r="T223" s="106" t="n"/>
      <c r="U223" s="106" t="n">
        <v>5709.58601666298</v>
      </c>
      <c r="V223" s="114" t="n">
        <v>1235.283020064</v>
      </c>
      <c r="W223" s="185" t="n">
        <v>2023</v>
      </c>
      <c r="X223" s="9" t="e">
        <f aca="false" ca="false" dt2D="false" dtr="false" t="normal">+#REF!-'[9]Приложение №1'!$P672</f>
        <v>#REF!</v>
      </c>
      <c r="Z223" s="113" t="n">
        <f aca="false" ca="false" dt2D="false" dtr="false" t="normal">SUM(AA223:AO223)</f>
        <v>41277450.38367226</v>
      </c>
      <c r="AA223" s="106" t="n">
        <v>11858561.0386538</v>
      </c>
      <c r="AB223" s="106" t="n">
        <v>0</v>
      </c>
      <c r="AC223" s="106" t="n">
        <v>0</v>
      </c>
      <c r="AD223" s="106" t="n">
        <v>4785667.37036476</v>
      </c>
      <c r="AE223" s="106" t="n">
        <v>0</v>
      </c>
      <c r="AF223" s="106" t="n"/>
      <c r="AG223" s="106" t="n">
        <v>0</v>
      </c>
      <c r="AH223" s="106" t="n">
        <v>0</v>
      </c>
      <c r="AI223" s="106" t="n">
        <v>19618197.9194476</v>
      </c>
      <c r="AJ223" s="106" t="n">
        <v>0</v>
      </c>
      <c r="AK223" s="106" t="n">
        <v>0</v>
      </c>
      <c r="AL223" s="106" t="n">
        <v>0</v>
      </c>
      <c r="AM223" s="106" t="n">
        <v>3809263.7313927</v>
      </c>
      <c r="AN223" s="114" t="n">
        <v>412774.503836723</v>
      </c>
      <c r="AO223" s="115" t="n">
        <v>792985.819976677</v>
      </c>
      <c r="AP223" s="112" t="n">
        <f aca="false" ca="false" dt2D="false" dtr="false" t="normal">+N223-'Приложение №2'!E223</f>
        <v>0</v>
      </c>
      <c r="AQ223" s="121" t="n">
        <v>3643194.21</v>
      </c>
      <c r="AR223" s="3" t="n">
        <f aca="false" ca="false" dt2D="false" dtr="false" t="normal">+(K223*10.5+L223*21)*12*0.85</f>
        <v>661760.19</v>
      </c>
      <c r="AS223" s="3" t="n">
        <f aca="false" ca="false" dt2D="false" dtr="false" t="normal">+(K223*10.5+L223*21)*12*30</f>
        <v>23356241.999999996</v>
      </c>
      <c r="AT223" s="9" t="n">
        <f aca="false" ca="false" dt2D="false" dtr="false" t="normal">+S223-AS223</f>
        <v>-16885794.979999997</v>
      </c>
      <c r="AU223" s="9" t="e">
        <f aca="false" ca="false" dt2D="false" dtr="false" t="normal">+P223-'[5]Приложение №1'!$P220</f>
        <v>#REF!</v>
      </c>
      <c r="AV223" s="9" t="e">
        <f aca="false" ca="false" dt2D="false" dtr="false" t="normal">+Q223-'[5]Приложение №1'!$Q220</f>
        <v>#REF!</v>
      </c>
      <c r="AW223" s="186" t="n">
        <f aca="false" ca="true" dt2D="false" dtr="false" t="normal">SUBTOTAL(9, AX223:BL223)</f>
        <v>33055648.243470304</v>
      </c>
      <c r="AX223" s="106" t="n">
        <v>11858561.0386538</v>
      </c>
      <c r="AY223" s="106" t="n">
        <v>0</v>
      </c>
      <c r="AZ223" s="106" t="n">
        <v>0</v>
      </c>
      <c r="BA223" s="106" t="n"/>
      <c r="BB223" s="106" t="n">
        <v>0</v>
      </c>
      <c r="BC223" s="106" t="n"/>
      <c r="BD223" s="106" t="n">
        <v>492326.583791901</v>
      </c>
      <c r="BE223" s="106" t="n">
        <v>0</v>
      </c>
      <c r="BF223" s="106" t="n">
        <v>19618197.9194476</v>
      </c>
      <c r="BG223" s="106" t="n"/>
      <c r="BH223" s="106" t="n">
        <v>0</v>
      </c>
      <c r="BI223" s="106" t="n">
        <v>0</v>
      </c>
      <c r="BJ223" s="106" t="n"/>
      <c r="BK223" s="114" t="n"/>
      <c r="BL223" s="187" t="n">
        <v>1086562.701577</v>
      </c>
      <c r="BM223" s="186" t="n">
        <f aca="false" ca="true" dt2D="false" dtr="false" t="normal">SUBTOTAL(9, BN223:CB223)</f>
        <v>22164109.754022703</v>
      </c>
      <c r="BN223" s="106" t="n">
        <v>11858561.0386538</v>
      </c>
      <c r="BO223" s="106" t="n">
        <v>0</v>
      </c>
      <c r="BP223" s="106" t="n">
        <v>0</v>
      </c>
      <c r="BQ223" s="106" t="n"/>
      <c r="BR223" s="106" t="n">
        <v>0</v>
      </c>
      <c r="BS223" s="106" t="n"/>
      <c r="BT223" s="106" t="n">
        <v>492326.583791901</v>
      </c>
      <c r="BU223" s="106" t="n">
        <v>0</v>
      </c>
      <c r="BV223" s="106" t="n">
        <v>8726659.43</v>
      </c>
      <c r="BW223" s="106" t="n"/>
      <c r="BX223" s="106" t="n">
        <v>0</v>
      </c>
      <c r="BY223" s="106" t="n">
        <v>0</v>
      </c>
      <c r="BZ223" s="106" t="n"/>
      <c r="CA223" s="114" t="n"/>
      <c r="CB223" s="115" t="n">
        <v>1086562.701577</v>
      </c>
      <c r="CD223" s="116" t="n">
        <f aca="false" ca="false" dt2D="false" dtr="false" t="normal">+CD222+1</f>
        <v>204</v>
      </c>
      <c r="CE223" s="117" t="n">
        <f aca="false" ca="false" dt2D="false" dtr="false" t="normal">+CE222+1</f>
        <v>16</v>
      </c>
      <c r="CF223" s="104" t="s">
        <v>78</v>
      </c>
      <c r="CG223" s="117" t="s">
        <v>315</v>
      </c>
      <c r="CH223" s="188" t="n">
        <f aca="false" ca="true" dt2D="false" dtr="false" t="normal">SUBTOTAL(9, CI223:CW223)</f>
        <v>9813222.131577</v>
      </c>
      <c r="CI223" s="114" t="n"/>
      <c r="CJ223" s="114" t="n">
        <v>0</v>
      </c>
      <c r="CK223" s="114" t="n">
        <v>0</v>
      </c>
      <c r="CL223" s="114" t="n"/>
      <c r="CM223" s="114" t="n">
        <v>0</v>
      </c>
      <c r="CN223" s="114" t="n"/>
      <c r="CP223" s="114" t="n">
        <v>0</v>
      </c>
      <c r="CQ223" s="114" t="n">
        <v>8726659.43</v>
      </c>
      <c r="CR223" s="114" t="n"/>
      <c r="CS223" s="114" t="n">
        <v>0</v>
      </c>
      <c r="CT223" s="114" t="n">
        <v>0</v>
      </c>
      <c r="CU223" s="114" t="n"/>
      <c r="CV223" s="114" t="n"/>
      <c r="CW223" s="115" t="n">
        <v>1086562.701577</v>
      </c>
      <c r="CZ223" s="117" t="s">
        <v>315</v>
      </c>
      <c r="DA223" s="189" t="n">
        <f aca="false" ca="true" dt2D="false" dtr="false" t="normal">SUBTOTAL(9, DB223:DP223)</f>
        <v>8726659.43</v>
      </c>
      <c r="DB223" s="114" t="n"/>
      <c r="DC223" s="114" t="n">
        <v>0</v>
      </c>
      <c r="DD223" s="114" t="n">
        <v>0</v>
      </c>
      <c r="DE223" s="114" t="n"/>
      <c r="DF223" s="114" t="n">
        <v>0</v>
      </c>
      <c r="DG223" s="114" t="n"/>
      <c r="DI223" s="114" t="n">
        <v>0</v>
      </c>
      <c r="DJ223" s="114" t="n">
        <v>8726659.43</v>
      </c>
      <c r="DK223" s="114" t="n"/>
      <c r="DL223" s="114" t="n">
        <v>0</v>
      </c>
      <c r="DM223" s="114" t="n">
        <v>0</v>
      </c>
      <c r="DN223" s="114" t="n"/>
      <c r="DO223" s="114" t="n"/>
      <c r="DP223" s="122" t="n"/>
      <c r="DQ223" s="3" t="n">
        <f aca="false" ca="false" dt2D="false" dtr="false" t="normal">N223-DA223</f>
        <v>0</v>
      </c>
      <c r="DS223" s="9" t="n"/>
    </row>
    <row hidden="false" ht="15" outlineLevel="0" r="224">
      <c r="A224" s="183" t="n">
        <f aca="false" ca="false" dt2D="false" dtr="false" t="normal">+A223+1</f>
        <v>205</v>
      </c>
      <c r="B224" s="184" t="n">
        <f aca="false" ca="false" dt2D="false" dtr="false" t="normal">+B223+1</f>
        <v>17</v>
      </c>
      <c r="C224" s="114" t="s">
        <v>78</v>
      </c>
      <c r="D224" s="106" t="s">
        <v>316</v>
      </c>
      <c r="E224" s="105" t="n">
        <v>1988</v>
      </c>
      <c r="F224" s="105" t="n">
        <v>2016</v>
      </c>
      <c r="G224" s="105" t="s">
        <v>68</v>
      </c>
      <c r="H224" s="105" t="n">
        <v>5</v>
      </c>
      <c r="I224" s="105" t="n">
        <v>4</v>
      </c>
      <c r="J224" s="106" t="n">
        <v>5772.8</v>
      </c>
      <c r="K224" s="114" t="n">
        <v>4849.63</v>
      </c>
      <c r="L224" s="114" t="n">
        <v>82.5</v>
      </c>
      <c r="M224" s="106" t="n">
        <v>180</v>
      </c>
      <c r="N224" s="108" t="n">
        <f aca="false" ca="false" dt2D="false" dtr="false" t="normal">SUM(P224:T224)</f>
        <v>25012527.400000002</v>
      </c>
      <c r="O224" s="114" t="n"/>
      <c r="P224" s="114" t="n">
        <v>5645681.85</v>
      </c>
      <c r="Q224" s="114" t="n"/>
      <c r="R224" s="114" t="n">
        <v>2069358.88</v>
      </c>
      <c r="S224" s="114" t="n">
        <v>16566112.4</v>
      </c>
      <c r="T224" s="114" t="n">
        <v>731374.270000004</v>
      </c>
      <c r="U224" s="114" t="n">
        <v>6311.26539243694</v>
      </c>
      <c r="V224" s="106" t="n">
        <v>6311.26539243694</v>
      </c>
      <c r="W224" s="185" t="n">
        <v>2023</v>
      </c>
      <c r="X224" s="9" t="e">
        <f aca="false" ca="false" dt2D="false" dtr="false" t="normal">+#REF!-'[9]Приложение №1'!$P972</f>
        <v>#REF!</v>
      </c>
      <c r="Z224" s="139" t="n">
        <f aca="false" ca="false" dt2D="false" dtr="false" t="normal">SUM(AA224:AO224)</f>
        <v>42112938.80402756</v>
      </c>
      <c r="AA224" s="140" t="n">
        <v>9562345.72716709</v>
      </c>
      <c r="AB224" s="140" t="n">
        <v>4092895.79805991</v>
      </c>
      <c r="AC224" s="140" t="n">
        <v>0</v>
      </c>
      <c r="AD224" s="140" t="n">
        <v>0</v>
      </c>
      <c r="AE224" s="140" t="n">
        <v>0</v>
      </c>
      <c r="AF224" s="140" t="n"/>
      <c r="AG224" s="140" t="n">
        <v>397015.540156508</v>
      </c>
      <c r="AH224" s="140" t="n">
        <v>0</v>
      </c>
      <c r="AI224" s="140" t="n">
        <v>15819456.5460571</v>
      </c>
      <c r="AJ224" s="140" t="n">
        <v>7229112.68646687</v>
      </c>
      <c r="AK224" s="140" t="n">
        <v>0</v>
      </c>
      <c r="AL224" s="140" t="n">
        <v>0</v>
      </c>
      <c r="AM224" s="140" t="n">
        <v>3779663.18881839</v>
      </c>
      <c r="AN224" s="193" t="n">
        <v>421129.388040275</v>
      </c>
      <c r="AO224" s="194" t="n">
        <v>811319.929261414</v>
      </c>
      <c r="AP224" s="112" t="n">
        <f aca="false" ca="false" dt2D="false" dtr="false" t="normal">+N224-'Приложение №2'!E224</f>
        <v>0</v>
      </c>
      <c r="AQ224" s="1" t="n">
        <v>1557866.62</v>
      </c>
      <c r="AR224" s="3" t="n">
        <f aca="false" ca="false" dt2D="false" dtr="false" t="normal">+(K224*10+L224*20)*12*0.85</f>
        <v>511492.26000000007</v>
      </c>
      <c r="AS224" s="3" t="n">
        <f aca="false" ca="false" dt2D="false" dtr="false" t="normal">+(K224*10+L224*20)*12*30</f>
        <v>18052668.000000004</v>
      </c>
      <c r="AT224" s="9" t="n">
        <f aca="false" ca="false" dt2D="false" dtr="false" t="normal">+S224-AS224</f>
        <v>-1486555.6000000034</v>
      </c>
      <c r="AU224" s="9" t="e">
        <f aca="false" ca="false" dt2D="false" dtr="false" t="normal">+P224-'[5]Приложение №1'!$P242</f>
        <v>#REF!</v>
      </c>
      <c r="AV224" s="9" t="e">
        <f aca="false" ca="false" dt2D="false" dtr="false" t="normal">+Q224-'[5]Приложение №1'!$Q242</f>
        <v>#REF!</v>
      </c>
      <c r="AW224" s="139" t="n">
        <f aca="false" ca="true" dt2D="false" dtr="false" t="normal">SUBTOTAL(9, AX224:BL224)</f>
        <v>41769554.81</v>
      </c>
      <c r="AX224" s="140" t="n">
        <v>10425186.94</v>
      </c>
      <c r="AY224" s="140" t="n">
        <v>4577737.76</v>
      </c>
      <c r="AZ224" s="140" t="n">
        <v>0</v>
      </c>
      <c r="BA224" s="140" t="n">
        <v>0</v>
      </c>
      <c r="BB224" s="140" t="n">
        <v>0</v>
      </c>
      <c r="BC224" s="140" t="n"/>
      <c r="BD224" s="140" t="n">
        <v>397015.54</v>
      </c>
      <c r="BE224" s="140" t="n">
        <v>0</v>
      </c>
      <c r="BF224" s="140" t="n">
        <v>17477225.23</v>
      </c>
      <c r="BG224" s="140" t="n">
        <v>7999958.25</v>
      </c>
      <c r="BH224" s="140" t="n">
        <v>0</v>
      </c>
      <c r="BI224" s="140" t="n">
        <v>0</v>
      </c>
      <c r="BJ224" s="140" t="n"/>
      <c r="BK224" s="193" t="n"/>
      <c r="BL224" s="195" t="n">
        <v>892431.09</v>
      </c>
      <c r="BM224" s="113" t="n">
        <f aca="false" ca="true" dt2D="false" dtr="false" t="normal">SUBTOTAL(9, BN224:CB224)</f>
        <v>31127981.38</v>
      </c>
      <c r="BN224" s="106" t="n">
        <v>10425186.94</v>
      </c>
      <c r="BO224" s="106" t="n">
        <v>4577737.76</v>
      </c>
      <c r="BP224" s="106" t="n">
        <v>0</v>
      </c>
      <c r="BQ224" s="106" t="n">
        <v>0</v>
      </c>
      <c r="BR224" s="106" t="n">
        <v>0</v>
      </c>
      <c r="BS224" s="106" t="n"/>
      <c r="BT224" s="106" t="n">
        <v>397015.54</v>
      </c>
      <c r="BU224" s="106" t="n">
        <v>0</v>
      </c>
      <c r="BV224" s="106" t="n">
        <v>7920633.25</v>
      </c>
      <c r="BW224" s="106" t="n">
        <v>6914976.8</v>
      </c>
      <c r="BX224" s="106" t="n">
        <v>0</v>
      </c>
      <c r="BY224" s="106" t="n">
        <v>0</v>
      </c>
      <c r="BZ224" s="106" t="n"/>
      <c r="CA224" s="114" t="n"/>
      <c r="CB224" s="115" t="n">
        <v>892431.09</v>
      </c>
      <c r="CD224" s="116" t="n">
        <f aca="false" ca="false" dt2D="false" dtr="false" t="normal">+CD223+1</f>
        <v>205</v>
      </c>
      <c r="CE224" s="117" t="n">
        <f aca="false" ca="false" dt2D="false" dtr="false" t="normal">+CE223+1</f>
        <v>17</v>
      </c>
      <c r="CF224" s="104" t="s">
        <v>78</v>
      </c>
      <c r="CG224" s="117" t="s">
        <v>316</v>
      </c>
      <c r="CH224" s="118" t="n">
        <f aca="false" ca="true" dt2D="false" dtr="false" t="normal">SUBTOTAL(9, CI224:CW224)</f>
        <v>25904958.490000002</v>
      </c>
      <c r="CI224" s="114" t="n">
        <v>5599179.59</v>
      </c>
      <c r="CJ224" s="114" t="n">
        <v>4577737.76</v>
      </c>
      <c r="CK224" s="114" t="n">
        <v>0</v>
      </c>
      <c r="CL224" s="114" t="n">
        <v>0</v>
      </c>
      <c r="CM224" s="114" t="n">
        <v>0</v>
      </c>
      <c r="CN224" s="114" t="n"/>
      <c r="CO224" s="114" t="n"/>
      <c r="CP224" s="114" t="n">
        <v>0</v>
      </c>
      <c r="CQ224" s="114" t="n">
        <v>7920633.25</v>
      </c>
      <c r="CR224" s="114" t="n">
        <v>6914976.8</v>
      </c>
      <c r="CS224" s="114" t="n">
        <v>0</v>
      </c>
      <c r="CT224" s="114" t="n">
        <v>0</v>
      </c>
      <c r="CU224" s="114" t="n"/>
      <c r="CV224" s="114" t="n"/>
      <c r="CW224" s="115" t="n">
        <v>892431.09</v>
      </c>
      <c r="CZ224" s="117" t="s">
        <v>316</v>
      </c>
      <c r="DA224" s="119" t="n">
        <f aca="false" ca="true" dt2D="false" dtr="false" t="normal">SUBTOTAL(9, DB224:DP224)</f>
        <v>25012527.400000002</v>
      </c>
      <c r="DB224" s="114" t="n">
        <v>5599179.59</v>
      </c>
      <c r="DC224" s="114" t="n">
        <v>4577737.76</v>
      </c>
      <c r="DD224" s="114" t="n">
        <v>0</v>
      </c>
      <c r="DE224" s="114" t="n">
        <v>0</v>
      </c>
      <c r="DF224" s="114" t="n">
        <v>0</v>
      </c>
      <c r="DG224" s="114" t="n"/>
      <c r="DH224" s="114" t="n"/>
      <c r="DI224" s="114" t="n">
        <v>0</v>
      </c>
      <c r="DJ224" s="114" t="n">
        <v>7920633.25</v>
      </c>
      <c r="DK224" s="114" t="n">
        <v>6914976.8</v>
      </c>
      <c r="DL224" s="114" t="n">
        <v>0</v>
      </c>
      <c r="DM224" s="114" t="n">
        <v>0</v>
      </c>
      <c r="DN224" s="114" t="n"/>
      <c r="DO224" s="114" t="n"/>
      <c r="DP224" s="122" t="n"/>
      <c r="DQ224" s="3" t="n">
        <f aca="false" ca="false" dt2D="false" dtr="false" t="normal">N224-DA224</f>
        <v>0</v>
      </c>
      <c r="DS224" s="9" t="n"/>
    </row>
    <row hidden="false" ht="15" outlineLevel="0" r="225">
      <c r="A225" s="183" t="n">
        <f aca="false" ca="false" dt2D="false" dtr="false" t="normal">+A224+1</f>
        <v>206</v>
      </c>
      <c r="B225" s="184" t="n">
        <f aca="false" ca="false" dt2D="false" dtr="false" t="normal">+B224+1</f>
        <v>18</v>
      </c>
      <c r="C225" s="114" t="s">
        <v>78</v>
      </c>
      <c r="D225" s="106" t="s">
        <v>317</v>
      </c>
      <c r="E225" s="105" t="n">
        <v>1993</v>
      </c>
      <c r="F225" s="105" t="n">
        <v>1993</v>
      </c>
      <c r="G225" s="105" t="s">
        <v>68</v>
      </c>
      <c r="H225" s="105" t="n">
        <v>5</v>
      </c>
      <c r="I225" s="105" t="n">
        <v>3</v>
      </c>
      <c r="J225" s="106" t="n">
        <v>2627.7</v>
      </c>
      <c r="K225" s="114" t="n">
        <v>2328</v>
      </c>
      <c r="L225" s="114" t="n">
        <v>0</v>
      </c>
      <c r="M225" s="106" t="n">
        <v>101</v>
      </c>
      <c r="N225" s="108" t="n">
        <f aca="false" ca="false" dt2D="false" dtr="false" t="normal">SUM(P225:T225)</f>
        <v>4321774.35</v>
      </c>
      <c r="O225" s="114" t="n"/>
      <c r="P225" s="106" t="n">
        <v>1052139.85</v>
      </c>
      <c r="Q225" s="114" t="n"/>
      <c r="R225" s="114" t="n">
        <v>3269634.5</v>
      </c>
      <c r="S225" s="106" t="n"/>
      <c r="T225" s="114" t="n"/>
      <c r="U225" s="114" t="n">
        <v>2251.35944975759</v>
      </c>
      <c r="V225" s="106" t="n">
        <v>2251.35944975759</v>
      </c>
      <c r="W225" s="185" t="n">
        <v>2023</v>
      </c>
      <c r="X225" s="9" t="e">
        <f aca="false" ca="false" dt2D="false" dtr="false" t="normal">+#REF!-'[9]Приложение №1'!$P979</f>
        <v>#REF!</v>
      </c>
      <c r="Z225" s="3" t="n">
        <f aca="false" ca="false" dt2D="false" dtr="false" t="normal">SUM(AA225:AO225)</f>
        <v>2025910.3767552015</v>
      </c>
      <c r="AA225" s="9" t="n">
        <v>0</v>
      </c>
      <c r="AB225" s="9" t="n">
        <v>0</v>
      </c>
      <c r="AC225" s="9" t="n">
        <v>1764474.74627645</v>
      </c>
      <c r="AD225" s="9" t="n">
        <v>0</v>
      </c>
      <c r="AE225" s="9" t="n">
        <v>0</v>
      </c>
      <c r="AF225" s="9" t="n"/>
      <c r="AG225" s="9" t="n">
        <v>0</v>
      </c>
      <c r="AH225" s="9" t="n">
        <v>0</v>
      </c>
      <c r="AI225" s="9" t="n">
        <v>0</v>
      </c>
      <c r="AJ225" s="9" t="n">
        <v>0</v>
      </c>
      <c r="AK225" s="9" t="n">
        <v>0</v>
      </c>
      <c r="AL225" s="9" t="n">
        <v>0</v>
      </c>
      <c r="AM225" s="9" t="n">
        <v>202591.03767552</v>
      </c>
      <c r="AN225" s="9" t="n">
        <v>20259.103767552</v>
      </c>
      <c r="AO225" s="9" t="n">
        <v>38585.4890356795</v>
      </c>
      <c r="AP225" s="112" t="n">
        <f aca="false" ca="false" dt2D="false" dtr="false" t="normal">+N225-'Приложение №2'!E225</f>
        <v>0</v>
      </c>
      <c r="AQ225" s="1" t="n">
        <v>1113195.26</v>
      </c>
      <c r="AR225" s="3" t="n">
        <f aca="false" ca="false" dt2D="false" dtr="false" t="normal">+(K225*10+L225*20)*12*0.85</f>
        <v>237456</v>
      </c>
      <c r="AS225" s="3" t="n">
        <f aca="false" ca="false" dt2D="false" dtr="false" t="normal">+(K225*10+L225*20)*12*30</f>
        <v>8380800</v>
      </c>
      <c r="AT225" s="9" t="n">
        <f aca="false" ca="false" dt2D="false" dtr="false" t="normal">+S225-AS225</f>
        <v>-8380800</v>
      </c>
      <c r="AW225" s="3" t="n">
        <f aca="false" ca="true" dt2D="false" dtr="false" t="normal">SUBTOTAL(9, AX225:BL225)</f>
        <v>5241164.79903568</v>
      </c>
      <c r="AX225" s="9" t="n">
        <v>0</v>
      </c>
      <c r="AY225" s="9" t="n">
        <v>0</v>
      </c>
      <c r="AZ225" s="9" t="n">
        <v>917077.8</v>
      </c>
      <c r="BA225" s="9" t="n">
        <v>0</v>
      </c>
      <c r="BB225" s="9" t="n">
        <v>0</v>
      </c>
      <c r="BC225" s="9" t="n"/>
      <c r="BD225" s="9" t="n"/>
      <c r="BE225" s="9" t="n">
        <v>0</v>
      </c>
      <c r="BF225" s="9" t="n">
        <v>0</v>
      </c>
      <c r="BG225" s="9" t="n">
        <v>4285501.51</v>
      </c>
      <c r="BH225" s="9" t="n">
        <v>0</v>
      </c>
      <c r="BI225" s="9" t="n">
        <v>0</v>
      </c>
      <c r="BJ225" s="9" t="n"/>
      <c r="BK225" s="9" t="n"/>
      <c r="BL225" s="9" t="n">
        <v>38585.4890356795</v>
      </c>
      <c r="BM225" s="113" t="n">
        <f aca="false" ca="true" dt2D="false" dtr="false" t="normal">SUBTOTAL(9, BN225:CB225)</f>
        <v>5241164.79903568</v>
      </c>
      <c r="BN225" s="106" t="n">
        <v>0</v>
      </c>
      <c r="BO225" s="106" t="n">
        <v>0</v>
      </c>
      <c r="BP225" s="106" t="n">
        <v>917077.8</v>
      </c>
      <c r="BQ225" s="106" t="n">
        <v>0</v>
      </c>
      <c r="BR225" s="106" t="n">
        <v>0</v>
      </c>
      <c r="BS225" s="106" t="n"/>
      <c r="BT225" s="106" t="n"/>
      <c r="BU225" s="106" t="n">
        <v>0</v>
      </c>
      <c r="BV225" s="106" t="n">
        <v>0</v>
      </c>
      <c r="BW225" s="106" t="n">
        <v>4285501.51</v>
      </c>
      <c r="BX225" s="106" t="n">
        <v>0</v>
      </c>
      <c r="BY225" s="106" t="n">
        <v>0</v>
      </c>
      <c r="BZ225" s="106" t="n"/>
      <c r="CA225" s="114" t="n"/>
      <c r="CB225" s="115" t="n">
        <v>38585.4890356795</v>
      </c>
      <c r="CD225" s="116" t="n">
        <f aca="false" ca="false" dt2D="false" dtr="false" t="normal">+CD224+1</f>
        <v>206</v>
      </c>
      <c r="CE225" s="117" t="n">
        <f aca="false" ca="false" dt2D="false" dtr="false" t="normal">+CE224+1</f>
        <v>18</v>
      </c>
      <c r="CF225" s="104" t="s">
        <v>78</v>
      </c>
      <c r="CG225" s="117" t="s">
        <v>317</v>
      </c>
      <c r="CH225" s="118" t="n">
        <f aca="false" ca="true" dt2D="false" dtr="false" t="normal">SUBTOTAL(9, CI225:CW225)</f>
        <v>4324086.99903568</v>
      </c>
      <c r="CI225" s="114" t="n">
        <v>0</v>
      </c>
      <c r="CJ225" s="114" t="n">
        <v>0</v>
      </c>
      <c r="CK225" s="114" t="n"/>
      <c r="CL225" s="114" t="n">
        <v>0</v>
      </c>
      <c r="CM225" s="114" t="n">
        <v>0</v>
      </c>
      <c r="CN225" s="114" t="n"/>
      <c r="CO225" s="114" t="n"/>
      <c r="CP225" s="114" t="n">
        <v>0</v>
      </c>
      <c r="CQ225" s="114" t="n">
        <v>0</v>
      </c>
      <c r="CR225" s="114" t="n">
        <v>4285501.51</v>
      </c>
      <c r="CS225" s="114" t="n">
        <v>0</v>
      </c>
      <c r="CT225" s="114" t="n">
        <v>0</v>
      </c>
      <c r="CU225" s="114" t="n"/>
      <c r="CV225" s="114" t="n"/>
      <c r="CW225" s="115" t="n">
        <v>38585.4890356795</v>
      </c>
      <c r="CZ225" s="117" t="s">
        <v>317</v>
      </c>
      <c r="DA225" s="119" t="n">
        <f aca="false" ca="true" dt2D="false" dtr="false" t="normal">SUBTOTAL(9, DB225:DP225)</f>
        <v>4321774.35</v>
      </c>
      <c r="DB225" s="114" t="n">
        <v>0</v>
      </c>
      <c r="DC225" s="114" t="n">
        <v>0</v>
      </c>
      <c r="DD225" s="114" t="n"/>
      <c r="DE225" s="114" t="n">
        <v>0</v>
      </c>
      <c r="DF225" s="114" t="n">
        <v>0</v>
      </c>
      <c r="DG225" s="114" t="n"/>
      <c r="DH225" s="114" t="n"/>
      <c r="DI225" s="114" t="n">
        <v>0</v>
      </c>
      <c r="DJ225" s="114" t="n">
        <v>0</v>
      </c>
      <c r="DK225" s="114" t="n">
        <v>4285501.51</v>
      </c>
      <c r="DL225" s="114" t="n">
        <v>0</v>
      </c>
      <c r="DM225" s="114" t="n">
        <v>0</v>
      </c>
      <c r="DN225" s="114" t="n"/>
      <c r="DO225" s="114" t="n"/>
      <c r="DP225" s="120" t="n">
        <v>36272.84</v>
      </c>
      <c r="DQ225" s="3" t="n">
        <f aca="false" ca="false" dt2D="false" dtr="false" t="normal">N225-DA225</f>
        <v>0</v>
      </c>
      <c r="DS225" s="9" t="n"/>
    </row>
    <row hidden="false" ht="15" outlineLevel="0" r="226">
      <c r="A226" s="183" t="n">
        <f aca="false" ca="false" dt2D="false" dtr="false" t="normal">+A225+1</f>
        <v>207</v>
      </c>
      <c r="B226" s="184" t="n">
        <f aca="false" ca="false" dt2D="false" dtr="false" t="normal">+B225+1</f>
        <v>19</v>
      </c>
      <c r="C226" s="114" t="s">
        <v>78</v>
      </c>
      <c r="D226" s="106" t="s">
        <v>318</v>
      </c>
      <c r="E226" s="105" t="n">
        <v>1987</v>
      </c>
      <c r="F226" s="105" t="n">
        <v>2013</v>
      </c>
      <c r="G226" s="105" t="s">
        <v>68</v>
      </c>
      <c r="H226" s="105" t="n">
        <v>5</v>
      </c>
      <c r="I226" s="105" t="n">
        <v>6</v>
      </c>
      <c r="J226" s="106" t="n">
        <v>5156.5</v>
      </c>
      <c r="K226" s="114" t="n">
        <v>4643.15</v>
      </c>
      <c r="L226" s="114" t="n">
        <v>0</v>
      </c>
      <c r="M226" s="106" t="n">
        <v>198</v>
      </c>
      <c r="N226" s="108" t="n">
        <f aca="false" ca="false" dt2D="false" dtr="false" t="normal">SUM(P226:T226)</f>
        <v>9852311.08</v>
      </c>
      <c r="O226" s="114" t="n"/>
      <c r="P226" s="106" t="n"/>
      <c r="Q226" s="114" t="n"/>
      <c r="R226" s="114" t="n"/>
      <c r="S226" s="106" t="n">
        <v>9852311.08</v>
      </c>
      <c r="T226" s="114" t="n"/>
      <c r="U226" s="114" t="n">
        <v>3983.96744218353</v>
      </c>
      <c r="V226" s="106" t="n">
        <v>3983.96744218353</v>
      </c>
      <c r="W226" s="185" t="n">
        <v>2023</v>
      </c>
      <c r="X226" s="9" t="e">
        <f aca="false" ca="false" dt2D="false" dtr="false" t="normal">+#REF!-'[9]Приложение №1'!$P973</f>
        <v>#REF!</v>
      </c>
      <c r="Z226" s="186" t="n">
        <f aca="false" ca="false" dt2D="false" dtr="false" t="normal">SUM(AA226:AO226)</f>
        <v>19097413.75350882</v>
      </c>
      <c r="AA226" s="196" t="n">
        <v>9161875.31428182</v>
      </c>
      <c r="AB226" s="196" t="n">
        <v>0</v>
      </c>
      <c r="AC226" s="196" t="n">
        <v>3500633.09885595</v>
      </c>
      <c r="AD226" s="196" t="n">
        <v>3697386.85832041</v>
      </c>
      <c r="AE226" s="196" t="n">
        <v>0</v>
      </c>
      <c r="AF226" s="196" t="n"/>
      <c r="AG226" s="196" t="n">
        <v>380388.555332414</v>
      </c>
      <c r="AH226" s="196" t="n">
        <v>0</v>
      </c>
      <c r="AI226" s="196" t="n">
        <v>0</v>
      </c>
      <c r="AJ226" s="196" t="n">
        <v>0</v>
      </c>
      <c r="AK226" s="196" t="n">
        <v>0</v>
      </c>
      <c r="AL226" s="196" t="n">
        <v>0</v>
      </c>
      <c r="AM226" s="196" t="n">
        <v>1800079.68669661</v>
      </c>
      <c r="AN226" s="197" t="n">
        <v>190974.137535088</v>
      </c>
      <c r="AO226" s="198" t="n">
        <v>366076.10248653</v>
      </c>
      <c r="AP226" s="112" t="n">
        <f aca="false" ca="false" dt2D="false" dtr="false" t="normal">+N226-'Приложение №2'!E226</f>
        <v>0</v>
      </c>
      <c r="AQ226" s="1" t="n">
        <v>2116377.04</v>
      </c>
      <c r="AR226" s="3" t="n">
        <f aca="false" ca="false" dt2D="false" dtr="false" t="normal">+(K226*10+L226*20)*12*0.85</f>
        <v>473601.3</v>
      </c>
      <c r="AS226" s="3" t="n">
        <f aca="false" ca="false" dt2D="false" dtr="false" t="normal">+(K226*10+L226*20)*12*30</f>
        <v>16715340</v>
      </c>
      <c r="AT226" s="9" t="n">
        <f aca="false" ca="false" dt2D="false" dtr="false" t="normal">+S226-AS226</f>
        <v>-6863028.92</v>
      </c>
      <c r="AU226" s="9" t="e">
        <f aca="false" ca="false" dt2D="false" dtr="false" t="normal">+P226-'[5]Приложение №1'!$P243</f>
        <v>#REF!</v>
      </c>
      <c r="AV226" s="9" t="e">
        <f aca="false" ca="false" dt2D="false" dtr="false" t="normal">+Q226-'[5]Приложение №1'!$Q243</f>
        <v>#REF!</v>
      </c>
      <c r="AW226" s="186" t="n">
        <f aca="false" ca="true" dt2D="false" dtr="false" t="normal">SUBTOTAL(9, AX226:BL226)</f>
        <v>18498158.42917446</v>
      </c>
      <c r="AX226" s="196" t="n">
        <v>9987277.69165114</v>
      </c>
      <c r="AY226" s="196" t="n">
        <v>0</v>
      </c>
      <c r="AZ226" s="196" t="n">
        <v>3500633.09885595</v>
      </c>
      <c r="BA226" s="196" t="n">
        <v>4233998.49295062</v>
      </c>
      <c r="BB226" s="196" t="n">
        <v>0</v>
      </c>
      <c r="BC226" s="196" t="n"/>
      <c r="BD226" s="196" t="n">
        <v>380388.555332414</v>
      </c>
      <c r="BE226" s="196" t="n">
        <v>0</v>
      </c>
      <c r="BF226" s="196" t="n">
        <v>0</v>
      </c>
      <c r="BG226" s="196" t="n">
        <v>0</v>
      </c>
      <c r="BH226" s="196" t="n">
        <v>0</v>
      </c>
      <c r="BI226" s="196" t="n">
        <v>0</v>
      </c>
      <c r="BJ226" s="196" t="n"/>
      <c r="BK226" s="197" t="n"/>
      <c r="BL226" s="199" t="n">
        <v>395860.590384333</v>
      </c>
      <c r="BM226" s="113" t="n">
        <f aca="false" ca="true" dt2D="false" dtr="false" t="normal">SUBTOTAL(9, BN226:CB226)</f>
        <v>14129193.324572697</v>
      </c>
      <c r="BN226" s="106" t="n">
        <v>6213317.02</v>
      </c>
      <c r="BO226" s="106" t="n">
        <v>0</v>
      </c>
      <c r="BP226" s="106" t="n">
        <v>3500633.09885595</v>
      </c>
      <c r="BQ226" s="106" t="n">
        <v>3638994.06</v>
      </c>
      <c r="BR226" s="106" t="n">
        <v>0</v>
      </c>
      <c r="BS226" s="106" t="n"/>
      <c r="BT226" s="106" t="n">
        <v>380388.555332414</v>
      </c>
      <c r="BU226" s="106" t="n">
        <v>0</v>
      </c>
      <c r="BV226" s="106" t="n">
        <v>0</v>
      </c>
      <c r="BW226" s="106" t="n">
        <v>0</v>
      </c>
      <c r="BX226" s="106" t="n">
        <v>0</v>
      </c>
      <c r="BY226" s="106" t="n">
        <v>0</v>
      </c>
      <c r="BZ226" s="106" t="n"/>
      <c r="CA226" s="114" t="n"/>
      <c r="CB226" s="115" t="n">
        <v>395860.590384333</v>
      </c>
      <c r="CD226" s="116" t="n">
        <f aca="false" ca="false" dt2D="false" dtr="false" t="normal">+CD225+1</f>
        <v>207</v>
      </c>
      <c r="CE226" s="117" t="n">
        <f aca="false" ca="false" dt2D="false" dtr="false" t="normal">+CE225+1</f>
        <v>19</v>
      </c>
      <c r="CF226" s="104" t="s">
        <v>78</v>
      </c>
      <c r="CG226" s="117" t="s">
        <v>318</v>
      </c>
      <c r="CH226" s="118" t="n">
        <f aca="false" ca="true" dt2D="false" dtr="false" t="normal">SUBTOTAL(9, CI226:CW226)</f>
        <v>10248171.670384333</v>
      </c>
      <c r="CI226" s="114" t="n">
        <v>6213317.02</v>
      </c>
      <c r="CJ226" s="114" t="n">
        <v>0</v>
      </c>
      <c r="CK226" s="114" t="n"/>
      <c r="CL226" s="114" t="n">
        <v>3638994.06</v>
      </c>
      <c r="CM226" s="114" t="n">
        <v>0</v>
      </c>
      <c r="CN226" s="114" t="n"/>
      <c r="CO226" s="114" t="n"/>
      <c r="CP226" s="114" t="n">
        <v>0</v>
      </c>
      <c r="CQ226" s="114" t="n">
        <v>0</v>
      </c>
      <c r="CR226" s="114" t="n">
        <v>0</v>
      </c>
      <c r="CS226" s="114" t="n">
        <v>0</v>
      </c>
      <c r="CT226" s="114" t="n">
        <v>0</v>
      </c>
      <c r="CU226" s="114" t="n"/>
      <c r="CV226" s="114" t="n"/>
      <c r="CW226" s="115" t="n">
        <v>395860.590384333</v>
      </c>
      <c r="CZ226" s="117" t="s">
        <v>318</v>
      </c>
      <c r="DA226" s="119" t="n">
        <f aca="false" ca="true" dt2D="false" dtr="false" t="normal">SUBTOTAL(9, DB226:DP226)</f>
        <v>9852311.08</v>
      </c>
      <c r="DB226" s="114" t="n">
        <v>6213317.02</v>
      </c>
      <c r="DC226" s="114" t="n">
        <v>0</v>
      </c>
      <c r="DD226" s="114" t="n"/>
      <c r="DE226" s="114" t="n">
        <v>3638994.06</v>
      </c>
      <c r="DF226" s="114" t="n">
        <v>0</v>
      </c>
      <c r="DG226" s="114" t="n"/>
      <c r="DH226" s="114" t="n"/>
      <c r="DI226" s="114" t="n">
        <v>0</v>
      </c>
      <c r="DJ226" s="114" t="n">
        <v>0</v>
      </c>
      <c r="DK226" s="114" t="n">
        <v>0</v>
      </c>
      <c r="DL226" s="114" t="n">
        <v>0</v>
      </c>
      <c r="DM226" s="114" t="n">
        <v>0</v>
      </c>
      <c r="DN226" s="114" t="n"/>
      <c r="DO226" s="114" t="n"/>
      <c r="DP226" s="122" t="n"/>
      <c r="DQ226" s="3" t="n">
        <f aca="false" ca="false" dt2D="false" dtr="false" t="normal">N226-DA226</f>
        <v>0</v>
      </c>
      <c r="DS226" s="9" t="n"/>
    </row>
    <row hidden="false" ht="15" outlineLevel="0" r="227">
      <c r="A227" s="183" t="n">
        <f aca="false" ca="false" dt2D="false" dtr="false" t="normal">+A226+1</f>
        <v>208</v>
      </c>
      <c r="B227" s="184" t="n">
        <f aca="false" ca="false" dt2D="false" dtr="false" t="normal">+B226+1</f>
        <v>20</v>
      </c>
      <c r="C227" s="104" t="s">
        <v>78</v>
      </c>
      <c r="D227" s="104" t="s">
        <v>319</v>
      </c>
      <c r="E227" s="105" t="n">
        <v>1987</v>
      </c>
      <c r="F227" s="105" t="n">
        <v>2008</v>
      </c>
      <c r="G227" s="105" t="s">
        <v>68</v>
      </c>
      <c r="H227" s="105" t="n">
        <v>5</v>
      </c>
      <c r="I227" s="105" t="n">
        <v>6</v>
      </c>
      <c r="J227" s="106" t="n">
        <v>5142.4</v>
      </c>
      <c r="K227" s="106" t="n">
        <v>4585</v>
      </c>
      <c r="L227" s="106" t="n">
        <v>0</v>
      </c>
      <c r="M227" s="107" t="n">
        <v>184</v>
      </c>
      <c r="N227" s="108" t="n">
        <f aca="false" ca="false" dt2D="false" dtr="false" t="normal">SUM(P227:T227)</f>
        <v>9748997.290000001</v>
      </c>
      <c r="O227" s="106" t="n"/>
      <c r="P227" s="114" t="n"/>
      <c r="Q227" s="114" t="n"/>
      <c r="R227" s="114" t="n">
        <v>1178120.58</v>
      </c>
      <c r="S227" s="114" t="n">
        <v>8570876.71</v>
      </c>
      <c r="T227" s="114" t="n"/>
      <c r="U227" s="106" t="n">
        <v>3099.16698244551</v>
      </c>
      <c r="V227" s="106" t="n">
        <v>3099.16698244551</v>
      </c>
      <c r="W227" s="185" t="n">
        <v>2023</v>
      </c>
      <c r="X227" s="9" t="e">
        <f aca="false" ca="false" dt2D="false" dtr="false" t="normal">+#REF!-'[9]Приложение №1'!$P974</f>
        <v>#REF!</v>
      </c>
      <c r="Z227" s="113" t="n">
        <f aca="false" ca="false" dt2D="false" dtr="false" t="normal">SUM(AA227:AO227)</f>
        <v>18940870.80401968</v>
      </c>
      <c r="AA227" s="106" t="n">
        <v>9086774.72720437</v>
      </c>
      <c r="AB227" s="106" t="n">
        <v>0</v>
      </c>
      <c r="AC227" s="106" t="n">
        <v>3471938.14374594</v>
      </c>
      <c r="AD227" s="106" t="n">
        <v>3667079.09771605</v>
      </c>
      <c r="AE227" s="106" t="n">
        <v>0</v>
      </c>
      <c r="AF227" s="106" t="n"/>
      <c r="AG227" s="106" t="n">
        <v>377270.48148366</v>
      </c>
      <c r="AH227" s="106" t="n">
        <v>0</v>
      </c>
      <c r="AI227" s="106" t="n">
        <v>0</v>
      </c>
      <c r="AJ227" s="106" t="n">
        <v>0</v>
      </c>
      <c r="AK227" s="106" t="n">
        <v>0</v>
      </c>
      <c r="AL227" s="106" t="n">
        <v>0</v>
      </c>
      <c r="AM227" s="106" t="n">
        <v>1785324.2969298</v>
      </c>
      <c r="AN227" s="114" t="n">
        <v>189408.708040197</v>
      </c>
      <c r="AO227" s="115" t="n">
        <v>363075.348899663</v>
      </c>
      <c r="AP227" s="112" t="n">
        <f aca="false" ca="false" dt2D="false" dtr="false" t="normal">+N227-'Приложение №2'!E227</f>
        <v>0</v>
      </c>
      <c r="AQ227" s="1" t="n">
        <v>2190820.19</v>
      </c>
      <c r="AR227" s="3" t="n">
        <f aca="false" ca="false" dt2D="false" dtr="false" t="normal">+(K227*10+L227*20)*12*0.85</f>
        <v>467670</v>
      </c>
      <c r="AS227" s="3" t="n">
        <f aca="false" ca="false" dt2D="false" dtr="false" t="normal">+(K227*10+L227*20)*12*30</f>
        <v>16506000</v>
      </c>
      <c r="AT227" s="9" t="n">
        <f aca="false" ca="false" dt2D="false" dtr="false" t="normal">+S227-AS227</f>
        <v>-7935123.289999999</v>
      </c>
      <c r="AU227" s="9" t="e">
        <f aca="false" ca="false" dt2D="false" dtr="false" t="normal">+P227-'[5]Приложение №1'!$P244</f>
        <v>#REF!</v>
      </c>
      <c r="AV227" s="9" t="e">
        <f aca="false" ca="false" dt2D="false" dtr="false" t="normal">+Q227-'[5]Приложение №1'!$Q244</f>
        <v>#REF!</v>
      </c>
      <c r="AW227" s="113" t="n">
        <f aca="false" ca="true" dt2D="false" dtr="false" t="normal">SUBTOTAL(9, AX227:BL227)</f>
        <v>14209680.614512645</v>
      </c>
      <c r="AX227" s="106" t="n">
        <v>9904894.53400162</v>
      </c>
      <c r="AY227" s="106" t="n">
        <v>0</v>
      </c>
      <c r="AZ227" s="106" t="n"/>
      <c r="BA227" s="106" t="n">
        <v>3534919.74</v>
      </c>
      <c r="BB227" s="106" t="n">
        <v>0</v>
      </c>
      <c r="BC227" s="106" t="n"/>
      <c r="BD227" s="106" t="n">
        <v>377270.48148366</v>
      </c>
      <c r="BE227" s="106" t="n">
        <v>0</v>
      </c>
      <c r="BF227" s="106" t="n">
        <v>0</v>
      </c>
      <c r="BG227" s="106" t="n">
        <v>0</v>
      </c>
      <c r="BH227" s="106" t="n">
        <v>0</v>
      </c>
      <c r="BI227" s="106" t="n">
        <v>0</v>
      </c>
      <c r="BJ227" s="106" t="n"/>
      <c r="BK227" s="114" t="n"/>
      <c r="BL227" s="187" t="n">
        <v>392595.859027363</v>
      </c>
      <c r="BM227" s="113" t="n">
        <f aca="false" ca="true" dt2D="false" dtr="false" t="normal">SUBTOTAL(9, BN227:CB227)</f>
        <v>10518863.630511023</v>
      </c>
      <c r="BN227" s="106" t="n">
        <v>6214077.55</v>
      </c>
      <c r="BO227" s="106" t="n">
        <v>0</v>
      </c>
      <c r="BP227" s="106" t="n"/>
      <c r="BQ227" s="106" t="n">
        <v>3534919.74</v>
      </c>
      <c r="BR227" s="106" t="n">
        <v>0</v>
      </c>
      <c r="BS227" s="106" t="n"/>
      <c r="BT227" s="106" t="n">
        <v>377270.48148366</v>
      </c>
      <c r="BU227" s="106" t="n">
        <v>0</v>
      </c>
      <c r="BV227" s="106" t="n">
        <v>0</v>
      </c>
      <c r="BW227" s="106" t="n">
        <v>0</v>
      </c>
      <c r="BX227" s="106" t="n">
        <v>0</v>
      </c>
      <c r="BY227" s="106" t="n">
        <v>0</v>
      </c>
      <c r="BZ227" s="106" t="n"/>
      <c r="CA227" s="114" t="n"/>
      <c r="CB227" s="115" t="n">
        <v>392595.859027363</v>
      </c>
      <c r="CD227" s="116" t="n">
        <f aca="false" ca="false" dt2D="false" dtr="false" t="normal">+CD226+1</f>
        <v>208</v>
      </c>
      <c r="CE227" s="117" t="n">
        <f aca="false" ca="false" dt2D="false" dtr="false" t="normal">+CE226+1</f>
        <v>20</v>
      </c>
      <c r="CF227" s="104" t="s">
        <v>78</v>
      </c>
      <c r="CG227" s="117" t="s">
        <v>319</v>
      </c>
      <c r="CH227" s="118" t="n">
        <f aca="false" ca="true" dt2D="false" dtr="false" t="normal">SUBTOTAL(9, CI227:CW227)</f>
        <v>10141593.149027362</v>
      </c>
      <c r="CI227" s="114" t="n">
        <v>6214077.55</v>
      </c>
      <c r="CJ227" s="114" t="n">
        <v>0</v>
      </c>
      <c r="CK227" s="114" t="n"/>
      <c r="CL227" s="114" t="n">
        <v>3534919.74</v>
      </c>
      <c r="CM227" s="114" t="n">
        <v>0</v>
      </c>
      <c r="CN227" s="114" t="n"/>
      <c r="CO227" s="114" t="n"/>
      <c r="CP227" s="114" t="n">
        <v>0</v>
      </c>
      <c r="CQ227" s="114" t="n">
        <v>0</v>
      </c>
      <c r="CR227" s="114" t="n">
        <v>0</v>
      </c>
      <c r="CS227" s="114" t="n">
        <v>0</v>
      </c>
      <c r="CT227" s="114" t="n">
        <v>0</v>
      </c>
      <c r="CU227" s="114" t="n"/>
      <c r="CV227" s="114" t="n"/>
      <c r="CW227" s="115" t="n">
        <v>392595.859027363</v>
      </c>
      <c r="CZ227" s="117" t="s">
        <v>319</v>
      </c>
      <c r="DA227" s="119" t="n">
        <f aca="false" ca="true" dt2D="false" dtr="false" t="normal">SUBTOTAL(9, DB227:DP227)</f>
        <v>9748997.29</v>
      </c>
      <c r="DB227" s="114" t="n">
        <v>6214077.55</v>
      </c>
      <c r="DC227" s="114" t="n">
        <v>0</v>
      </c>
      <c r="DD227" s="114" t="n"/>
      <c r="DE227" s="114" t="n">
        <v>3534919.74</v>
      </c>
      <c r="DF227" s="114" t="n">
        <v>0</v>
      </c>
      <c r="DG227" s="114" t="n"/>
      <c r="DH227" s="114" t="n"/>
      <c r="DI227" s="114" t="n">
        <v>0</v>
      </c>
      <c r="DJ227" s="114" t="n">
        <v>0</v>
      </c>
      <c r="DK227" s="114" t="n">
        <v>0</v>
      </c>
      <c r="DL227" s="114" t="n">
        <v>0</v>
      </c>
      <c r="DM227" s="114" t="n">
        <v>0</v>
      </c>
      <c r="DN227" s="114" t="n"/>
      <c r="DO227" s="114" t="n"/>
      <c r="DP227" s="122" t="n"/>
      <c r="DQ227" s="3" t="n">
        <f aca="false" ca="false" dt2D="false" dtr="false" t="normal">N227-DA227</f>
        <v>0</v>
      </c>
      <c r="DS227" s="9" t="n"/>
    </row>
    <row hidden="false" ht="15" outlineLevel="0" r="228">
      <c r="A228" s="183" t="n">
        <f aca="false" ca="false" dt2D="false" dtr="false" t="normal">+A227+1</f>
        <v>209</v>
      </c>
      <c r="B228" s="184" t="n">
        <f aca="false" ca="false" dt2D="false" dtr="false" t="normal">+B227+1</f>
        <v>21</v>
      </c>
      <c r="C228" s="104" t="s">
        <v>78</v>
      </c>
      <c r="D228" s="104" t="s">
        <v>320</v>
      </c>
      <c r="E228" s="105" t="n">
        <v>1988</v>
      </c>
      <c r="F228" s="105" t="n">
        <v>2008</v>
      </c>
      <c r="G228" s="105" t="s">
        <v>68</v>
      </c>
      <c r="H228" s="105" t="n">
        <v>5</v>
      </c>
      <c r="I228" s="105" t="n">
        <v>6</v>
      </c>
      <c r="J228" s="106" t="n">
        <v>5139.5</v>
      </c>
      <c r="K228" s="106" t="n">
        <v>4552.6</v>
      </c>
      <c r="L228" s="106" t="n">
        <v>68.4</v>
      </c>
      <c r="M228" s="107" t="n">
        <v>203</v>
      </c>
      <c r="N228" s="108" t="n">
        <f aca="false" ca="false" dt2D="false" dtr="false" t="normal">SUM(P228:T228)</f>
        <v>9742557.66</v>
      </c>
      <c r="O228" s="106" t="n"/>
      <c r="P228" s="114" t="n"/>
      <c r="Q228" s="114" t="n"/>
      <c r="R228" s="114" t="n">
        <v>1364569.88490378</v>
      </c>
      <c r="S228" s="114" t="n">
        <v>8377987.77509622</v>
      </c>
      <c r="T228" s="114" t="n"/>
      <c r="U228" s="106" t="n">
        <v>3233.45835577994</v>
      </c>
      <c r="V228" s="106" t="n">
        <v>3233.45835577994</v>
      </c>
      <c r="W228" s="185" t="n">
        <v>2023</v>
      </c>
      <c r="X228" s="9" t="e">
        <f aca="false" ca="false" dt2D="false" dtr="false" t="normal">+#REF!-'[9]Приложение №1'!$P976</f>
        <v>#REF!</v>
      </c>
      <c r="Z228" s="113" t="n">
        <f aca="false" ca="false" dt2D="false" dtr="false" t="normal">SUM(AA228:AO228)</f>
        <v>19009395.42381734</v>
      </c>
      <c r="AA228" s="106" t="n">
        <v>9139483.84636691</v>
      </c>
      <c r="AB228" s="106" t="n">
        <v>0</v>
      </c>
      <c r="AC228" s="106" t="n">
        <v>3475648.04559393</v>
      </c>
      <c r="AD228" s="106" t="n">
        <v>3670997.51531397</v>
      </c>
      <c r="AE228" s="106" t="n">
        <v>0</v>
      </c>
      <c r="AF228" s="106" t="n"/>
      <c r="AG228" s="106" t="n">
        <v>377673.609764898</v>
      </c>
      <c r="AH228" s="106" t="n">
        <v>0</v>
      </c>
      <c r="AI228" s="106" t="n">
        <v>0</v>
      </c>
      <c r="AJ228" s="106" t="n">
        <v>0</v>
      </c>
      <c r="AK228" s="106" t="n">
        <v>0</v>
      </c>
      <c r="AL228" s="106" t="n">
        <v>0</v>
      </c>
      <c r="AM228" s="106" t="n">
        <v>1791094.83046236</v>
      </c>
      <c r="AN228" s="114" t="n">
        <v>190093.954238173</v>
      </c>
      <c r="AO228" s="115" t="n">
        <v>364403.6220771</v>
      </c>
      <c r="AP228" s="112" t="n">
        <f aca="false" ca="false" dt2D="false" dtr="false" t="normal">+N228-'Приложение №2'!E228</f>
        <v>0</v>
      </c>
      <c r="AQ228" s="1" t="n">
        <v>2180464.78</v>
      </c>
      <c r="AR228" s="3" t="n">
        <f aca="false" ca="false" dt2D="false" dtr="false" t="normal">+(K228*10+L228*20)*12*0.85</f>
        <v>478318.8</v>
      </c>
      <c r="AS228" s="3" t="n">
        <f aca="false" ca="false" dt2D="false" dtr="false" t="normal">+(K228*10+L228*20)*12*30</f>
        <v>16881840</v>
      </c>
      <c r="AT228" s="9" t="n">
        <f aca="false" ca="false" dt2D="false" dtr="false" t="normal">+S228-AS228</f>
        <v>-8503852.224903781</v>
      </c>
      <c r="AU228" s="9" t="e">
        <f aca="false" ca="false" dt2D="false" dtr="false" t="normal">+P228-'[5]Приложение №1'!$P245</f>
        <v>#REF!</v>
      </c>
      <c r="AV228" s="9" t="e">
        <f aca="false" ca="false" dt2D="false" dtr="false" t="normal">+Q228-'[5]Приложение №1'!$Q245</f>
        <v>#REF!</v>
      </c>
      <c r="AW228" s="113" t="n">
        <f aca="false" ca="true" dt2D="false" dtr="false" t="normal">SUBTOTAL(9, AX228:BL228)</f>
        <v>14941811.062059103</v>
      </c>
      <c r="AX228" s="106" t="n">
        <v>9966368.65760544</v>
      </c>
      <c r="AY228" s="106" t="n">
        <v>0</v>
      </c>
      <c r="AZ228" s="106" t="n"/>
      <c r="BA228" s="106" t="n">
        <v>4203635.16978499</v>
      </c>
      <c r="BB228" s="106" t="n">
        <v>0</v>
      </c>
      <c r="BC228" s="106" t="n"/>
      <c r="BD228" s="106" t="n">
        <v>377673.609764898</v>
      </c>
      <c r="BE228" s="106" t="n">
        <v>0</v>
      </c>
      <c r="BF228" s="106" t="n">
        <v>0</v>
      </c>
      <c r="BG228" s="106" t="n">
        <v>0</v>
      </c>
      <c r="BH228" s="106" t="n">
        <v>0</v>
      </c>
      <c r="BI228" s="106" t="n">
        <v>0</v>
      </c>
      <c r="BJ228" s="106" t="n"/>
      <c r="BK228" s="114" t="n"/>
      <c r="BL228" s="187" t="n">
        <v>394133.624903775</v>
      </c>
      <c r="BM228" s="113" t="n">
        <f aca="false" ca="true" dt2D="false" dtr="false" t="normal">SUBTOTAL(9, BN228:CB228)</f>
        <v>10514364.894668674</v>
      </c>
      <c r="BN228" s="106" t="n">
        <v>6221126</v>
      </c>
      <c r="BO228" s="106" t="n">
        <v>0</v>
      </c>
      <c r="BP228" s="106" t="n"/>
      <c r="BQ228" s="106" t="n">
        <v>3521431.66</v>
      </c>
      <c r="BR228" s="106" t="n">
        <v>0</v>
      </c>
      <c r="BS228" s="106" t="n"/>
      <c r="BT228" s="106" t="n">
        <v>377673.609764898</v>
      </c>
      <c r="BU228" s="106" t="n">
        <v>0</v>
      </c>
      <c r="BV228" s="106" t="n">
        <v>0</v>
      </c>
      <c r="BW228" s="106" t="n">
        <v>0</v>
      </c>
      <c r="BX228" s="106" t="n">
        <v>0</v>
      </c>
      <c r="BY228" s="106" t="n">
        <v>0</v>
      </c>
      <c r="BZ228" s="106" t="n"/>
      <c r="CA228" s="114" t="n"/>
      <c r="CB228" s="115" t="n">
        <v>394133.624903775</v>
      </c>
      <c r="CD228" s="116" t="n">
        <f aca="false" ca="false" dt2D="false" dtr="false" t="normal">+CD227+1</f>
        <v>209</v>
      </c>
      <c r="CE228" s="117" t="n">
        <f aca="false" ca="false" dt2D="false" dtr="false" t="normal">+CE227+1</f>
        <v>21</v>
      </c>
      <c r="CF228" s="104" t="s">
        <v>78</v>
      </c>
      <c r="CG228" s="117" t="s">
        <v>320</v>
      </c>
      <c r="CH228" s="118" t="n">
        <f aca="false" ca="true" dt2D="false" dtr="false" t="normal">SUBTOTAL(9, CI228:CW228)</f>
        <v>10136691.284903776</v>
      </c>
      <c r="CI228" s="114" t="n">
        <v>6221126</v>
      </c>
      <c r="CJ228" s="114" t="n">
        <v>0</v>
      </c>
      <c r="CK228" s="114" t="n"/>
      <c r="CL228" s="114" t="n">
        <v>3521431.66</v>
      </c>
      <c r="CM228" s="114" t="n">
        <v>0</v>
      </c>
      <c r="CN228" s="114" t="n"/>
      <c r="CO228" s="114" t="n"/>
      <c r="CP228" s="114" t="n">
        <v>0</v>
      </c>
      <c r="CQ228" s="114" t="n">
        <v>0</v>
      </c>
      <c r="CR228" s="114" t="n">
        <v>0</v>
      </c>
      <c r="CS228" s="114" t="n">
        <v>0</v>
      </c>
      <c r="CT228" s="114" t="n">
        <v>0</v>
      </c>
      <c r="CU228" s="114" t="n"/>
      <c r="CV228" s="114" t="n"/>
      <c r="CW228" s="115" t="n">
        <v>394133.624903775</v>
      </c>
      <c r="CZ228" s="117" t="s">
        <v>320</v>
      </c>
      <c r="DA228" s="119" t="n">
        <f aca="false" ca="true" dt2D="false" dtr="false" t="normal">SUBTOTAL(9, DB228:DP228)</f>
        <v>9742557.66</v>
      </c>
      <c r="DB228" s="114" t="n">
        <v>6221126</v>
      </c>
      <c r="DC228" s="114" t="n">
        <v>0</v>
      </c>
      <c r="DD228" s="114" t="n"/>
      <c r="DE228" s="114" t="n">
        <v>3521431.66</v>
      </c>
      <c r="DF228" s="114" t="n">
        <v>0</v>
      </c>
      <c r="DG228" s="114" t="n"/>
      <c r="DH228" s="114" t="n"/>
      <c r="DI228" s="114" t="n">
        <v>0</v>
      </c>
      <c r="DJ228" s="114" t="n">
        <v>0</v>
      </c>
      <c r="DK228" s="114" t="n">
        <v>0</v>
      </c>
      <c r="DL228" s="114" t="n">
        <v>0</v>
      </c>
      <c r="DM228" s="114" t="n">
        <v>0</v>
      </c>
      <c r="DN228" s="114" t="n"/>
      <c r="DO228" s="114" t="n"/>
      <c r="DP228" s="122" t="n"/>
      <c r="DQ228" s="3" t="n">
        <f aca="false" ca="false" dt2D="false" dtr="false" t="normal">N228-DA228</f>
        <v>0</v>
      </c>
      <c r="DS228" s="9" t="n"/>
    </row>
    <row hidden="false" ht="15" outlineLevel="0" r="229">
      <c r="A229" s="183" t="n">
        <f aca="false" ca="false" dt2D="false" dtr="false" t="normal">+A228+1</f>
        <v>210</v>
      </c>
      <c r="B229" s="184" t="n">
        <f aca="false" ca="false" dt2D="false" dtr="false" t="normal">+B228+1</f>
        <v>22</v>
      </c>
      <c r="C229" s="104" t="s">
        <v>78</v>
      </c>
      <c r="D229" s="104" t="s">
        <v>321</v>
      </c>
      <c r="E229" s="105" t="n">
        <v>1991</v>
      </c>
      <c r="F229" s="105" t="n">
        <v>2017</v>
      </c>
      <c r="G229" s="105" t="s">
        <v>68</v>
      </c>
      <c r="H229" s="105" t="n">
        <v>9</v>
      </c>
      <c r="I229" s="105" t="n">
        <v>1</v>
      </c>
      <c r="J229" s="106" t="n">
        <v>3222.4</v>
      </c>
      <c r="K229" s="106" t="n">
        <v>2756.2</v>
      </c>
      <c r="L229" s="106" t="n">
        <v>0</v>
      </c>
      <c r="M229" s="107" t="n">
        <v>108</v>
      </c>
      <c r="N229" s="108" t="n">
        <f aca="false" ca="false" dt2D="false" dtr="false" t="normal">SUM(P229:T229)</f>
        <v>9994822.19</v>
      </c>
      <c r="O229" s="106" t="n"/>
      <c r="P229" s="114" t="n"/>
      <c r="Q229" s="114" t="n"/>
      <c r="R229" s="114" t="n">
        <v>2573584.508</v>
      </c>
      <c r="S229" s="114" t="n">
        <v>7421237.682</v>
      </c>
      <c r="T229" s="114" t="n"/>
      <c r="U229" s="114" t="n">
        <v>7166.95257322243</v>
      </c>
      <c r="V229" s="114" t="n">
        <v>1239.283020064</v>
      </c>
      <c r="W229" s="185" t="n">
        <v>2023</v>
      </c>
      <c r="X229" s="9" t="e">
        <f aca="false" ca="false" dt2D="false" dtr="false" t="normal">+#REF!-'[9]Приложение №1'!$P978</f>
        <v>#REF!</v>
      </c>
      <c r="Z229" s="113" t="n">
        <f aca="false" ca="false" dt2D="false" dtr="false" t="normal">SUM(AA229:AO229)</f>
        <v>19471909.912315655</v>
      </c>
      <c r="AA229" s="106" t="n">
        <v>0</v>
      </c>
      <c r="AB229" s="106" t="n">
        <v>0</v>
      </c>
      <c r="AC229" s="106" t="n">
        <v>0</v>
      </c>
      <c r="AD229" s="106" t="n">
        <v>0</v>
      </c>
      <c r="AE229" s="106" t="n">
        <v>0</v>
      </c>
      <c r="AF229" s="106" t="n"/>
      <c r="AG229" s="106" t="n">
        <v>0</v>
      </c>
      <c r="AH229" s="106" t="n">
        <v>0</v>
      </c>
      <c r="AI229" s="106" t="n">
        <v>0</v>
      </c>
      <c r="AJ229" s="106" t="n">
        <v>0</v>
      </c>
      <c r="AK229" s="106" t="n">
        <v>18930963.0422621</v>
      </c>
      <c r="AL229" s="106" t="n">
        <v>0</v>
      </c>
      <c r="AM229" s="106" t="n">
        <v>102965.05</v>
      </c>
      <c r="AN229" s="106" t="n">
        <v>24000</v>
      </c>
      <c r="AO229" s="115" t="n">
        <v>413981.820053555</v>
      </c>
      <c r="AP229" s="112" t="n">
        <f aca="false" ca="false" dt2D="false" dtr="false" t="normal">+N229-'Приложение №2'!E229</f>
        <v>0</v>
      </c>
      <c r="AQ229" s="121" t="n">
        <v>2181404.81</v>
      </c>
      <c r="AR229" s="3" t="n">
        <f aca="false" ca="false" dt2D="false" dtr="false" t="normal">+(K229*13.95+L229*23.65)*12*0.85</f>
        <v>392179.698</v>
      </c>
      <c r="AS229" s="3" t="n">
        <f aca="false" ca="false" dt2D="false" dtr="false" t="normal">+(K229*13.95+L229*23.65)*12*30</f>
        <v>13841636.4</v>
      </c>
      <c r="AT229" s="9" t="n">
        <f aca="false" ca="false" dt2D="false" dtr="false" t="normal">+S229-AS229</f>
        <v>-6420398.718</v>
      </c>
      <c r="AU229" s="9" t="e">
        <f aca="false" ca="false" dt2D="false" dtr="false" t="normal">+P229-'[5]Приложение №1'!$P523</f>
        <v>#REF!</v>
      </c>
      <c r="AV229" s="9" t="e">
        <f aca="false" ca="false" dt2D="false" dtr="false" t="normal">+Q229-'[5]Приложение №1'!$Q523</f>
        <v>#REF!</v>
      </c>
      <c r="AW229" s="186" t="n">
        <f aca="false" ca="true" dt2D="false" dtr="false" t="normal">SUBTOTAL(9, AX229:BL229)</f>
        <v>19753554.682315655</v>
      </c>
      <c r="AX229" s="106" t="n">
        <v>0</v>
      </c>
      <c r="AY229" s="106" t="n">
        <v>0</v>
      </c>
      <c r="AZ229" s="106" t="n">
        <v>0</v>
      </c>
      <c r="BA229" s="106" t="n">
        <v>0</v>
      </c>
      <c r="BB229" s="106" t="n">
        <v>0</v>
      </c>
      <c r="BC229" s="106" t="n"/>
      <c r="BD229" s="106" t="n"/>
      <c r="BE229" s="106" t="n">
        <v>0</v>
      </c>
      <c r="BF229" s="106" t="n">
        <v>0</v>
      </c>
      <c r="BG229" s="106" t="n">
        <v>0</v>
      </c>
      <c r="BH229" s="106" t="n">
        <v>18930963.0422621</v>
      </c>
      <c r="BI229" s="106" t="n">
        <v>0</v>
      </c>
      <c r="BJ229" s="106" t="n">
        <v>408609.82</v>
      </c>
      <c r="BK229" s="106" t="n"/>
      <c r="BL229" s="187" t="n">
        <v>413981.820053555</v>
      </c>
      <c r="BM229" s="186" t="n">
        <f aca="false" ca="true" dt2D="false" dtr="false" t="normal">SUBTOTAL(9, BN229:CB229)</f>
        <v>19753554.682315655</v>
      </c>
      <c r="BN229" s="106" t="n">
        <v>0</v>
      </c>
      <c r="BO229" s="106" t="n">
        <v>0</v>
      </c>
      <c r="BP229" s="106" t="n">
        <v>0</v>
      </c>
      <c r="BQ229" s="106" t="n">
        <v>0</v>
      </c>
      <c r="BR229" s="106" t="n">
        <v>0</v>
      </c>
      <c r="BS229" s="106" t="n"/>
      <c r="BT229" s="106" t="n"/>
      <c r="BU229" s="106" t="n">
        <v>0</v>
      </c>
      <c r="BV229" s="106" t="n">
        <v>0</v>
      </c>
      <c r="BW229" s="106" t="n">
        <v>0</v>
      </c>
      <c r="BX229" s="106" t="n">
        <v>18930963.0422621</v>
      </c>
      <c r="BY229" s="106" t="n">
        <v>0</v>
      </c>
      <c r="BZ229" s="106" t="n">
        <v>408609.82</v>
      </c>
      <c r="CA229" s="106" t="n"/>
      <c r="CB229" s="115" t="n">
        <v>413981.820053555</v>
      </c>
      <c r="CD229" s="116" t="n">
        <f aca="false" ca="false" dt2D="false" dtr="false" t="normal">+CD228+1</f>
        <v>210</v>
      </c>
      <c r="CE229" s="117" t="n">
        <f aca="false" ca="false" dt2D="false" dtr="false" t="normal">+CE228+1</f>
        <v>22</v>
      </c>
      <c r="CF229" s="104" t="s">
        <v>78</v>
      </c>
      <c r="CG229" s="117" t="s">
        <v>321</v>
      </c>
      <c r="CH229" s="188" t="n">
        <f aca="false" ca="true" dt2D="false" dtr="false" t="normal">SUBTOTAL(9, CI229:CW229)</f>
        <v>10408804.010053556</v>
      </c>
      <c r="CI229" s="114" t="n">
        <v>0</v>
      </c>
      <c r="CJ229" s="114" t="n">
        <v>0</v>
      </c>
      <c r="CK229" s="114" t="n">
        <v>0</v>
      </c>
      <c r="CL229" s="114" t="n">
        <v>0</v>
      </c>
      <c r="CM229" s="114" t="n">
        <v>0</v>
      </c>
      <c r="CN229" s="114" t="n"/>
      <c r="CO229" s="114" t="n"/>
      <c r="CP229" s="114" t="n">
        <v>0</v>
      </c>
      <c r="CQ229" s="114" t="n">
        <v>0</v>
      </c>
      <c r="CR229" s="114" t="n">
        <v>0</v>
      </c>
      <c r="CS229" s="114" t="n">
        <v>9867857.14</v>
      </c>
      <c r="CT229" s="114" t="n">
        <v>0</v>
      </c>
      <c r="CU229" s="114" t="n">
        <v>102965.05</v>
      </c>
      <c r="CV229" s="114" t="n">
        <v>24000</v>
      </c>
      <c r="CW229" s="115" t="n">
        <v>413981.820053555</v>
      </c>
      <c r="CZ229" s="117" t="s">
        <v>321</v>
      </c>
      <c r="DA229" s="189" t="n">
        <f aca="false" ca="true" dt2D="false" dtr="false" t="normal">SUBTOTAL(9, DB229:DP229)</f>
        <v>9994822.190000001</v>
      </c>
      <c r="DB229" s="114" t="n">
        <v>0</v>
      </c>
      <c r="DC229" s="114" t="n">
        <v>0</v>
      </c>
      <c r="DD229" s="114" t="n">
        <v>0</v>
      </c>
      <c r="DE229" s="114" t="n">
        <v>0</v>
      </c>
      <c r="DF229" s="114" t="n">
        <v>0</v>
      </c>
      <c r="DG229" s="114" t="n"/>
      <c r="DH229" s="114" t="n"/>
      <c r="DI229" s="114" t="n">
        <v>0</v>
      </c>
      <c r="DJ229" s="114" t="n">
        <v>0</v>
      </c>
      <c r="DK229" s="114" t="n">
        <v>0</v>
      </c>
      <c r="DL229" s="114" t="n">
        <v>9867857.14</v>
      </c>
      <c r="DM229" s="114" t="n">
        <v>0</v>
      </c>
      <c r="DN229" s="114" t="n">
        <v>102965.05</v>
      </c>
      <c r="DO229" s="114" t="n">
        <v>24000</v>
      </c>
      <c r="DP229" s="122" t="n"/>
      <c r="DQ229" s="3" t="n">
        <f aca="false" ca="false" dt2D="false" dtr="false" t="normal">N229-DA229</f>
        <v>0</v>
      </c>
      <c r="DS229" s="9" t="n"/>
    </row>
    <row hidden="false" ht="15" outlineLevel="0" r="230">
      <c r="A230" s="183" t="n">
        <f aca="false" ca="false" dt2D="false" dtr="false" t="normal">+A229+1</f>
        <v>211</v>
      </c>
      <c r="B230" s="184" t="n">
        <f aca="false" ca="false" dt2D="false" dtr="false" t="normal">+B229+1</f>
        <v>23</v>
      </c>
      <c r="C230" s="104" t="s">
        <v>78</v>
      </c>
      <c r="D230" s="104" t="s">
        <v>322</v>
      </c>
      <c r="E230" s="105" t="n">
        <v>1991</v>
      </c>
      <c r="F230" s="105" t="n">
        <v>2017</v>
      </c>
      <c r="G230" s="105" t="s">
        <v>68</v>
      </c>
      <c r="H230" s="105" t="n">
        <v>9</v>
      </c>
      <c r="I230" s="105" t="n">
        <v>1</v>
      </c>
      <c r="J230" s="106" t="n">
        <v>3271</v>
      </c>
      <c r="K230" s="106" t="n">
        <v>2814.6</v>
      </c>
      <c r="L230" s="106" t="n">
        <v>0</v>
      </c>
      <c r="M230" s="107" t="n">
        <v>93</v>
      </c>
      <c r="N230" s="108" t="n">
        <f aca="false" ca="false" dt2D="false" dtr="false" t="normal">SUM(P230:T230)</f>
        <v>4013909.7699999996</v>
      </c>
      <c r="O230" s="106" t="n"/>
      <c r="P230" s="114" t="n"/>
      <c r="Q230" s="114" t="n"/>
      <c r="R230" s="114" t="n">
        <v>1171805.394189</v>
      </c>
      <c r="S230" s="114" t="n">
        <v>2842104.375811</v>
      </c>
      <c r="T230" s="114" t="n"/>
      <c r="U230" s="114" t="n">
        <v>3490.9418391756</v>
      </c>
      <c r="V230" s="114" t="n">
        <v>1243.283020064</v>
      </c>
      <c r="W230" s="185" t="n">
        <v>2023</v>
      </c>
      <c r="X230" s="9" t="e">
        <f aca="false" ca="false" dt2D="false" dtr="false" t="normal">+#REF!-'[9]Приложение №1'!$P980</f>
        <v>#REF!</v>
      </c>
      <c r="Z230" s="113" t="n">
        <f aca="false" ca="false" dt2D="false" dtr="false" t="normal">SUM(AA230:AO230)</f>
        <v>12536948.214155668</v>
      </c>
      <c r="AA230" s="106" t="n">
        <v>6765674.31573131</v>
      </c>
      <c r="AB230" s="106" t="n">
        <v>2706914.9973932</v>
      </c>
      <c r="AC230" s="106" t="n">
        <v>0</v>
      </c>
      <c r="AD230" s="106" t="n">
        <v>1277658.235625</v>
      </c>
      <c r="AE230" s="106" t="n">
        <v>0</v>
      </c>
      <c r="AF230" s="106" t="n"/>
      <c r="AG230" s="106" t="n">
        <v>300589.466742777</v>
      </c>
      <c r="AH230" s="106" t="n">
        <v>0</v>
      </c>
      <c r="AI230" s="106" t="n">
        <v>0</v>
      </c>
      <c r="AJ230" s="106" t="n">
        <v>0</v>
      </c>
      <c r="AK230" s="106" t="n">
        <v>0</v>
      </c>
      <c r="AL230" s="106" t="n">
        <v>0</v>
      </c>
      <c r="AM230" s="106" t="n">
        <v>1119082.29272095</v>
      </c>
      <c r="AN230" s="114" t="n">
        <v>125369.482141557</v>
      </c>
      <c r="AO230" s="115" t="n">
        <v>241659.423800874</v>
      </c>
      <c r="AP230" s="112" t="n">
        <f aca="false" ca="false" dt2D="false" dtr="false" t="normal">+N230-'Приложение №2'!E230</f>
        <v>0</v>
      </c>
      <c r="AQ230" s="121" t="n">
        <v>2237132.42</v>
      </c>
      <c r="AR230" s="3" t="n">
        <f aca="false" ca="false" dt2D="false" dtr="false" t="normal">+(K230*13.95+L230*23.65)*12*0.85</f>
        <v>400489.43399999995</v>
      </c>
      <c r="AS230" s="3" t="n">
        <f aca="false" ca="false" dt2D="false" dtr="false" t="normal">+(K230*13.95+L230*23.65)*12*30</f>
        <v>14134921.2</v>
      </c>
      <c r="AT230" s="9" t="n">
        <f aca="false" ca="false" dt2D="false" dtr="false" t="normal">+S230-AS230</f>
        <v>-11292816.824189</v>
      </c>
      <c r="AU230" s="9" t="e">
        <f aca="false" ca="false" dt2D="false" dtr="false" t="normal">+P230-'[5]Приложение №1'!$P526</f>
        <v>#REF!</v>
      </c>
      <c r="AV230" s="9" t="e">
        <f aca="false" ca="false" dt2D="false" dtr="false" t="normal">+Q230-'[5]Приложение №1'!$Q526</f>
        <v>#REF!</v>
      </c>
      <c r="AW230" s="186" t="n">
        <f aca="false" ca="true" dt2D="false" dtr="false" t="normal">SUBTOTAL(9, AX230:BL230)</f>
        <v>9825604.90054365</v>
      </c>
      <c r="AX230" s="106" t="n">
        <v>4922338.54</v>
      </c>
      <c r="AY230" s="106" t="n">
        <v>2955743</v>
      </c>
      <c r="AZ230" s="106" t="n">
        <v>0</v>
      </c>
      <c r="BA230" s="106" t="n">
        <v>1405274.47</v>
      </c>
      <c r="BB230" s="106" t="n">
        <v>0</v>
      </c>
      <c r="BC230" s="106" t="n"/>
      <c r="BD230" s="106" t="n">
        <v>300589.466742777</v>
      </c>
      <c r="BE230" s="106" t="n">
        <v>0</v>
      </c>
      <c r="BF230" s="106" t="n">
        <v>0</v>
      </c>
      <c r="BG230" s="106" t="n">
        <v>0</v>
      </c>
      <c r="BH230" s="106" t="n">
        <v>0</v>
      </c>
      <c r="BI230" s="106" t="n">
        <v>0</v>
      </c>
      <c r="BJ230" s="106" t="n"/>
      <c r="BK230" s="114" t="n"/>
      <c r="BL230" s="187" t="n">
        <v>241659.423800874</v>
      </c>
      <c r="BM230" s="186" t="n">
        <f aca="false" ca="true" dt2D="false" dtr="false" t="normal">SUBTOTAL(9, BN230:CB230)</f>
        <v>9478497.200543651</v>
      </c>
      <c r="BN230" s="106" t="n">
        <v>4922338.54</v>
      </c>
      <c r="BO230" s="106" t="n">
        <v>2639754.41</v>
      </c>
      <c r="BP230" s="106" t="n">
        <v>0</v>
      </c>
      <c r="BQ230" s="106" t="n">
        <v>1374155.36</v>
      </c>
      <c r="BR230" s="106" t="n">
        <v>0</v>
      </c>
      <c r="BS230" s="106" t="n"/>
      <c r="BT230" s="106" t="n">
        <v>300589.466742777</v>
      </c>
      <c r="BU230" s="106" t="n">
        <v>0</v>
      </c>
      <c r="BV230" s="106" t="n">
        <v>0</v>
      </c>
      <c r="BW230" s="106" t="n">
        <v>0</v>
      </c>
      <c r="BX230" s="106" t="n">
        <v>0</v>
      </c>
      <c r="BY230" s="106" t="n">
        <v>0</v>
      </c>
      <c r="BZ230" s="106" t="n"/>
      <c r="CA230" s="114" t="n"/>
      <c r="CB230" s="115" t="n">
        <v>241659.423800874</v>
      </c>
      <c r="CD230" s="116" t="n">
        <f aca="false" ca="false" dt2D="false" dtr="false" t="normal">+CD229+1</f>
        <v>211</v>
      </c>
      <c r="CE230" s="117" t="n">
        <f aca="false" ca="false" dt2D="false" dtr="false" t="normal">+CE229+1</f>
        <v>23</v>
      </c>
      <c r="CF230" s="104" t="s">
        <v>78</v>
      </c>
      <c r="CG230" s="117" t="s">
        <v>322</v>
      </c>
      <c r="CH230" s="188" t="n">
        <f aca="false" ca="true" dt2D="false" dtr="false" t="normal">SUBTOTAL(9, CI230:CW230)</f>
        <v>4255569.193800874</v>
      </c>
      <c r="CI230" s="114" t="n"/>
      <c r="CJ230" s="114" t="n">
        <v>2639754.41</v>
      </c>
      <c r="CK230" s="114" t="n">
        <v>0</v>
      </c>
      <c r="CL230" s="114" t="n">
        <v>1374155.36</v>
      </c>
      <c r="CM230" s="114" t="n">
        <v>0</v>
      </c>
      <c r="CN230" s="114" t="n"/>
      <c r="CO230" s="114" t="n"/>
      <c r="CP230" s="114" t="n">
        <v>0</v>
      </c>
      <c r="CQ230" s="114" t="n">
        <v>0</v>
      </c>
      <c r="CR230" s="114" t="n">
        <v>0</v>
      </c>
      <c r="CS230" s="114" t="n">
        <v>0</v>
      </c>
      <c r="CT230" s="114" t="n">
        <v>0</v>
      </c>
      <c r="CU230" s="114" t="n"/>
      <c r="CV230" s="114" t="n"/>
      <c r="CW230" s="115" t="n">
        <v>241659.423800874</v>
      </c>
      <c r="CZ230" s="117" t="s">
        <v>322</v>
      </c>
      <c r="DA230" s="189" t="n">
        <f aca="false" ca="true" dt2D="false" dtr="false" t="normal">SUBTOTAL(9, DB230:DP230)</f>
        <v>4013909.7700000005</v>
      </c>
      <c r="DB230" s="114" t="n"/>
      <c r="DC230" s="114" t="n">
        <v>2639754.41</v>
      </c>
      <c r="DD230" s="114" t="n">
        <v>0</v>
      </c>
      <c r="DE230" s="114" t="n">
        <v>1374155.36</v>
      </c>
      <c r="DF230" s="114" t="n">
        <v>0</v>
      </c>
      <c r="DG230" s="114" t="n"/>
      <c r="DH230" s="114" t="n"/>
      <c r="DI230" s="114" t="n">
        <v>0</v>
      </c>
      <c r="DJ230" s="114" t="n">
        <v>0</v>
      </c>
      <c r="DK230" s="114" t="n">
        <v>0</v>
      </c>
      <c r="DL230" s="114" t="n">
        <v>0</v>
      </c>
      <c r="DM230" s="114" t="n">
        <v>0</v>
      </c>
      <c r="DN230" s="114" t="n"/>
      <c r="DO230" s="114" t="n"/>
      <c r="DP230" s="122" t="n"/>
      <c r="DQ230" s="3" t="n">
        <f aca="false" ca="false" dt2D="false" dtr="false" t="normal">N230-DA230</f>
        <v>0</v>
      </c>
      <c r="DS230" s="9" t="n"/>
    </row>
    <row hidden="false" ht="15" outlineLevel="0" r="231">
      <c r="A231" s="183" t="n">
        <f aca="false" ca="false" dt2D="false" dtr="false" t="normal">+A230+1</f>
        <v>212</v>
      </c>
      <c r="B231" s="184" t="n">
        <f aca="false" ca="false" dt2D="false" dtr="false" t="normal">+B230+1</f>
        <v>24</v>
      </c>
      <c r="C231" s="104" t="s">
        <v>78</v>
      </c>
      <c r="D231" s="104" t="s">
        <v>323</v>
      </c>
      <c r="E231" s="105" t="n">
        <v>1991</v>
      </c>
      <c r="F231" s="105" t="n">
        <v>2009</v>
      </c>
      <c r="G231" s="105" t="s">
        <v>68</v>
      </c>
      <c r="H231" s="105" t="n">
        <v>5</v>
      </c>
      <c r="I231" s="105" t="n">
        <v>2</v>
      </c>
      <c r="J231" s="106" t="n">
        <v>3315.2</v>
      </c>
      <c r="K231" s="106" t="n">
        <v>2614.7</v>
      </c>
      <c r="L231" s="106" t="n">
        <v>667.8</v>
      </c>
      <c r="M231" s="107" t="n">
        <v>88</v>
      </c>
      <c r="N231" s="108" t="n">
        <f aca="false" ca="false" dt2D="false" dtr="false" t="normal">SUM(P231:T231)</f>
        <v>1850706.3800000001</v>
      </c>
      <c r="O231" s="106" t="n"/>
      <c r="P231" s="114" t="n"/>
      <c r="Q231" s="114" t="n"/>
      <c r="R231" s="114" t="n">
        <v>740039.9934</v>
      </c>
      <c r="S231" s="114" t="n">
        <v>1110666.3866</v>
      </c>
      <c r="T231" s="190" t="n"/>
      <c r="U231" s="114" t="n">
        <v>1032.78654360319</v>
      </c>
      <c r="V231" s="114" t="n">
        <v>1032.78654360319</v>
      </c>
      <c r="W231" s="185" t="n">
        <v>2023</v>
      </c>
      <c r="X231" s="9" t="e">
        <f aca="false" ca="false" dt2D="false" dtr="false" t="normal">+#REF!-'[9]Приложение №1'!$P982</f>
        <v>#REF!</v>
      </c>
      <c r="Z231" s="113" t="n">
        <f aca="false" ca="false" dt2D="false" dtr="false" t="normal">SUM(AA231:AO231)</f>
        <v>5124059.07092951</v>
      </c>
      <c r="AA231" s="106" t="n">
        <v>0</v>
      </c>
      <c r="AB231" s="106" t="n">
        <v>0</v>
      </c>
      <c r="AC231" s="106" t="n">
        <v>2132209.30292372</v>
      </c>
      <c r="AD231" s="106" t="n">
        <v>2252050.53862833</v>
      </c>
      <c r="AE231" s="106" t="n">
        <v>0</v>
      </c>
      <c r="AF231" s="106" t="n"/>
      <c r="AG231" s="106" t="n">
        <v>0</v>
      </c>
      <c r="AH231" s="106" t="n">
        <v>0</v>
      </c>
      <c r="AI231" s="106" t="n">
        <v>0</v>
      </c>
      <c r="AJ231" s="106" t="n">
        <v>0</v>
      </c>
      <c r="AK231" s="106" t="n">
        <v>0</v>
      </c>
      <c r="AL231" s="106" t="n">
        <v>0</v>
      </c>
      <c r="AM231" s="106" t="n">
        <v>592683.755560446</v>
      </c>
      <c r="AN231" s="114" t="n">
        <v>51240.5907092951</v>
      </c>
      <c r="AO231" s="115" t="n">
        <v>95874.8831077191</v>
      </c>
      <c r="AP231" s="112" t="n">
        <f aca="false" ca="false" dt2D="false" dtr="false" t="normal">+N231-'Приложение №2'!E231</f>
        <v>0</v>
      </c>
      <c r="AQ231" s="1" t="n">
        <v>1371575.02</v>
      </c>
      <c r="AR231" s="3" t="n">
        <f aca="false" ca="false" dt2D="false" dtr="false" t="normal">+(K231*10+L231*20)*12*0.85</f>
        <v>402930.6</v>
      </c>
      <c r="AS231" s="3" t="n">
        <f aca="false" ca="false" dt2D="false" dtr="false" t="normal">+(K231*10+L231*20)*12*30</f>
        <v>14221080</v>
      </c>
      <c r="AT231" s="9" t="n">
        <f aca="false" ca="false" dt2D="false" dtr="false" t="normal">+S231-AS231</f>
        <v>-13110413.6134</v>
      </c>
      <c r="AW231" s="113" t="n">
        <f aca="false" ca="true" dt2D="false" dtr="false" t="normal">SUBTOTAL(9, AX231:BL231)</f>
        <v>3390121.8293774603</v>
      </c>
      <c r="AX231" s="106" t="n">
        <v>0</v>
      </c>
      <c r="AY231" s="106" t="n">
        <v>0</v>
      </c>
      <c r="AZ231" s="106" t="n">
        <v>927231.11</v>
      </c>
      <c r="BA231" s="106" t="n">
        <v>1740087.49</v>
      </c>
      <c r="BB231" s="106" t="n">
        <v>0</v>
      </c>
      <c r="BC231" s="106" t="n"/>
      <c r="BD231" s="106" t="n"/>
      <c r="BE231" s="106" t="n">
        <v>0</v>
      </c>
      <c r="BF231" s="106" t="n">
        <v>0</v>
      </c>
      <c r="BG231" s="106" t="n">
        <v>0</v>
      </c>
      <c r="BH231" s="106" t="n">
        <v>0</v>
      </c>
      <c r="BI231" s="106" t="n">
        <v>0</v>
      </c>
      <c r="BJ231" s="106" t="n">
        <v>575687.755560446</v>
      </c>
      <c r="BK231" s="114" t="n">
        <v>51240.5907092951</v>
      </c>
      <c r="BL231" s="187" t="n">
        <v>95874.8831077191</v>
      </c>
      <c r="BM231" s="113" t="n">
        <f aca="false" ca="true" dt2D="false" dtr="false" t="normal">SUBTOTAL(9, BN231:CB231)</f>
        <v>3390121.8293774603</v>
      </c>
      <c r="BN231" s="106" t="n">
        <v>0</v>
      </c>
      <c r="BO231" s="106" t="n">
        <v>0</v>
      </c>
      <c r="BP231" s="106" t="n">
        <v>927231.11</v>
      </c>
      <c r="BQ231" s="106" t="n">
        <v>1740087.49</v>
      </c>
      <c r="BR231" s="106" t="n">
        <v>0</v>
      </c>
      <c r="BS231" s="106" t="n"/>
      <c r="BT231" s="106" t="n"/>
      <c r="BU231" s="106" t="n">
        <v>0</v>
      </c>
      <c r="BV231" s="106" t="n">
        <v>0</v>
      </c>
      <c r="BW231" s="106" t="n">
        <v>0</v>
      </c>
      <c r="BX231" s="106" t="n">
        <v>0</v>
      </c>
      <c r="BY231" s="106" t="n">
        <v>0</v>
      </c>
      <c r="BZ231" s="106" t="n">
        <v>575687.755560446</v>
      </c>
      <c r="CA231" s="114" t="n">
        <v>51240.5907092951</v>
      </c>
      <c r="CB231" s="115" t="n">
        <v>95874.8831077191</v>
      </c>
      <c r="CD231" s="116" t="n">
        <f aca="false" ca="false" dt2D="false" dtr="false" t="normal">+CD230+1</f>
        <v>212</v>
      </c>
      <c r="CE231" s="117" t="n">
        <f aca="false" ca="false" dt2D="false" dtr="false" t="normal">+CE230+1</f>
        <v>24</v>
      </c>
      <c r="CF231" s="104" t="s">
        <v>78</v>
      </c>
      <c r="CG231" s="117" t="s">
        <v>323</v>
      </c>
      <c r="CH231" s="118" t="n">
        <f aca="false" ca="true" dt2D="false" dtr="false" t="normal">SUBTOTAL(9, CI231:CW231)</f>
        <v>1946581.263107719</v>
      </c>
      <c r="CI231" s="114" t="n">
        <v>0</v>
      </c>
      <c r="CJ231" s="114" t="n">
        <v>0</v>
      </c>
      <c r="CK231" s="114" t="n"/>
      <c r="CL231" s="114" t="n">
        <v>1740087.49</v>
      </c>
      <c r="CM231" s="114" t="n">
        <v>0</v>
      </c>
      <c r="CN231" s="114" t="n"/>
      <c r="CO231" s="114" t="n"/>
      <c r="CP231" s="114" t="n">
        <v>0</v>
      </c>
      <c r="CQ231" s="114" t="n">
        <v>0</v>
      </c>
      <c r="CR231" s="114" t="n">
        <v>0</v>
      </c>
      <c r="CS231" s="114" t="n">
        <v>0</v>
      </c>
      <c r="CT231" s="114" t="n">
        <v>0</v>
      </c>
      <c r="CU231" s="114" t="n">
        <v>93622.89</v>
      </c>
      <c r="CV231" s="114" t="n">
        <v>16996</v>
      </c>
      <c r="CW231" s="115" t="n">
        <v>95874.8831077191</v>
      </c>
      <c r="CZ231" s="117" t="s">
        <v>323</v>
      </c>
      <c r="DA231" s="119" t="n">
        <f aca="false" ca="true" dt2D="false" dtr="false" t="normal">SUBTOTAL(9, DB231:DP231)</f>
        <v>1850706.38</v>
      </c>
      <c r="DB231" s="114" t="n">
        <v>0</v>
      </c>
      <c r="DC231" s="114" t="n">
        <v>0</v>
      </c>
      <c r="DD231" s="114" t="n"/>
      <c r="DE231" s="114" t="n">
        <v>1740087.49</v>
      </c>
      <c r="DF231" s="114" t="n">
        <v>0</v>
      </c>
      <c r="DG231" s="114" t="n"/>
      <c r="DH231" s="114" t="n"/>
      <c r="DI231" s="114" t="n">
        <v>0</v>
      </c>
      <c r="DJ231" s="114" t="n">
        <v>0</v>
      </c>
      <c r="DK231" s="114" t="n">
        <v>0</v>
      </c>
      <c r="DL231" s="114" t="n">
        <v>0</v>
      </c>
      <c r="DM231" s="114" t="n">
        <v>0</v>
      </c>
      <c r="DN231" s="114" t="n">
        <v>93622.89</v>
      </c>
      <c r="DO231" s="114" t="n">
        <v>16996</v>
      </c>
      <c r="DP231" s="122" t="n"/>
      <c r="DQ231" s="3" t="n">
        <f aca="false" ca="false" dt2D="false" dtr="false" t="normal">N231-DA231</f>
        <v>0</v>
      </c>
      <c r="DS231" s="9" t="n"/>
    </row>
    <row hidden="false" ht="15" outlineLevel="0" r="232">
      <c r="A232" s="183" t="n">
        <f aca="false" ca="false" dt2D="false" dtr="false" t="normal">+A231+1</f>
        <v>213</v>
      </c>
      <c r="B232" s="184" t="n">
        <f aca="false" ca="false" dt2D="false" dtr="false" t="normal">+B231+1</f>
        <v>25</v>
      </c>
      <c r="C232" s="117" t="s">
        <v>111</v>
      </c>
      <c r="D232" s="117" t="s">
        <v>324</v>
      </c>
      <c r="E232" s="105" t="n">
        <v>1991</v>
      </c>
      <c r="F232" s="105" t="n">
        <v>2016</v>
      </c>
      <c r="G232" s="105" t="s">
        <v>68</v>
      </c>
      <c r="H232" s="105" t="n">
        <v>5</v>
      </c>
      <c r="I232" s="105" t="n">
        <v>4</v>
      </c>
      <c r="J232" s="106" t="n">
        <v>4887.3</v>
      </c>
      <c r="K232" s="106" t="n">
        <v>4825.5</v>
      </c>
      <c r="L232" s="106" t="n">
        <v>0</v>
      </c>
      <c r="M232" s="107" t="n">
        <v>240</v>
      </c>
      <c r="N232" s="108" t="n">
        <f aca="false" ca="false" dt2D="false" dtr="false" t="normal">SUM(P232:T232)</f>
        <v>4776548.88</v>
      </c>
      <c r="O232" s="114" t="n"/>
      <c r="P232" s="114" t="n">
        <v>2042724.8</v>
      </c>
      <c r="Q232" s="114" t="n"/>
      <c r="R232" s="114" t="n">
        <v>2337821.67</v>
      </c>
      <c r="S232" s="114" t="n">
        <v>396002.41</v>
      </c>
      <c r="T232" s="114" t="n"/>
      <c r="U232" s="106" t="n">
        <v>942.383525261216</v>
      </c>
      <c r="V232" s="106" t="n">
        <v>942.383525261216</v>
      </c>
      <c r="W232" s="185" t="n">
        <v>2023</v>
      </c>
      <c r="X232" s="9" t="e">
        <f aca="false" ca="false" dt2D="false" dtr="false" t="normal">+#REF!-'[9]Приложение №1'!$P1182</f>
        <v>#REF!</v>
      </c>
      <c r="Z232" s="113" t="n">
        <f aca="false" ca="false" dt2D="false" dtr="false" t="normal">SUM(AA232:AO232)</f>
        <v>16330841.700000001</v>
      </c>
      <c r="AA232" s="106" t="n">
        <v>0</v>
      </c>
      <c r="AB232" s="106" t="n">
        <v>0</v>
      </c>
      <c r="AC232" s="106" t="n">
        <v>0</v>
      </c>
      <c r="AD232" s="106" t="n">
        <v>0</v>
      </c>
      <c r="AE232" s="106" t="n">
        <v>0</v>
      </c>
      <c r="AF232" s="106" t="n"/>
      <c r="AG232" s="106" t="n">
        <v>0</v>
      </c>
      <c r="AH232" s="106" t="n">
        <v>0</v>
      </c>
      <c r="AI232" s="106" t="n">
        <v>15836071.998852</v>
      </c>
      <c r="AJ232" s="106" t="n">
        <v>0</v>
      </c>
      <c r="AK232" s="106" t="n">
        <v>0</v>
      </c>
      <c r="AL232" s="106" t="n">
        <v>0</v>
      </c>
      <c r="AM232" s="106" t="n">
        <v>101648.88</v>
      </c>
      <c r="AN232" s="106" t="n">
        <v>46818</v>
      </c>
      <c r="AO232" s="115" t="n">
        <v>346302.821148</v>
      </c>
      <c r="AP232" s="112" t="n">
        <f aca="false" ca="false" dt2D="false" dtr="false" t="normal">+N232-'Приложение №2'!E232</f>
        <v>0</v>
      </c>
      <c r="AQ232" s="1" t="n">
        <v>1845620.67</v>
      </c>
      <c r="AR232" s="3" t="n">
        <f aca="false" ca="false" dt2D="false" dtr="false" t="normal">+(K232*10+L232*20)*12*0.85</f>
        <v>492201</v>
      </c>
      <c r="AS232" s="3" t="n">
        <f aca="false" ca="false" dt2D="false" dtr="false" t="normal">+(K232*10+L232*20)*12*30</f>
        <v>17371800</v>
      </c>
      <c r="AT232" s="9" t="n">
        <f aca="false" ca="false" dt2D="false" dtr="false" t="normal">+S232-AS232</f>
        <v>-16975797.59</v>
      </c>
      <c r="AU232" s="9" t="e">
        <f aca="false" ca="false" dt2D="false" dtr="false" t="normal">+P232-'[5]Приложение №1'!$P259</f>
        <v>#REF!</v>
      </c>
      <c r="AV232" s="9" t="e">
        <f aca="false" ca="false" dt2D="false" dtr="false" t="normal">+Q232-'[5]Приложение №1'!$Q259</f>
        <v>#REF!</v>
      </c>
      <c r="AW232" s="113" t="n">
        <f aca="false" ca="true" dt2D="false" dtr="false" t="normal">SUBTOTAL(9, AX232:BL232)</f>
        <v>4547471.701148</v>
      </c>
      <c r="AX232" s="106" t="n">
        <v>0</v>
      </c>
      <c r="AY232" s="106" t="n">
        <v>0</v>
      </c>
      <c r="AZ232" s="106" t="n">
        <v>0</v>
      </c>
      <c r="BA232" s="106" t="n">
        <v>0</v>
      </c>
      <c r="BB232" s="106" t="n">
        <v>0</v>
      </c>
      <c r="BC232" s="106" t="n"/>
      <c r="BD232" s="106" t="n"/>
      <c r="BE232" s="106" t="n">
        <v>0</v>
      </c>
      <c r="BF232" s="106" t="n">
        <v>4052702</v>
      </c>
      <c r="BG232" s="106" t="n">
        <v>0</v>
      </c>
      <c r="BH232" s="106" t="n">
        <v>0</v>
      </c>
      <c r="BI232" s="106" t="n">
        <v>0</v>
      </c>
      <c r="BJ232" s="106" t="n">
        <v>101648.88</v>
      </c>
      <c r="BK232" s="106" t="n">
        <v>46818</v>
      </c>
      <c r="BL232" s="187" t="n">
        <v>346302.821148</v>
      </c>
      <c r="BM232" s="113" t="n">
        <f aca="false" ca="true" dt2D="false" dtr="false" t="normal">SUBTOTAL(9, BN232:CB232)</f>
        <v>5145669.701148</v>
      </c>
      <c r="BN232" s="106" t="n">
        <v>0</v>
      </c>
      <c r="BO232" s="106" t="n">
        <v>0</v>
      </c>
      <c r="BP232" s="106" t="n">
        <v>0</v>
      </c>
      <c r="BQ232" s="106" t="n">
        <v>0</v>
      </c>
      <c r="BR232" s="106" t="n">
        <v>0</v>
      </c>
      <c r="BS232" s="106" t="n"/>
      <c r="BT232" s="106" t="n"/>
      <c r="BU232" s="106" t="n">
        <v>0</v>
      </c>
      <c r="BV232" s="106" t="n">
        <v>4650900</v>
      </c>
      <c r="BW232" s="106" t="n">
        <v>0</v>
      </c>
      <c r="BX232" s="106" t="n">
        <v>0</v>
      </c>
      <c r="BY232" s="106" t="n">
        <v>0</v>
      </c>
      <c r="BZ232" s="106" t="n">
        <v>101648.88</v>
      </c>
      <c r="CA232" s="106" t="n">
        <v>46818</v>
      </c>
      <c r="CB232" s="115" t="n">
        <v>346302.821148</v>
      </c>
      <c r="CD232" s="116" t="n">
        <f aca="false" ca="false" dt2D="false" dtr="false" t="normal">+CD231+1</f>
        <v>213</v>
      </c>
      <c r="CE232" s="117" t="n">
        <f aca="false" ca="false" dt2D="false" dtr="false" t="normal">+CE231+1</f>
        <v>25</v>
      </c>
      <c r="CF232" s="104" t="s">
        <v>111</v>
      </c>
      <c r="CG232" s="117" t="s">
        <v>324</v>
      </c>
      <c r="CH232" s="118" t="n">
        <f aca="false" ca="true" dt2D="false" dtr="false" t="normal">SUBTOTAL(9, CI232:CW232)</f>
        <v>5122851.701148</v>
      </c>
      <c r="CI232" s="114" t="n">
        <v>0</v>
      </c>
      <c r="CJ232" s="114" t="n">
        <v>0</v>
      </c>
      <c r="CK232" s="114" t="n">
        <v>0</v>
      </c>
      <c r="CL232" s="114" t="n">
        <v>0</v>
      </c>
      <c r="CM232" s="114" t="n">
        <v>0</v>
      </c>
      <c r="CN232" s="114" t="n"/>
      <c r="CO232" s="114" t="n"/>
      <c r="CP232" s="114" t="n">
        <v>0</v>
      </c>
      <c r="CQ232" s="114" t="n">
        <v>4650900</v>
      </c>
      <c r="CR232" s="114" t="n">
        <v>0</v>
      </c>
      <c r="CS232" s="114" t="n">
        <v>0</v>
      </c>
      <c r="CT232" s="114" t="n">
        <v>0</v>
      </c>
      <c r="CU232" s="114" t="n">
        <v>101648.88</v>
      </c>
      <c r="CV232" s="114" t="n">
        <v>24000</v>
      </c>
      <c r="CW232" s="115" t="n">
        <v>346302.821148</v>
      </c>
      <c r="CZ232" s="117" t="s">
        <v>324</v>
      </c>
      <c r="DA232" s="119" t="n">
        <f aca="false" ca="true" dt2D="false" dtr="false" t="normal">SUBTOTAL(9, DB232:DP232)</f>
        <v>4776548.88</v>
      </c>
      <c r="DB232" s="114" t="n">
        <v>0</v>
      </c>
      <c r="DC232" s="114" t="n">
        <v>0</v>
      </c>
      <c r="DD232" s="114" t="n">
        <v>0</v>
      </c>
      <c r="DE232" s="114" t="n">
        <v>0</v>
      </c>
      <c r="DF232" s="114" t="n">
        <v>0</v>
      </c>
      <c r="DG232" s="114" t="n"/>
      <c r="DH232" s="114" t="n"/>
      <c r="DI232" s="114" t="n">
        <v>0</v>
      </c>
      <c r="DJ232" s="114" t="n">
        <v>4650900</v>
      </c>
      <c r="DK232" s="114" t="n">
        <v>0</v>
      </c>
      <c r="DL232" s="114" t="n">
        <v>0</v>
      </c>
      <c r="DM232" s="114" t="n">
        <v>0</v>
      </c>
      <c r="DN232" s="114" t="n">
        <v>101648.88</v>
      </c>
      <c r="DO232" s="114" t="n">
        <v>24000</v>
      </c>
      <c r="DP232" s="122" t="n"/>
      <c r="DQ232" s="3" t="n">
        <f aca="false" ca="false" dt2D="false" dtr="false" t="normal">N232-DA232</f>
        <v>0</v>
      </c>
      <c r="DS232" s="9" t="n"/>
    </row>
    <row hidden="false" ht="15" outlineLevel="0" r="233">
      <c r="A233" s="183" t="n">
        <f aca="false" ca="false" dt2D="false" dtr="false" t="normal">+A232+1</f>
        <v>214</v>
      </c>
      <c r="B233" s="184" t="n">
        <f aca="false" ca="false" dt2D="false" dtr="false" t="normal">+B232+1</f>
        <v>26</v>
      </c>
      <c r="C233" s="117" t="s">
        <v>111</v>
      </c>
      <c r="D233" s="117" t="s">
        <v>113</v>
      </c>
      <c r="E233" s="105" t="n">
        <v>1999</v>
      </c>
      <c r="F233" s="105" t="n">
        <v>2011</v>
      </c>
      <c r="G233" s="105" t="s">
        <v>68</v>
      </c>
      <c r="H233" s="105" t="n">
        <v>4</v>
      </c>
      <c r="I233" s="105" t="n">
        <v>3</v>
      </c>
      <c r="J233" s="106" t="n">
        <v>1789.4</v>
      </c>
      <c r="K233" s="106" t="n">
        <v>1789.4</v>
      </c>
      <c r="L233" s="106" t="n">
        <v>0</v>
      </c>
      <c r="M233" s="107" t="n">
        <v>56</v>
      </c>
      <c r="N233" s="108" t="n">
        <f aca="false" ca="false" dt2D="false" dtr="false" t="normal">SUM(P233:T233)</f>
        <v>1346807.24</v>
      </c>
      <c r="O233" s="114" t="n"/>
      <c r="P233" s="114" t="n">
        <v>1138231.98</v>
      </c>
      <c r="Q233" s="114" t="n"/>
      <c r="R233" s="114" t="n">
        <v>208575.26</v>
      </c>
      <c r="S233" s="114" t="n"/>
      <c r="T233" s="114" t="n"/>
      <c r="U233" s="106" t="n">
        <v>885.429982116911</v>
      </c>
      <c r="V233" s="106" t="n">
        <v>885.429982116911</v>
      </c>
      <c r="W233" s="185" t="n">
        <v>2023</v>
      </c>
      <c r="X233" s="9" t="e">
        <f aca="false" ca="false" dt2D="false" dtr="false" t="normal">+#REF!-'[9]Приложение №1'!$P1233</f>
        <v>#REF!</v>
      </c>
      <c r="Z233" s="113" t="n">
        <f aca="false" ca="false" dt2D="false" dtr="false" t="normal">SUM(AA233:AO233)</f>
        <v>15155840.090000002</v>
      </c>
      <c r="AA233" s="106" t="n">
        <v>3843679.5940452</v>
      </c>
      <c r="AB233" s="106" t="n">
        <v>0</v>
      </c>
      <c r="AC233" s="106" t="n">
        <v>1430991.04372056</v>
      </c>
      <c r="AD233" s="106" t="n">
        <v>895890.87583128</v>
      </c>
      <c r="AE233" s="106" t="n">
        <v>0</v>
      </c>
      <c r="AF233" s="106" t="n"/>
      <c r="AG233" s="106" t="n">
        <v>147492.512475</v>
      </c>
      <c r="AH233" s="106" t="n">
        <v>0</v>
      </c>
      <c r="AI233" s="106" t="n">
        <v>7026831.1230768</v>
      </c>
      <c r="AJ233" s="106" t="n">
        <v>0</v>
      </c>
      <c r="AK233" s="106" t="n">
        <v>0</v>
      </c>
      <c r="AL233" s="106" t="n">
        <v>0</v>
      </c>
      <c r="AM233" s="106" t="n">
        <v>1367570.9297</v>
      </c>
      <c r="AN233" s="114" t="n">
        <v>151558.4009</v>
      </c>
      <c r="AO233" s="115" t="n">
        <v>291825.61025116</v>
      </c>
      <c r="AP233" s="112" t="n">
        <f aca="false" ca="false" dt2D="false" dtr="false" t="normal">+N233-'Приложение №2'!E233</f>
        <v>0</v>
      </c>
      <c r="AQ233" s="9" t="n">
        <f aca="false" ca="false" dt2D="false" dtr="false" t="normal">725047.53-R56</f>
        <v>-164367.46999999997</v>
      </c>
      <c r="AR233" s="3" t="n">
        <f aca="false" ca="false" dt2D="false" dtr="false" t="normal">+(K233*10+L233*20)*12*0.85</f>
        <v>182518.8</v>
      </c>
      <c r="AS233" s="3" t="n">
        <f aca="false" ca="false" dt2D="false" dtr="false" t="normal">+(K233*10+L233*20)*12*30-S56</f>
        <v>0</v>
      </c>
      <c r="AT233" s="9" t="n">
        <f aca="false" ca="false" dt2D="false" dtr="false" t="normal">+S233-AS233</f>
        <v>0</v>
      </c>
      <c r="AU233" s="9" t="e">
        <f aca="false" ca="false" dt2D="false" dtr="false" t="normal">+P233-'[5]Приложение №1'!$P260</f>
        <v>#REF!</v>
      </c>
      <c r="AV233" s="9" t="e">
        <f aca="false" ca="false" dt2D="false" dtr="false" t="normal">+Q233-'[5]Приложение №1'!$Q260</f>
        <v>#REF!</v>
      </c>
      <c r="AW233" s="113" t="n">
        <f aca="false" ca="true" dt2D="false" dtr="false" t="normal">SUBTOTAL(9, AX233:BL233)</f>
        <v>1584388.41</v>
      </c>
      <c r="AX233" s="106" t="n"/>
      <c r="AY233" s="106" t="n">
        <v>0</v>
      </c>
      <c r="AZ233" s="106" t="n"/>
      <c r="BA233" s="106" t="n">
        <v>1320750.78</v>
      </c>
      <c r="BB233" s="106" t="n">
        <v>0</v>
      </c>
      <c r="BC233" s="106" t="n"/>
      <c r="BD233" s="106" t="n"/>
      <c r="BE233" s="106" t="n">
        <v>0</v>
      </c>
      <c r="BF233" s="106" t="n"/>
      <c r="BG233" s="106" t="n">
        <v>0</v>
      </c>
      <c r="BH233" s="106" t="n">
        <v>0</v>
      </c>
      <c r="BI233" s="106" t="n">
        <v>0</v>
      </c>
      <c r="BJ233" s="106" t="n">
        <v>86907.22</v>
      </c>
      <c r="BK233" s="114" t="n">
        <v>25537.94</v>
      </c>
      <c r="BL233" s="187" t="n">
        <v>151192.47</v>
      </c>
      <c r="BM233" s="113" t="n">
        <f aca="false" ca="true" dt2D="false" dtr="false" t="normal">SUBTOTAL(9, BN233:CB233)</f>
        <v>1584388.41</v>
      </c>
      <c r="BN233" s="106" t="n"/>
      <c r="BO233" s="106" t="n">
        <v>0</v>
      </c>
      <c r="BP233" s="106" t="n"/>
      <c r="BQ233" s="106" t="n">
        <v>1320750.78</v>
      </c>
      <c r="BR233" s="106" t="n">
        <v>0</v>
      </c>
      <c r="BS233" s="106" t="n"/>
      <c r="BT233" s="106" t="n"/>
      <c r="BU233" s="106" t="n">
        <v>0</v>
      </c>
      <c r="BV233" s="106" t="n"/>
      <c r="BW233" s="106" t="n">
        <v>0</v>
      </c>
      <c r="BX233" s="106" t="n">
        <v>0</v>
      </c>
      <c r="BY233" s="106" t="n">
        <v>0</v>
      </c>
      <c r="BZ233" s="106" t="n">
        <v>86907.22</v>
      </c>
      <c r="CA233" s="114" t="n">
        <v>25537.94</v>
      </c>
      <c r="CB233" s="115" t="n">
        <v>151192.47</v>
      </c>
      <c r="CD233" s="116" t="n">
        <f aca="false" ca="false" dt2D="false" dtr="false" t="normal">+CD232+1</f>
        <v>214</v>
      </c>
      <c r="CE233" s="117" t="n">
        <f aca="false" ca="false" dt2D="false" dtr="false" t="normal">+CE232+1</f>
        <v>26</v>
      </c>
      <c r="CF233" s="104" t="s">
        <v>111</v>
      </c>
      <c r="CG233" s="117" t="s">
        <v>113</v>
      </c>
      <c r="CH233" s="118" t="n">
        <f aca="false" ca="true" dt2D="false" dtr="false" t="normal">SUBTOTAL(9, CI233:CW233)</f>
        <v>1497999.71</v>
      </c>
      <c r="CI233" s="114" t="n"/>
      <c r="CJ233" s="114" t="n">
        <v>0</v>
      </c>
      <c r="CK233" s="114" t="n"/>
      <c r="CL233" s="114" t="n">
        <v>1320750.78</v>
      </c>
      <c r="CM233" s="114" t="n">
        <v>0</v>
      </c>
      <c r="CN233" s="114" t="n"/>
      <c r="CO233" s="114" t="n"/>
      <c r="CP233" s="114" t="n">
        <v>0</v>
      </c>
      <c r="CQ233" s="114" t="n"/>
      <c r="CR233" s="114" t="n">
        <v>0</v>
      </c>
      <c r="CS233" s="114" t="n">
        <v>0</v>
      </c>
      <c r="CT233" s="114" t="n">
        <v>0</v>
      </c>
      <c r="CU233" s="114" t="n">
        <v>20056.46</v>
      </c>
      <c r="CV233" s="114" t="n">
        <v>6000</v>
      </c>
      <c r="CW233" s="115" t="n">
        <v>151192.47</v>
      </c>
      <c r="CZ233" s="117" t="s">
        <v>113</v>
      </c>
      <c r="DA233" s="119" t="n">
        <f aca="false" ca="true" dt2D="false" dtr="false" t="normal">SUBTOTAL(9, DB233:DP233)</f>
        <v>1346807.24</v>
      </c>
      <c r="DB233" s="114" t="n"/>
      <c r="DC233" s="114" t="n">
        <v>0</v>
      </c>
      <c r="DD233" s="114" t="n"/>
      <c r="DE233" s="114" t="n">
        <v>1320750.78</v>
      </c>
      <c r="DF233" s="114" t="n">
        <v>0</v>
      </c>
      <c r="DG233" s="114" t="n"/>
      <c r="DH233" s="114" t="n"/>
      <c r="DI233" s="114" t="n">
        <v>0</v>
      </c>
      <c r="DJ233" s="114" t="n"/>
      <c r="DK233" s="114" t="n">
        <v>0</v>
      </c>
      <c r="DL233" s="114" t="n">
        <v>0</v>
      </c>
      <c r="DM233" s="114" t="n">
        <v>0</v>
      </c>
      <c r="DN233" s="114" t="n">
        <v>20056.46</v>
      </c>
      <c r="DO233" s="114" t="n">
        <v>6000</v>
      </c>
      <c r="DP233" s="122" t="n"/>
      <c r="DQ233" s="3" t="n">
        <f aca="false" ca="false" dt2D="false" dtr="false" t="normal">N233-DA233</f>
        <v>0</v>
      </c>
      <c r="DS233" s="9" t="n"/>
    </row>
    <row hidden="false" ht="15" outlineLevel="0" r="234">
      <c r="A234" s="183" t="n">
        <f aca="false" ca="false" dt2D="false" dtr="false" t="normal">+A233+1</f>
        <v>215</v>
      </c>
      <c r="B234" s="184" t="n">
        <f aca="false" ca="false" dt2D="false" dtr="false" t="normal">+B233+1</f>
        <v>27</v>
      </c>
      <c r="C234" s="117" t="s">
        <v>111</v>
      </c>
      <c r="D234" s="117" t="s">
        <v>325</v>
      </c>
      <c r="E234" s="105" t="n">
        <v>1996</v>
      </c>
      <c r="F234" s="105" t="n">
        <v>2013</v>
      </c>
      <c r="G234" s="105" t="s">
        <v>68</v>
      </c>
      <c r="H234" s="105" t="n">
        <v>2</v>
      </c>
      <c r="I234" s="105" t="n">
        <v>2</v>
      </c>
      <c r="J234" s="106" t="n">
        <v>1125</v>
      </c>
      <c r="K234" s="106" t="n">
        <v>1125</v>
      </c>
      <c r="L234" s="106" t="n">
        <v>0</v>
      </c>
      <c r="M234" s="107" t="n">
        <v>54</v>
      </c>
      <c r="N234" s="108" t="n">
        <f aca="false" ca="false" dt2D="false" dtr="false" t="normal">SUM(P234:T234)</f>
        <v>3711829.5</v>
      </c>
      <c r="O234" s="114" t="n"/>
      <c r="P234" s="114" t="n">
        <v>404783.008446</v>
      </c>
      <c r="Q234" s="114" t="n"/>
      <c r="R234" s="114" t="n">
        <v>760259.35</v>
      </c>
      <c r="S234" s="114" t="n">
        <v>2546787.141554</v>
      </c>
      <c r="T234" s="114" t="n"/>
      <c r="U234" s="114" t="n">
        <v>3373.62656750756</v>
      </c>
      <c r="V234" s="114" t="n">
        <v>1250.283020064</v>
      </c>
      <c r="W234" s="185" t="n">
        <v>2023</v>
      </c>
      <c r="X234" s="9" t="e">
        <f aca="false" ca="false" dt2D="false" dtr="false" t="normal">+#REF!-'[9]Приложение №1'!$P1004</f>
        <v>#REF!</v>
      </c>
      <c r="Z234" s="113" t="n">
        <f aca="false" ca="false" dt2D="false" dtr="false" t="normal">SUM(AA234:AO234)</f>
        <v>3390546.8800000004</v>
      </c>
      <c r="AA234" s="106" t="n">
        <v>0</v>
      </c>
      <c r="AB234" s="106" t="n">
        <v>0</v>
      </c>
      <c r="AC234" s="106" t="n">
        <v>0</v>
      </c>
      <c r="AD234" s="106" t="n">
        <v>0</v>
      </c>
      <c r="AE234" s="106" t="n">
        <v>0</v>
      </c>
      <c r="AF234" s="106" t="n"/>
      <c r="AG234" s="106" t="n">
        <v>0</v>
      </c>
      <c r="AH234" s="106" t="n">
        <v>0</v>
      </c>
      <c r="AI234" s="106" t="n">
        <v>3197890.501554</v>
      </c>
      <c r="AJ234" s="106" t="n">
        <v>0</v>
      </c>
      <c r="AK234" s="106" t="n">
        <v>0</v>
      </c>
      <c r="AL234" s="106" t="n">
        <v>0</v>
      </c>
      <c r="AM234" s="106" t="n">
        <v>85155.99</v>
      </c>
      <c r="AN234" s="106" t="n">
        <v>37569</v>
      </c>
      <c r="AO234" s="115" t="n">
        <v>69931.388446</v>
      </c>
      <c r="AP234" s="112" t="n">
        <f aca="false" ca="false" dt2D="false" dtr="false" t="normal">+N234-'Приложение №2'!E234</f>
        <v>0</v>
      </c>
      <c r="AQ234" s="121" t="n">
        <v>639771.85</v>
      </c>
      <c r="AR234" s="3" t="n">
        <f aca="false" ca="false" dt2D="false" dtr="false" t="normal">+(K234*10.5+L234*21)*12*0.85</f>
        <v>120487.5</v>
      </c>
      <c r="AS234" s="3" t="n">
        <f aca="false" ca="false" dt2D="false" dtr="false" t="normal">+(K234*10.5+L234*21)*12*30</f>
        <v>4252500</v>
      </c>
      <c r="AT234" s="9" t="n">
        <f aca="false" ca="false" dt2D="false" dtr="false" t="normal">+S234-AS234</f>
        <v>-1705712.8584460001</v>
      </c>
      <c r="AU234" s="9" t="e">
        <f aca="false" ca="false" dt2D="false" dtr="false" t="normal">+P234-'[5]Приложение №1'!$P533</f>
        <v>#REF!</v>
      </c>
      <c r="AV234" s="9" t="e">
        <f aca="false" ca="false" dt2D="false" dtr="false" t="normal">+Q234-'[5]Приложение №1'!$Q533</f>
        <v>#REF!</v>
      </c>
      <c r="AW234" s="186" t="n">
        <f aca="false" ca="true" dt2D="false" dtr="false" t="normal">SUBTOTAL(9, AX234:BL234)</f>
        <v>3390546.8800000004</v>
      </c>
      <c r="AX234" s="106" t="n">
        <v>0</v>
      </c>
      <c r="AY234" s="106" t="n">
        <v>0</v>
      </c>
      <c r="AZ234" s="106" t="n">
        <v>0</v>
      </c>
      <c r="BA234" s="106" t="n">
        <v>0</v>
      </c>
      <c r="BB234" s="106" t="n">
        <v>0</v>
      </c>
      <c r="BC234" s="106" t="n"/>
      <c r="BD234" s="106" t="n"/>
      <c r="BE234" s="106" t="n">
        <v>0</v>
      </c>
      <c r="BF234" s="106" t="n">
        <v>3197890.501554</v>
      </c>
      <c r="BG234" s="106" t="n">
        <v>0</v>
      </c>
      <c r="BH234" s="106" t="n">
        <v>0</v>
      </c>
      <c r="BI234" s="106" t="n">
        <v>0</v>
      </c>
      <c r="BJ234" s="106" t="n">
        <v>85155.99</v>
      </c>
      <c r="BK234" s="106" t="n">
        <f aca="false" ca="false" dt2D="false" dtr="false" t="normal">37569</f>
        <v>37569</v>
      </c>
      <c r="BL234" s="187" t="n">
        <v>69931.388446</v>
      </c>
      <c r="BM234" s="186" t="n">
        <f aca="false" ca="true" dt2D="false" dtr="false" t="normal">SUBTOTAL(9, BN234:CB234)</f>
        <v>3795329.888446</v>
      </c>
      <c r="BN234" s="106" t="n">
        <v>0</v>
      </c>
      <c r="BO234" s="106" t="n">
        <v>0</v>
      </c>
      <c r="BP234" s="106" t="n">
        <v>0</v>
      </c>
      <c r="BQ234" s="106" t="n">
        <v>0</v>
      </c>
      <c r="BR234" s="106" t="n">
        <v>0</v>
      </c>
      <c r="BS234" s="106" t="n"/>
      <c r="BT234" s="106" t="n"/>
      <c r="BU234" s="106" t="n">
        <v>0</v>
      </c>
      <c r="BV234" s="106" t="n">
        <v>3602673.51</v>
      </c>
      <c r="BW234" s="106" t="n">
        <v>0</v>
      </c>
      <c r="BX234" s="106" t="n">
        <v>0</v>
      </c>
      <c r="BY234" s="106" t="n">
        <v>0</v>
      </c>
      <c r="BZ234" s="106" t="n">
        <v>85155.99</v>
      </c>
      <c r="CA234" s="106" t="n">
        <f aca="false" ca="false" dt2D="false" dtr="false" t="normal">37569</f>
        <v>37569</v>
      </c>
      <c r="CB234" s="115" t="n">
        <v>69931.388446</v>
      </c>
      <c r="CD234" s="116" t="n">
        <f aca="false" ca="false" dt2D="false" dtr="false" t="normal">+CD233+1</f>
        <v>215</v>
      </c>
      <c r="CE234" s="117" t="n">
        <f aca="false" ca="false" dt2D="false" dtr="false" t="normal">+CE233+1</f>
        <v>27</v>
      </c>
      <c r="CF234" s="104" t="s">
        <v>111</v>
      </c>
      <c r="CG234" s="117" t="s">
        <v>325</v>
      </c>
      <c r="CH234" s="188" t="n">
        <f aca="false" ca="true" dt2D="false" dtr="false" t="normal">SUBTOTAL(9, CI234:CW234)</f>
        <v>3781760.888446</v>
      </c>
      <c r="CI234" s="114" t="n">
        <v>0</v>
      </c>
      <c r="CJ234" s="114" t="n">
        <v>0</v>
      </c>
      <c r="CK234" s="114" t="n">
        <v>0</v>
      </c>
      <c r="CL234" s="114" t="n">
        <v>0</v>
      </c>
      <c r="CM234" s="114" t="n">
        <v>0</v>
      </c>
      <c r="CN234" s="114" t="n"/>
      <c r="CO234" s="114" t="n"/>
      <c r="CP234" s="114" t="n">
        <v>0</v>
      </c>
      <c r="CQ234" s="114" t="n">
        <v>3602673.51</v>
      </c>
      <c r="CR234" s="114" t="n">
        <v>0</v>
      </c>
      <c r="CS234" s="114" t="n">
        <v>0</v>
      </c>
      <c r="CT234" s="114" t="n">
        <v>0</v>
      </c>
      <c r="CU234" s="114" t="n">
        <v>85155.99</v>
      </c>
      <c r="CV234" s="114" t="n">
        <v>24000</v>
      </c>
      <c r="CW234" s="115" t="n">
        <v>69931.388446</v>
      </c>
      <c r="CZ234" s="117" t="s">
        <v>325</v>
      </c>
      <c r="DA234" s="189" t="n">
        <f aca="false" ca="true" dt2D="false" dtr="false" t="normal">SUBTOTAL(9, DB234:DP234)</f>
        <v>3711829.5</v>
      </c>
      <c r="DB234" s="114" t="n">
        <v>0</v>
      </c>
      <c r="DC234" s="114" t="n">
        <v>0</v>
      </c>
      <c r="DD234" s="114" t="n">
        <v>0</v>
      </c>
      <c r="DE234" s="114" t="n">
        <v>0</v>
      </c>
      <c r="DF234" s="114" t="n">
        <v>0</v>
      </c>
      <c r="DG234" s="114" t="n"/>
      <c r="DH234" s="114" t="n"/>
      <c r="DI234" s="114" t="n">
        <v>0</v>
      </c>
      <c r="DJ234" s="114" t="n">
        <v>3602673.51</v>
      </c>
      <c r="DK234" s="114" t="n">
        <v>0</v>
      </c>
      <c r="DL234" s="114" t="n">
        <v>0</v>
      </c>
      <c r="DM234" s="114" t="n">
        <v>0</v>
      </c>
      <c r="DN234" s="114" t="n">
        <v>85155.99</v>
      </c>
      <c r="DO234" s="114" t="n">
        <v>24000</v>
      </c>
      <c r="DP234" s="122" t="n"/>
      <c r="DQ234" s="3" t="n">
        <f aca="false" ca="false" dt2D="false" dtr="false" t="normal">N234-DA234</f>
        <v>0</v>
      </c>
      <c r="DS234" s="9" t="n"/>
    </row>
    <row hidden="false" ht="15" outlineLevel="0" r="235">
      <c r="A235" s="183" t="n">
        <f aca="false" ca="false" dt2D="false" dtr="false" t="normal">+A234+1</f>
        <v>216</v>
      </c>
      <c r="B235" s="184" t="n">
        <f aca="false" ca="false" dt2D="false" dtr="false" t="normal">+B234+1</f>
        <v>28</v>
      </c>
      <c r="C235" s="104" t="s">
        <v>111</v>
      </c>
      <c r="D235" s="104" t="s">
        <v>326</v>
      </c>
      <c r="E235" s="105" t="n">
        <v>1986</v>
      </c>
      <c r="F235" s="105" t="n">
        <v>2013</v>
      </c>
      <c r="G235" s="105" t="s">
        <v>68</v>
      </c>
      <c r="H235" s="105" t="n">
        <v>2</v>
      </c>
      <c r="I235" s="105" t="n">
        <v>2</v>
      </c>
      <c r="J235" s="106" t="n">
        <v>1112.5</v>
      </c>
      <c r="K235" s="106" t="n">
        <v>1000.4</v>
      </c>
      <c r="L235" s="106" t="n">
        <v>0</v>
      </c>
      <c r="M235" s="107" t="n">
        <v>40</v>
      </c>
      <c r="N235" s="108" t="n">
        <f aca="false" ca="false" dt2D="false" dtr="false" t="normal">SUM(P235:T235)</f>
        <v>522174.08</v>
      </c>
      <c r="O235" s="106" t="n"/>
      <c r="P235" s="114" t="n"/>
      <c r="Q235" s="114" t="n"/>
      <c r="R235" s="114" t="n">
        <v>522174.08</v>
      </c>
      <c r="S235" s="114" t="n"/>
      <c r="T235" s="190" t="n"/>
      <c r="U235" s="114" t="n">
        <v>589.331862255098</v>
      </c>
      <c r="V235" s="114" t="n">
        <v>1251.283020064</v>
      </c>
      <c r="W235" s="185" t="n">
        <v>2023</v>
      </c>
      <c r="X235" s="9" t="e">
        <f aca="false" ca="false" dt2D="false" dtr="false" t="normal">+#REF!-'[9]Приложение №1'!$P631</f>
        <v>#REF!</v>
      </c>
      <c r="Z235" s="113" t="n">
        <f aca="false" ca="false" dt2D="false" dtr="false" t="normal">SUM(AA235:AO235)</f>
        <v>2293840.42</v>
      </c>
      <c r="AA235" s="106" t="n">
        <v>943755.90929256</v>
      </c>
      <c r="AB235" s="106" t="n">
        <v>0</v>
      </c>
      <c r="AC235" s="106" t="n">
        <v>576950.848467</v>
      </c>
      <c r="AD235" s="106" t="n">
        <v>439929.92612436</v>
      </c>
      <c r="AE235" s="106" t="n">
        <v>0</v>
      </c>
      <c r="AF235" s="106" t="n"/>
      <c r="AG235" s="106" t="n">
        <v>46894.9827066</v>
      </c>
      <c r="AH235" s="106" t="n">
        <v>0</v>
      </c>
      <c r="AI235" s="106" t="n">
        <v>0</v>
      </c>
      <c r="AJ235" s="106" t="n">
        <v>0</v>
      </c>
      <c r="AK235" s="106" t="n">
        <v>0</v>
      </c>
      <c r="AL235" s="106" t="n">
        <v>0</v>
      </c>
      <c r="AM235" s="106" t="n">
        <v>219469.6976</v>
      </c>
      <c r="AN235" s="114" t="n">
        <v>22938.4042</v>
      </c>
      <c r="AO235" s="115" t="n">
        <v>43900.65160948</v>
      </c>
      <c r="AP235" s="112" t="n">
        <f aca="false" ca="false" dt2D="false" dtr="false" t="normal">+N235-'Приложение №2'!E235</f>
        <v>0</v>
      </c>
      <c r="AQ235" s="121" t="n">
        <v>431616.87</v>
      </c>
      <c r="AR235" s="3" t="n">
        <f aca="false" ca="false" dt2D="false" dtr="false" t="normal">+(K235*10.5+L235*21)*12*0.85</f>
        <v>107142.84</v>
      </c>
      <c r="AS235" s="3" t="n">
        <f aca="false" ca="false" dt2D="false" dtr="false" t="normal">+(K235*10.5+L235*21)*12*30</f>
        <v>3781512</v>
      </c>
      <c r="AT235" s="9" t="n">
        <f aca="false" ca="false" dt2D="false" dtr="false" t="normal">+S235-AS235</f>
        <v>-3781512</v>
      </c>
      <c r="AU235" s="9" t="e">
        <f aca="false" ca="false" dt2D="false" dtr="false" t="normal">+P235-'[5]Приложение №1'!$P534</f>
        <v>#REF!</v>
      </c>
      <c r="AV235" s="9" t="e">
        <f aca="false" ca="false" dt2D="false" dtr="false" t="normal">+Q235-'[5]Приложение №1'!$Q534</f>
        <v>#REF!</v>
      </c>
      <c r="AW235" s="186" t="n">
        <f aca="false" ca="true" dt2D="false" dtr="false" t="normal">SUBTOTAL(9, AX235:BL235)</f>
        <v>589567.595</v>
      </c>
      <c r="AX235" s="106" t="n"/>
      <c r="AY235" s="106" t="n">
        <v>0</v>
      </c>
      <c r="AZ235" s="106" t="n">
        <v>576950.848467</v>
      </c>
      <c r="BA235" s="106" t="n"/>
      <c r="BB235" s="106" t="n"/>
      <c r="BC235" s="106" t="n"/>
      <c r="BD235" s="106" t="n"/>
      <c r="BE235" s="106" t="n">
        <v>0</v>
      </c>
      <c r="BF235" s="106" t="n">
        <v>0</v>
      </c>
      <c r="BG235" s="106" t="n">
        <v>0</v>
      </c>
      <c r="BH235" s="106" t="n">
        <v>0</v>
      </c>
      <c r="BI235" s="106" t="n">
        <v>0</v>
      </c>
      <c r="BJ235" s="106" t="n"/>
      <c r="BK235" s="114" t="n"/>
      <c r="BL235" s="187" t="n">
        <v>12616.746533</v>
      </c>
      <c r="BM235" s="186" t="n">
        <f aca="false" ca="true" dt2D="false" dtr="false" t="normal">SUBTOTAL(9, BN235:CB235)</f>
        <v>534790.826533</v>
      </c>
      <c r="BN235" s="106" t="n"/>
      <c r="BO235" s="106" t="n">
        <v>0</v>
      </c>
      <c r="BP235" s="192" t="n">
        <v>522174.08</v>
      </c>
      <c r="BQ235" s="106" t="n"/>
      <c r="BR235" s="106" t="n"/>
      <c r="BS235" s="106" t="n"/>
      <c r="BT235" s="106" t="n"/>
      <c r="BU235" s="106" t="n">
        <v>0</v>
      </c>
      <c r="BV235" s="106" t="n">
        <v>0</v>
      </c>
      <c r="BW235" s="106" t="n">
        <v>0</v>
      </c>
      <c r="BX235" s="106" t="n">
        <v>0</v>
      </c>
      <c r="BY235" s="106" t="n">
        <v>0</v>
      </c>
      <c r="BZ235" s="106" t="n"/>
      <c r="CA235" s="114" t="n"/>
      <c r="CB235" s="115" t="n">
        <v>12616.746533</v>
      </c>
      <c r="CD235" s="116" t="n">
        <f aca="false" ca="false" dt2D="false" dtr="false" t="normal">+CD234+1</f>
        <v>216</v>
      </c>
      <c r="CE235" s="117" t="n">
        <f aca="false" ca="false" dt2D="false" dtr="false" t="normal">+CE234+1</f>
        <v>28</v>
      </c>
      <c r="CF235" s="104" t="s">
        <v>111</v>
      </c>
      <c r="CG235" s="117" t="s">
        <v>326</v>
      </c>
      <c r="CH235" s="188" t="n">
        <f aca="false" ca="true" dt2D="false" dtr="false" t="normal">SUBTOTAL(9, CI235:CW235)</f>
        <v>534790.826533</v>
      </c>
      <c r="CI235" s="114" t="n"/>
      <c r="CJ235" s="114" t="n">
        <v>0</v>
      </c>
      <c r="CK235" s="114" t="n">
        <v>522174.08</v>
      </c>
      <c r="CL235" s="114" t="n"/>
      <c r="CM235" s="114" t="n"/>
      <c r="CN235" s="114" t="n"/>
      <c r="CO235" s="114" t="n"/>
      <c r="CP235" s="114" t="n">
        <v>0</v>
      </c>
      <c r="CQ235" s="114" t="n">
        <v>0</v>
      </c>
      <c r="CR235" s="114" t="n">
        <v>0</v>
      </c>
      <c r="CS235" s="114" t="n">
        <v>0</v>
      </c>
      <c r="CT235" s="114" t="n">
        <v>0</v>
      </c>
      <c r="CU235" s="114" t="n"/>
      <c r="CV235" s="114" t="n"/>
      <c r="CW235" s="115" t="n">
        <v>12616.746533</v>
      </c>
      <c r="CZ235" s="117" t="s">
        <v>326</v>
      </c>
      <c r="DA235" s="189" t="n">
        <f aca="false" ca="true" dt2D="false" dtr="false" t="normal">SUBTOTAL(9, DB235:DP235)</f>
        <v>522174.08</v>
      </c>
      <c r="DB235" s="114" t="n"/>
      <c r="DC235" s="114" t="n">
        <v>0</v>
      </c>
      <c r="DD235" s="114" t="n">
        <v>522174.08</v>
      </c>
      <c r="DE235" s="114" t="n"/>
      <c r="DF235" s="114" t="n"/>
      <c r="DG235" s="114" t="n"/>
      <c r="DH235" s="114" t="n"/>
      <c r="DI235" s="114" t="n">
        <v>0</v>
      </c>
      <c r="DJ235" s="114" t="n">
        <v>0</v>
      </c>
      <c r="DK235" s="114" t="n">
        <v>0</v>
      </c>
      <c r="DL235" s="114" t="n">
        <v>0</v>
      </c>
      <c r="DM235" s="114" t="n">
        <v>0</v>
      </c>
      <c r="DN235" s="114" t="n"/>
      <c r="DO235" s="114" t="n"/>
      <c r="DP235" s="122" t="n"/>
      <c r="DQ235" s="3" t="n">
        <f aca="false" ca="false" dt2D="false" dtr="false" t="normal">N235-DA235</f>
        <v>0</v>
      </c>
      <c r="DS235" s="9" t="n"/>
    </row>
    <row hidden="false" ht="15" outlineLevel="0" r="236">
      <c r="A236" s="183" t="n">
        <f aca="false" ca="false" dt2D="false" dtr="false" t="normal">+A235+1</f>
        <v>217</v>
      </c>
      <c r="B236" s="184" t="n">
        <f aca="false" ca="false" dt2D="false" dtr="false" t="normal">+B235+1</f>
        <v>29</v>
      </c>
      <c r="C236" s="104" t="s">
        <v>111</v>
      </c>
      <c r="D236" s="104" t="s">
        <v>327</v>
      </c>
      <c r="E236" s="105" t="n">
        <v>1991</v>
      </c>
      <c r="F236" s="105" t="n">
        <v>2013</v>
      </c>
      <c r="G236" s="105" t="s">
        <v>68</v>
      </c>
      <c r="H236" s="105" t="n">
        <v>2</v>
      </c>
      <c r="I236" s="105" t="n">
        <v>2</v>
      </c>
      <c r="J236" s="106" t="n">
        <v>1131.9</v>
      </c>
      <c r="K236" s="106" t="n">
        <v>1004.5</v>
      </c>
      <c r="L236" s="106" t="n">
        <v>0</v>
      </c>
      <c r="M236" s="107" t="n">
        <v>46</v>
      </c>
      <c r="N236" s="108" t="n">
        <f aca="false" ca="false" dt2D="false" dtr="false" t="normal">SUM(P236:T236)</f>
        <v>525018.3</v>
      </c>
      <c r="O236" s="106" t="n"/>
      <c r="P236" s="114" t="n"/>
      <c r="Q236" s="114" t="n"/>
      <c r="R236" s="114" t="n">
        <v>408248.95</v>
      </c>
      <c r="S236" s="114" t="n">
        <v>116769.35</v>
      </c>
      <c r="T236" s="190" t="n"/>
      <c r="U236" s="114" t="n">
        <v>507.855104828273</v>
      </c>
      <c r="V236" s="114" t="n">
        <v>1252.283020064</v>
      </c>
      <c r="W236" s="185" t="n">
        <v>2023</v>
      </c>
      <c r="X236" s="9" t="e">
        <f aca="false" ca="false" dt2D="false" dtr="false" t="normal">+#REF!-'[9]Приложение №1'!$P632</f>
        <v>#REF!</v>
      </c>
      <c r="Z236" s="113" t="n">
        <f aca="false" ca="false" dt2D="false" dtr="false" t="normal">SUM(AA236:AO236)</f>
        <v>1478022.61860272</v>
      </c>
      <c r="AA236" s="106" t="n"/>
      <c r="AB236" s="106" t="n">
        <v>0</v>
      </c>
      <c r="AC236" s="106" t="n">
        <v>499223.44711008</v>
      </c>
      <c r="AD236" s="106" t="n">
        <v>425443.60992</v>
      </c>
      <c r="AE236" s="106" t="n">
        <v>0</v>
      </c>
      <c r="AF236" s="106" t="n"/>
      <c r="AG236" s="106" t="n">
        <v>177679.34772672</v>
      </c>
      <c r="AH236" s="106" t="n">
        <v>0</v>
      </c>
      <c r="AI236" s="106" t="n">
        <v>0</v>
      </c>
      <c r="AJ236" s="106" t="n">
        <v>0</v>
      </c>
      <c r="AK236" s="106" t="n">
        <v>0</v>
      </c>
      <c r="AL236" s="106" t="n">
        <v>0</v>
      </c>
      <c r="AM236" s="106" t="n">
        <v>281303.4768</v>
      </c>
      <c r="AN236" s="114" t="n">
        <v>32191.5704</v>
      </c>
      <c r="AO236" s="115" t="n">
        <v>62181.16664592</v>
      </c>
      <c r="AP236" s="112" t="n">
        <f aca="false" ca="false" dt2D="false" dtr="false" t="normal">+N236-'Приложение №2'!E236</f>
        <v>0</v>
      </c>
      <c r="AQ236" s="121" t="n">
        <v>300667</v>
      </c>
      <c r="AR236" s="3" t="n">
        <f aca="false" ca="false" dt2D="false" dtr="false" t="normal">+(K236*10.5+L236*21)*12*0.85</f>
        <v>107581.95</v>
      </c>
      <c r="AS236" s="3" t="n">
        <f aca="false" ca="false" dt2D="false" dtr="false" t="normal">+(K236*10.5+L236*21)*12*30-748881.44</f>
        <v>3048128.56</v>
      </c>
      <c r="AT236" s="9" t="n">
        <f aca="false" ca="false" dt2D="false" dtr="false" t="normal">+S236-AS236</f>
        <v>-2931359.21</v>
      </c>
      <c r="AU236" s="9" t="e">
        <f aca="false" ca="false" dt2D="false" dtr="false" t="normal">+P236-'[5]Приложение №1'!$P535</f>
        <v>#REF!</v>
      </c>
      <c r="AV236" s="9" t="e">
        <f aca="false" ca="false" dt2D="false" dtr="false" t="normal">+Q236-'[5]Приложение №1'!$Q535</f>
        <v>#REF!</v>
      </c>
      <c r="AW236" s="186" t="n">
        <f aca="false" ca="true" dt2D="false" dtr="false" t="normal">SUBTOTAL(9, AX236:BL236)</f>
        <v>510140.45279999997</v>
      </c>
      <c r="AX236" s="106" t="n"/>
      <c r="AY236" s="106" t="n">
        <v>0</v>
      </c>
      <c r="AZ236" s="106" t="n">
        <v>499223.44711008</v>
      </c>
      <c r="BA236" s="106" t="n"/>
      <c r="BB236" s="106" t="n"/>
      <c r="BC236" s="106" t="n"/>
      <c r="BD236" s="106" t="n"/>
      <c r="BE236" s="106" t="n">
        <v>0</v>
      </c>
      <c r="BF236" s="106" t="n">
        <v>0</v>
      </c>
      <c r="BG236" s="106" t="n">
        <v>0</v>
      </c>
      <c r="BH236" s="106" t="n">
        <v>0</v>
      </c>
      <c r="BI236" s="106" t="n">
        <v>0</v>
      </c>
      <c r="BJ236" s="106" t="n"/>
      <c r="BK236" s="114" t="n"/>
      <c r="BL236" s="187" t="n">
        <v>10917.00568992</v>
      </c>
      <c r="BM236" s="186" t="n">
        <f aca="false" ca="true" dt2D="false" dtr="false" t="normal">SUBTOTAL(9, BN236:CB236)</f>
        <v>535935.3056899201</v>
      </c>
      <c r="BN236" s="106" t="n"/>
      <c r="BO236" s="106" t="n">
        <v>0</v>
      </c>
      <c r="BP236" s="192" t="n">
        <v>525018.3</v>
      </c>
      <c r="BQ236" s="106" t="n"/>
      <c r="BR236" s="106" t="n"/>
      <c r="BS236" s="106" t="n"/>
      <c r="BT236" s="106" t="n"/>
      <c r="BU236" s="106" t="n">
        <v>0</v>
      </c>
      <c r="BV236" s="106" t="n">
        <v>0</v>
      </c>
      <c r="BW236" s="106" t="n">
        <v>0</v>
      </c>
      <c r="BX236" s="106" t="n">
        <v>0</v>
      </c>
      <c r="BY236" s="106" t="n">
        <v>0</v>
      </c>
      <c r="BZ236" s="106" t="n"/>
      <c r="CA236" s="114" t="n"/>
      <c r="CB236" s="115" t="n">
        <v>10917.00568992</v>
      </c>
      <c r="CD236" s="116" t="n">
        <f aca="false" ca="false" dt2D="false" dtr="false" t="normal">+CD235+1</f>
        <v>217</v>
      </c>
      <c r="CE236" s="117" t="n">
        <f aca="false" ca="false" dt2D="false" dtr="false" t="normal">+CE235+1</f>
        <v>29</v>
      </c>
      <c r="CF236" s="104" t="s">
        <v>111</v>
      </c>
      <c r="CG236" s="117" t="s">
        <v>327</v>
      </c>
      <c r="CH236" s="188" t="n">
        <f aca="false" ca="true" dt2D="false" dtr="false" t="normal">SUBTOTAL(9, CI236:CW236)</f>
        <v>535935.3056899201</v>
      </c>
      <c r="CI236" s="114" t="n"/>
      <c r="CJ236" s="114" t="n">
        <v>0</v>
      </c>
      <c r="CK236" s="114" t="n">
        <v>525018.3</v>
      </c>
      <c r="CL236" s="114" t="n"/>
      <c r="CM236" s="114" t="n"/>
      <c r="CN236" s="114" t="n"/>
      <c r="CO236" s="114" t="n"/>
      <c r="CP236" s="114" t="n">
        <v>0</v>
      </c>
      <c r="CQ236" s="114" t="n">
        <v>0</v>
      </c>
      <c r="CR236" s="114" t="n">
        <v>0</v>
      </c>
      <c r="CS236" s="114" t="n">
        <v>0</v>
      </c>
      <c r="CT236" s="114" t="n">
        <v>0</v>
      </c>
      <c r="CU236" s="114" t="n"/>
      <c r="CV236" s="114" t="n"/>
      <c r="CW236" s="115" t="n">
        <v>10917.00568992</v>
      </c>
      <c r="CZ236" s="117" t="s">
        <v>327</v>
      </c>
      <c r="DA236" s="189" t="n">
        <f aca="false" ca="true" dt2D="false" dtr="false" t="normal">SUBTOTAL(9, DB236:DP236)</f>
        <v>525018.3</v>
      </c>
      <c r="DB236" s="114" t="n"/>
      <c r="DC236" s="114" t="n">
        <v>0</v>
      </c>
      <c r="DD236" s="114" t="n">
        <v>525018.3</v>
      </c>
      <c r="DE236" s="114" t="n"/>
      <c r="DF236" s="114" t="n"/>
      <c r="DG236" s="114" t="n"/>
      <c r="DH236" s="114" t="n"/>
      <c r="DI236" s="114" t="n">
        <v>0</v>
      </c>
      <c r="DJ236" s="114" t="n">
        <v>0</v>
      </c>
      <c r="DK236" s="114" t="n">
        <v>0</v>
      </c>
      <c r="DL236" s="114" t="n">
        <v>0</v>
      </c>
      <c r="DM236" s="114" t="n">
        <v>0</v>
      </c>
      <c r="DN236" s="114" t="n"/>
      <c r="DO236" s="114" t="n"/>
      <c r="DP236" s="122" t="n"/>
      <c r="DQ236" s="3" t="n">
        <f aca="false" ca="false" dt2D="false" dtr="false" t="normal">N236-DA236</f>
        <v>0</v>
      </c>
      <c r="DS236" s="9" t="n"/>
    </row>
    <row hidden="false" ht="15" outlineLevel="0" r="237">
      <c r="A237" s="183" t="n">
        <f aca="false" ca="false" dt2D="false" dtr="false" t="normal">+A236+1</f>
        <v>218</v>
      </c>
      <c r="B237" s="184" t="n">
        <f aca="false" ca="false" dt2D="false" dtr="false" t="normal">+B236+1</f>
        <v>30</v>
      </c>
      <c r="C237" s="104" t="s">
        <v>111</v>
      </c>
      <c r="D237" s="104" t="s">
        <v>328</v>
      </c>
      <c r="E237" s="105" t="n">
        <v>1982</v>
      </c>
      <c r="F237" s="105" t="n">
        <v>2013</v>
      </c>
      <c r="G237" s="105" t="s">
        <v>68</v>
      </c>
      <c r="H237" s="105" t="n">
        <v>2</v>
      </c>
      <c r="I237" s="105" t="n">
        <v>2</v>
      </c>
      <c r="J237" s="106" t="n">
        <v>711.8</v>
      </c>
      <c r="K237" s="106" t="n">
        <v>585</v>
      </c>
      <c r="L237" s="106" t="n">
        <v>0</v>
      </c>
      <c r="M237" s="107" t="n">
        <v>35</v>
      </c>
      <c r="N237" s="108" t="n">
        <f aca="false" ca="false" dt2D="false" dtr="false" t="normal">SUM(P237:T237)</f>
        <v>530931.97</v>
      </c>
      <c r="O237" s="106" t="n"/>
      <c r="P237" s="114" t="n"/>
      <c r="Q237" s="114" t="n"/>
      <c r="R237" s="114" t="n">
        <v>352995.99</v>
      </c>
      <c r="S237" s="114" t="n">
        <v>177935.98</v>
      </c>
      <c r="T237" s="190" t="n"/>
      <c r="U237" s="114" t="n">
        <v>801.209358340889</v>
      </c>
      <c r="V237" s="114" t="n">
        <v>1253.283020064</v>
      </c>
      <c r="W237" s="185" t="n">
        <v>2023</v>
      </c>
      <c r="X237" s="9" t="e">
        <f aca="false" ca="false" dt2D="false" dtr="false" t="normal">+#REF!-'[9]Приложение №1'!$P633</f>
        <v>#REF!</v>
      </c>
      <c r="Z237" s="113" t="n">
        <f aca="false" ca="false" dt2D="false" dtr="false" t="normal">SUM(AA237:AO237)</f>
        <v>6351355.93</v>
      </c>
      <c r="AA237" s="106" t="n">
        <v>1319645.01926166</v>
      </c>
      <c r="AB237" s="106" t="n">
        <v>802983.7046952</v>
      </c>
      <c r="AC237" s="106" t="n">
        <v>378372.70067058</v>
      </c>
      <c r="AD237" s="106" t="n">
        <v>0</v>
      </c>
      <c r="AE237" s="106" t="n">
        <v>0</v>
      </c>
      <c r="AF237" s="106" t="n"/>
      <c r="AG237" s="106" t="n">
        <v>134667.18168372</v>
      </c>
      <c r="AH237" s="106" t="n">
        <v>0</v>
      </c>
      <c r="AI237" s="106" t="n">
        <v>0</v>
      </c>
      <c r="AJ237" s="106" t="n">
        <v>0</v>
      </c>
      <c r="AK237" s="106" t="n">
        <v>0</v>
      </c>
      <c r="AL237" s="106" t="n">
        <v>2937440.82781884</v>
      </c>
      <c r="AM237" s="106" t="n">
        <v>592860.3207</v>
      </c>
      <c r="AN237" s="114" t="n">
        <v>63513.5593</v>
      </c>
      <c r="AO237" s="115" t="n">
        <v>121872.61587</v>
      </c>
      <c r="AP237" s="112" t="n">
        <f aca="false" ca="false" dt2D="false" dtr="false" t="normal">+N237-'Приложение №2'!E237</f>
        <v>0</v>
      </c>
      <c r="AQ237" s="121" t="n">
        <v>290342.49</v>
      </c>
      <c r="AR237" s="3" t="n">
        <f aca="false" ca="false" dt2D="false" dtr="false" t="normal">+(K237*10.5+L237*21)*12*0.85</f>
        <v>62653.5</v>
      </c>
      <c r="AS237" s="3" t="n">
        <f aca="false" ca="false" dt2D="false" dtr="false" t="normal">+(K237*10.5+L237*21)*12*30</f>
        <v>2211300</v>
      </c>
      <c r="AT237" s="9" t="n">
        <f aca="false" ca="false" dt2D="false" dtr="false" t="normal">+S237-AS237</f>
        <v>-2033364.02</v>
      </c>
      <c r="AU237" s="9" t="e">
        <f aca="false" ca="false" dt2D="false" dtr="false" t="normal">+P237-'[5]Приложение №1'!$P536</f>
        <v>#REF!</v>
      </c>
      <c r="AV237" s="9" t="e">
        <f aca="false" ca="false" dt2D="false" dtr="false" t="normal">+Q237-'[5]Приложение №1'!$Q536</f>
        <v>#REF!</v>
      </c>
      <c r="AW237" s="186" t="n">
        <f aca="false" ca="true" dt2D="false" dtr="false" t="normal">SUBTOTAL(9, AX237:BL237)</f>
        <v>468707.47462942</v>
      </c>
      <c r="AX237" s="106" t="n"/>
      <c r="AY237" s="106" t="n"/>
      <c r="AZ237" s="106" t="n">
        <v>460433.23</v>
      </c>
      <c r="BA237" s="106" t="n">
        <v>0</v>
      </c>
      <c r="BB237" s="106" t="n">
        <v>0</v>
      </c>
      <c r="BC237" s="106" t="n"/>
      <c r="BD237" s="106" t="n"/>
      <c r="BE237" s="106" t="n"/>
      <c r="BF237" s="106" t="n"/>
      <c r="BG237" s="106" t="n"/>
      <c r="BH237" s="106" t="n"/>
      <c r="BI237" s="106" t="n"/>
      <c r="BJ237" s="106" t="n"/>
      <c r="BK237" s="114" t="n"/>
      <c r="BL237" s="187" t="n">
        <v>8274.24462942</v>
      </c>
      <c r="BM237" s="186" t="n">
        <f aca="false" ca="true" dt2D="false" dtr="false" t="normal">SUBTOTAL(9, BN237:CB237)</f>
        <v>539206.21462942</v>
      </c>
      <c r="BN237" s="106" t="n"/>
      <c r="BO237" s="106" t="n"/>
      <c r="BP237" s="192" t="n">
        <v>530931.97</v>
      </c>
      <c r="BQ237" s="106" t="n">
        <v>0</v>
      </c>
      <c r="BR237" s="106" t="n">
        <v>0</v>
      </c>
      <c r="BS237" s="106" t="n"/>
      <c r="BT237" s="106" t="n"/>
      <c r="BU237" s="106" t="n"/>
      <c r="BV237" s="106" t="n"/>
      <c r="BW237" s="106" t="n"/>
      <c r="BX237" s="106" t="n"/>
      <c r="BY237" s="106" t="n"/>
      <c r="BZ237" s="106" t="n"/>
      <c r="CA237" s="114" t="n"/>
      <c r="CB237" s="115" t="n">
        <v>8274.24462942</v>
      </c>
      <c r="CD237" s="116" t="n">
        <f aca="false" ca="false" dt2D="false" dtr="false" t="normal">+CD236+1</f>
        <v>218</v>
      </c>
      <c r="CE237" s="117" t="n">
        <f aca="false" ca="false" dt2D="false" dtr="false" t="normal">+CE236+1</f>
        <v>30</v>
      </c>
      <c r="CF237" s="104" t="s">
        <v>111</v>
      </c>
      <c r="CG237" s="117" t="s">
        <v>328</v>
      </c>
      <c r="CH237" s="188" t="n">
        <f aca="false" ca="true" dt2D="false" dtr="false" t="normal">SUBTOTAL(9, CI237:CW237)</f>
        <v>539206.21462942</v>
      </c>
      <c r="CI237" s="114" t="n"/>
      <c r="CJ237" s="114" t="n"/>
      <c r="CK237" s="114" t="n">
        <v>530931.97</v>
      </c>
      <c r="CL237" s="114" t="n">
        <v>0</v>
      </c>
      <c r="CM237" s="114" t="n">
        <v>0</v>
      </c>
      <c r="CN237" s="114" t="n"/>
      <c r="CO237" s="114" t="n"/>
      <c r="CP237" s="114" t="n"/>
      <c r="CQ237" s="114" t="n"/>
      <c r="CR237" s="114" t="n"/>
      <c r="CS237" s="114" t="n"/>
      <c r="CT237" s="114" t="n"/>
      <c r="CU237" s="114" t="n"/>
      <c r="CV237" s="114" t="n"/>
      <c r="CW237" s="115" t="n">
        <v>8274.24462942</v>
      </c>
      <c r="CZ237" s="117" t="s">
        <v>328</v>
      </c>
      <c r="DA237" s="189" t="n">
        <f aca="false" ca="true" dt2D="false" dtr="false" t="normal">SUBTOTAL(9, DB237:DP237)</f>
        <v>530931.97</v>
      </c>
      <c r="DB237" s="114" t="n"/>
      <c r="DC237" s="114" t="n"/>
      <c r="DD237" s="114" t="n">
        <v>530931.97</v>
      </c>
      <c r="DE237" s="114" t="n">
        <v>0</v>
      </c>
      <c r="DF237" s="114" t="n">
        <v>0</v>
      </c>
      <c r="DG237" s="114" t="n"/>
      <c r="DH237" s="114" t="n"/>
      <c r="DI237" s="114" t="n"/>
      <c r="DJ237" s="114" t="n"/>
      <c r="DK237" s="114" t="n"/>
      <c r="DL237" s="114" t="n"/>
      <c r="DM237" s="114" t="n"/>
      <c r="DN237" s="114" t="n"/>
      <c r="DO237" s="114" t="n"/>
      <c r="DP237" s="122" t="n"/>
      <c r="DQ237" s="3" t="n">
        <f aca="false" ca="false" dt2D="false" dtr="false" t="normal">N237-DA237</f>
        <v>0</v>
      </c>
      <c r="DS237" s="9" t="n"/>
    </row>
    <row hidden="false" ht="15" outlineLevel="0" r="238">
      <c r="A238" s="183" t="n">
        <f aca="false" ca="false" dt2D="false" dtr="false" t="normal">+A237+1</f>
        <v>219</v>
      </c>
      <c r="B238" s="184" t="n">
        <f aca="false" ca="false" dt2D="false" dtr="false" t="normal">+B237+1</f>
        <v>31</v>
      </c>
      <c r="C238" s="104" t="s">
        <v>111</v>
      </c>
      <c r="D238" s="104" t="s">
        <v>329</v>
      </c>
      <c r="E238" s="105" t="n">
        <v>1988</v>
      </c>
      <c r="F238" s="105" t="n">
        <v>2013</v>
      </c>
      <c r="G238" s="105" t="s">
        <v>68</v>
      </c>
      <c r="H238" s="105" t="n">
        <v>2</v>
      </c>
      <c r="I238" s="105" t="n">
        <v>2</v>
      </c>
      <c r="J238" s="106" t="n">
        <v>661.79</v>
      </c>
      <c r="K238" s="106" t="n">
        <v>596.7</v>
      </c>
      <c r="L238" s="106" t="n">
        <v>0</v>
      </c>
      <c r="M238" s="107" t="n">
        <v>38</v>
      </c>
      <c r="N238" s="108" t="n">
        <f aca="false" ca="false" dt2D="false" dtr="false" t="normal">SUM(P238:T238)</f>
        <v>620897.1</v>
      </c>
      <c r="O238" s="106" t="n"/>
      <c r="P238" s="114" t="n">
        <v>0</v>
      </c>
      <c r="Q238" s="114" t="n"/>
      <c r="R238" s="114" t="n"/>
      <c r="S238" s="114" t="n">
        <v>620897.1</v>
      </c>
      <c r="T238" s="106" t="n"/>
      <c r="U238" s="114" t="n">
        <v>4496.17482688768</v>
      </c>
      <c r="V238" s="114" t="n">
        <v>1254.283020064</v>
      </c>
      <c r="W238" s="185" t="n">
        <v>2023</v>
      </c>
      <c r="X238" s="9" t="e">
        <f aca="false" ca="false" dt2D="false" dtr="false" t="normal">+#REF!-'[9]Приложение №1'!$P388</f>
        <v>#REF!</v>
      </c>
      <c r="Z238" s="113" t="n">
        <f aca="false" ca="false" dt2D="false" dtr="false" t="normal">SUM(AA238:AO238)</f>
        <v>2270607.88</v>
      </c>
      <c r="AA238" s="106" t="n">
        <v>1303091.97540522</v>
      </c>
      <c r="AB238" s="106" t="n">
        <v>0</v>
      </c>
      <c r="AC238" s="106" t="n">
        <v>373626.55878114</v>
      </c>
      <c r="AD238" s="106" t="n">
        <v>318408.589044</v>
      </c>
      <c r="AE238" s="106" t="n">
        <v>0</v>
      </c>
      <c r="AF238" s="106" t="n"/>
      <c r="AG238" s="106" t="n">
        <v>0</v>
      </c>
      <c r="AH238" s="106" t="n">
        <v>0</v>
      </c>
      <c r="AI238" s="106" t="n">
        <v>0</v>
      </c>
      <c r="AJ238" s="106" t="n">
        <v>0</v>
      </c>
      <c r="AK238" s="106" t="n">
        <v>0</v>
      </c>
      <c r="AL238" s="106" t="n">
        <v>0</v>
      </c>
      <c r="AM238" s="106" t="n">
        <v>209145.2886</v>
      </c>
      <c r="AN238" s="114" t="n">
        <v>22706.0788</v>
      </c>
      <c r="AO238" s="115" t="n">
        <v>43629.38936964</v>
      </c>
      <c r="AP238" s="112" t="n">
        <f aca="false" ca="false" dt2D="false" dtr="false" t="normal">+N238-'Приложение №2'!E238</f>
        <v>0</v>
      </c>
      <c r="AQ238" s="1" t="n">
        <f aca="false" ca="false" dt2D="false" dtr="false" t="normal">232648.79-31492.39</f>
        <v>201156.40000000002</v>
      </c>
      <c r="AR238" s="3" t="n">
        <f aca="false" ca="false" dt2D="false" dtr="false" t="normal">+(K238*10.5+L238*21)*12*0.85</f>
        <v>63906.57000000001</v>
      </c>
      <c r="AS238" s="3" t="n">
        <f aca="false" ca="false" dt2D="false" dtr="false" t="normal">+(K238*10.5+L238*21)*12*30</f>
        <v>2255526.0000000005</v>
      </c>
      <c r="AT238" s="9" t="n">
        <f aca="false" ca="false" dt2D="false" dtr="false" t="normal">+S238-AS238</f>
        <v>-1634628.9000000004</v>
      </c>
      <c r="AU238" s="9" t="e">
        <f aca="false" ca="false" dt2D="false" dtr="false" t="normal">+P238-'[5]Приложение №1'!$P537</f>
        <v>#REF!</v>
      </c>
      <c r="AV238" s="9" t="e">
        <f aca="false" ca="false" dt2D="false" dtr="false" t="normal">+Q238-'[5]Приложение №1'!$Q537</f>
        <v>#REF!</v>
      </c>
      <c r="AW238" s="186" t="n">
        <f aca="false" ca="true" dt2D="false" dtr="false" t="normal">SUBTOTAL(9, AX238:BL238)</f>
        <v>2682867.519203877</v>
      </c>
      <c r="AX238" s="106" t="n">
        <v>1551954.26</v>
      </c>
      <c r="AY238" s="106" t="n">
        <v>0</v>
      </c>
      <c r="AZ238" s="106" t="n">
        <v>437675.74</v>
      </c>
      <c r="BA238" s="106" t="n">
        <v>462948.67</v>
      </c>
      <c r="BB238" s="106" t="n">
        <v>0</v>
      </c>
      <c r="BC238" s="106" t="n"/>
      <c r="BD238" s="106" t="n">
        <v>186659.459834237</v>
      </c>
      <c r="BE238" s="106" t="n">
        <v>0</v>
      </c>
      <c r="BF238" s="106" t="n">
        <v>0</v>
      </c>
      <c r="BG238" s="106" t="n">
        <v>0</v>
      </c>
      <c r="BH238" s="106" t="n">
        <v>0</v>
      </c>
      <c r="BI238" s="106" t="n">
        <v>0</v>
      </c>
      <c r="BJ238" s="106" t="n"/>
      <c r="BK238" s="114" t="n"/>
      <c r="BL238" s="187" t="n">
        <v>43629.38936964</v>
      </c>
      <c r="BM238" s="186" t="n">
        <f aca="false" ca="true" dt2D="false" dtr="false" t="normal">SUBTOTAL(9, BN238:CB238)</f>
        <v>2682867.519203877</v>
      </c>
      <c r="BN238" s="106" t="n">
        <v>1551954.26</v>
      </c>
      <c r="BO238" s="106" t="n">
        <v>0</v>
      </c>
      <c r="BP238" s="106" t="n">
        <v>437675.74</v>
      </c>
      <c r="BQ238" s="106" t="n">
        <v>462948.67</v>
      </c>
      <c r="BR238" s="106" t="n">
        <v>0</v>
      </c>
      <c r="BS238" s="106" t="n"/>
      <c r="BT238" s="106" t="n">
        <v>186659.459834237</v>
      </c>
      <c r="BU238" s="106" t="n">
        <v>0</v>
      </c>
      <c r="BV238" s="106" t="n">
        <v>0</v>
      </c>
      <c r="BW238" s="106" t="n">
        <v>0</v>
      </c>
      <c r="BX238" s="106" t="n">
        <v>0</v>
      </c>
      <c r="BY238" s="106" t="n">
        <v>0</v>
      </c>
      <c r="BZ238" s="106" t="n"/>
      <c r="CA238" s="114" t="n"/>
      <c r="CB238" s="115" t="n">
        <v>43629.38936964</v>
      </c>
      <c r="CD238" s="116" t="n">
        <f aca="false" ca="false" dt2D="false" dtr="false" t="normal">+CD237+1</f>
        <v>219</v>
      </c>
      <c r="CE238" s="117" t="n">
        <f aca="false" ca="false" dt2D="false" dtr="false" t="normal">+CE237+1</f>
        <v>31</v>
      </c>
      <c r="CF238" s="104" t="s">
        <v>111</v>
      </c>
      <c r="CG238" s="117" t="s">
        <v>329</v>
      </c>
      <c r="CH238" s="188" t="n">
        <f aca="false" ca="true" dt2D="false" dtr="false" t="normal">SUBTOTAL(9, CI238:CW238)</f>
        <v>664526.48936964</v>
      </c>
      <c r="CI238" s="114" t="n"/>
      <c r="CJ238" s="114" t="n">
        <v>0</v>
      </c>
      <c r="CK238" s="114" t="n">
        <v>620897.1</v>
      </c>
      <c r="CL238" s="114" t="n"/>
      <c r="CM238" s="114" t="n">
        <v>0</v>
      </c>
      <c r="CN238" s="114" t="n"/>
      <c r="CO238" s="114" t="n"/>
      <c r="CP238" s="114" t="n">
        <v>0</v>
      </c>
      <c r="CQ238" s="114" t="n">
        <v>0</v>
      </c>
      <c r="CR238" s="114" t="n">
        <v>0</v>
      </c>
      <c r="CS238" s="114" t="n">
        <v>0</v>
      </c>
      <c r="CT238" s="114" t="n">
        <v>0</v>
      </c>
      <c r="CU238" s="114" t="n"/>
      <c r="CV238" s="114" t="n"/>
      <c r="CW238" s="115" t="n">
        <v>43629.38936964</v>
      </c>
      <c r="CZ238" s="117" t="s">
        <v>329</v>
      </c>
      <c r="DA238" s="189" t="n">
        <f aca="false" ca="true" dt2D="false" dtr="false" t="normal">SUBTOTAL(9, DB238:DP238)</f>
        <v>620897.1</v>
      </c>
      <c r="DB238" s="114" t="n"/>
      <c r="DC238" s="114" t="n">
        <v>0</v>
      </c>
      <c r="DD238" s="114" t="n">
        <v>620897.1</v>
      </c>
      <c r="DE238" s="114" t="n"/>
      <c r="DF238" s="114" t="n">
        <v>0</v>
      </c>
      <c r="DG238" s="114" t="n"/>
      <c r="DH238" s="114" t="n"/>
      <c r="DI238" s="114" t="n">
        <v>0</v>
      </c>
      <c r="DJ238" s="114" t="n">
        <v>0</v>
      </c>
      <c r="DK238" s="114" t="n">
        <v>0</v>
      </c>
      <c r="DL238" s="114" t="n">
        <v>0</v>
      </c>
      <c r="DM238" s="114" t="n">
        <v>0</v>
      </c>
      <c r="DN238" s="114" t="n"/>
      <c r="DO238" s="114" t="n"/>
      <c r="DP238" s="122" t="n"/>
      <c r="DQ238" s="3" t="n">
        <f aca="false" ca="false" dt2D="false" dtr="false" t="normal">N238-DA238</f>
        <v>0</v>
      </c>
      <c r="DS238" s="9" t="n"/>
    </row>
    <row customFormat="true" hidden="false" ht="15" outlineLevel="0" r="239" s="129">
      <c r="A239" s="183" t="n">
        <f aca="false" ca="false" dt2D="false" dtr="false" t="normal">+A238+1</f>
        <v>220</v>
      </c>
      <c r="B239" s="184" t="n">
        <f aca="false" ca="false" dt2D="false" dtr="false" t="normal">+B238+1</f>
        <v>32</v>
      </c>
      <c r="C239" s="104" t="s">
        <v>184</v>
      </c>
      <c r="D239" s="104" t="s">
        <v>330</v>
      </c>
      <c r="E239" s="105" t="s">
        <v>331</v>
      </c>
      <c r="F239" s="105" t="n"/>
      <c r="G239" s="105" t="s">
        <v>68</v>
      </c>
      <c r="H239" s="105" t="s">
        <v>126</v>
      </c>
      <c r="I239" s="105" t="s">
        <v>188</v>
      </c>
      <c r="J239" s="106" t="n">
        <v>17927.33</v>
      </c>
      <c r="K239" s="106" t="n">
        <v>15026.75</v>
      </c>
      <c r="L239" s="106" t="n">
        <v>72.8</v>
      </c>
      <c r="M239" s="107" t="n">
        <v>571</v>
      </c>
      <c r="N239" s="108" t="n">
        <f aca="false" ca="false" dt2D="false" dtr="false" t="normal">SUM(P239:T239)</f>
        <v>21087152.25</v>
      </c>
      <c r="O239" s="106" t="n">
        <v>0</v>
      </c>
      <c r="P239" s="114" t="n"/>
      <c r="Q239" s="114" t="n">
        <v>0</v>
      </c>
      <c r="R239" s="114" t="n">
        <v>13810339.6815</v>
      </c>
      <c r="S239" s="114" t="n">
        <v>7276812.5685</v>
      </c>
      <c r="T239" s="114" t="n"/>
      <c r="U239" s="114" t="n">
        <v>1433.23660909504</v>
      </c>
      <c r="V239" s="114" t="n">
        <v>1255.283020064</v>
      </c>
      <c r="W239" s="185" t="n">
        <v>2023</v>
      </c>
      <c r="X239" s="129" t="n">
        <v>7106067.94</v>
      </c>
      <c r="Y239" s="129" t="n">
        <f aca="false" ca="false" dt2D="false" dtr="false" t="normal">+(K239*12.08+L239*20.47)*12</f>
        <v>2196160.272</v>
      </c>
      <c r="AA239" s="130" t="e">
        <f aca="false" ca="false" dt2D="false" dtr="false" t="normal">+N239-'[8]Приложение № 2'!E503</f>
        <v>#REF!</v>
      </c>
      <c r="AD239" s="130" t="e">
        <f aca="false" ca="false" dt2D="false" dtr="false" t="normal">+N239-'[8]Приложение № 2'!E503</f>
        <v>#REF!</v>
      </c>
      <c r="AP239" s="112" t="n">
        <f aca="false" ca="false" dt2D="false" dtr="false" t="normal">+N239-'Приложение №2'!E239</f>
        <v>0</v>
      </c>
      <c r="AQ239" s="129" t="n">
        <v>11654621.88</v>
      </c>
      <c r="AR239" s="3" t="n">
        <f aca="false" ca="false" dt2D="false" dtr="false" t="normal">+(K239*13.95+L239*23.65)*12*0.85</f>
        <v>2155717.8014999996</v>
      </c>
      <c r="AS239" s="3" t="n">
        <f aca="false" ca="false" dt2D="false" dtr="false" t="normal">+(K239*13.95+L239*23.65)*12*30</f>
        <v>76084157.69999999</v>
      </c>
      <c r="AT239" s="9" t="n">
        <f aca="false" ca="false" dt2D="false" dtr="false" t="normal">+S239-AS239</f>
        <v>-68807345.13149999</v>
      </c>
      <c r="AU239" s="9" t="e">
        <f aca="false" ca="false" dt2D="false" dtr="false" t="normal">+P239-'[5]Приложение №1'!$P538</f>
        <v>#REF!</v>
      </c>
      <c r="AV239" s="9" t="e">
        <f aca="false" ca="false" dt2D="false" dtr="false" t="normal">+Q239-'[5]Приложение №1'!$Q538</f>
        <v>#REF!</v>
      </c>
      <c r="AW239" s="186" t="n">
        <f aca="false" ca="true" dt2D="false" dtr="false" t="normal">SUBTOTAL(9, AX239:BL239)</f>
        <v>21536888.215718932</v>
      </c>
      <c r="AX239" s="106" t="n"/>
      <c r="AY239" s="106" t="n"/>
      <c r="AZ239" s="106" t="n"/>
      <c r="BA239" s="106" t="n"/>
      <c r="BB239" s="106" t="n"/>
      <c r="BC239" s="106" t="n"/>
      <c r="BD239" s="106" t="n"/>
      <c r="BE239" s="106" t="n">
        <v>20793974.4</v>
      </c>
      <c r="BF239" s="106" t="n"/>
      <c r="BG239" s="106" t="n"/>
      <c r="BH239" s="106" t="n"/>
      <c r="BI239" s="106" t="n"/>
      <c r="BJ239" s="106" t="n">
        <v>263945.2194144</v>
      </c>
      <c r="BK239" s="114" t="n">
        <v>24000</v>
      </c>
      <c r="BL239" s="187" t="n">
        <v>454968.596304532</v>
      </c>
      <c r="BM239" s="186" t="n">
        <f aca="false" ca="true" dt2D="false" dtr="false" t="normal">SUBTOTAL(9, BN239:CB239)</f>
        <v>21536888.215718932</v>
      </c>
      <c r="BN239" s="106" t="n"/>
      <c r="BO239" s="106" t="n"/>
      <c r="BP239" s="106" t="n"/>
      <c r="BQ239" s="106" t="n"/>
      <c r="BR239" s="106" t="n"/>
      <c r="BS239" s="106" t="n"/>
      <c r="BT239" s="106" t="n"/>
      <c r="BU239" s="106" t="n">
        <v>20793974.4</v>
      </c>
      <c r="BV239" s="106" t="n"/>
      <c r="BW239" s="106" t="n"/>
      <c r="BX239" s="106" t="n"/>
      <c r="BY239" s="106" t="n"/>
      <c r="BZ239" s="106" t="n">
        <v>263945.2194144</v>
      </c>
      <c r="CA239" s="114" t="n">
        <v>24000</v>
      </c>
      <c r="CB239" s="115" t="n">
        <v>454968.596304532</v>
      </c>
      <c r="CD239" s="116" t="n">
        <f aca="false" ca="false" dt2D="false" dtr="false" t="normal">+CD238+1</f>
        <v>220</v>
      </c>
      <c r="CE239" s="117" t="n">
        <f aca="false" ca="false" dt2D="false" dtr="false" t="normal">+CE238+1</f>
        <v>32</v>
      </c>
      <c r="CF239" s="104" t="s">
        <v>111</v>
      </c>
      <c r="CG239" s="117" t="s">
        <v>330</v>
      </c>
      <c r="CH239" s="188" t="n">
        <f aca="false" ca="true" dt2D="false" dtr="false" t="normal">SUBTOTAL(9, CI239:CW239)</f>
        <v>21542120.846304532</v>
      </c>
      <c r="CI239" s="114" t="n"/>
      <c r="CJ239" s="114" t="n"/>
      <c r="CK239" s="114" t="n"/>
      <c r="CL239" s="114" t="n"/>
      <c r="CM239" s="114" t="n"/>
      <c r="CN239" s="114" t="n"/>
      <c r="CO239" s="114" t="n"/>
      <c r="CP239" s="114" t="n">
        <v>20793974.4</v>
      </c>
      <c r="CQ239" s="114" t="n"/>
      <c r="CR239" s="114" t="n"/>
      <c r="CS239" s="114" t="n"/>
      <c r="CT239" s="114" t="n"/>
      <c r="CU239" s="114" t="n">
        <v>270017.85</v>
      </c>
      <c r="CV239" s="114" t="n">
        <v>23160</v>
      </c>
      <c r="CW239" s="115" t="n">
        <v>454968.596304532</v>
      </c>
      <c r="CZ239" s="117" t="s">
        <v>330</v>
      </c>
      <c r="DA239" s="189" t="n">
        <f aca="false" ca="true" dt2D="false" dtr="false" t="normal">SUBTOTAL(9, DB239:DP239)</f>
        <v>21087152.25</v>
      </c>
      <c r="DB239" s="114" t="n"/>
      <c r="DC239" s="114" t="n"/>
      <c r="DD239" s="114" t="n"/>
      <c r="DE239" s="114" t="n"/>
      <c r="DF239" s="114" t="n"/>
      <c r="DG239" s="114" t="n"/>
      <c r="DH239" s="114" t="n"/>
      <c r="DI239" s="114" t="n">
        <v>20793974.4</v>
      </c>
      <c r="DJ239" s="114" t="n"/>
      <c r="DK239" s="114" t="n"/>
      <c r="DL239" s="114" t="n"/>
      <c r="DM239" s="114" t="n"/>
      <c r="DN239" s="114" t="n">
        <v>270017.85</v>
      </c>
      <c r="DO239" s="114" t="n">
        <v>23160</v>
      </c>
      <c r="DP239" s="122" t="n"/>
      <c r="DQ239" s="3" t="n">
        <f aca="false" ca="false" dt2D="false" dtr="false" t="normal">N239-DA239</f>
        <v>0</v>
      </c>
      <c r="DS239" s="9" t="n"/>
    </row>
    <row customFormat="true" hidden="false" ht="15" outlineLevel="0" r="240" s="129">
      <c r="A240" s="183" t="n">
        <f aca="false" ca="false" dt2D="false" dtr="false" t="normal">+A239+1</f>
        <v>221</v>
      </c>
      <c r="B240" s="184" t="n">
        <f aca="false" ca="false" dt2D="false" dtr="false" t="normal">+B239+1</f>
        <v>33</v>
      </c>
      <c r="C240" s="104" t="s">
        <v>184</v>
      </c>
      <c r="D240" s="104" t="s">
        <v>332</v>
      </c>
      <c r="E240" s="105" t="s">
        <v>331</v>
      </c>
      <c r="F240" s="105" t="n"/>
      <c r="G240" s="105" t="s">
        <v>68</v>
      </c>
      <c r="H240" s="105" t="s">
        <v>126</v>
      </c>
      <c r="I240" s="105" t="s">
        <v>187</v>
      </c>
      <c r="J240" s="106" t="n">
        <v>11180.28</v>
      </c>
      <c r="K240" s="106" t="n">
        <v>9305.33</v>
      </c>
      <c r="L240" s="106" t="n">
        <v>0</v>
      </c>
      <c r="M240" s="107" t="n">
        <v>347</v>
      </c>
      <c r="N240" s="108" t="n">
        <f aca="false" ca="false" dt2D="false" dtr="false" t="normal">SUM(P240:T240)</f>
        <v>14097787.42</v>
      </c>
      <c r="O240" s="106" t="n">
        <v>0</v>
      </c>
      <c r="P240" s="114" t="n"/>
      <c r="Q240" s="114" t="n">
        <v>0</v>
      </c>
      <c r="R240" s="114" t="n">
        <v>8237634.1857</v>
      </c>
      <c r="S240" s="114" t="n">
        <v>5860153.2343</v>
      </c>
      <c r="T240" s="114" t="n"/>
      <c r="U240" s="114" t="n">
        <v>1546.58601633916</v>
      </c>
      <c r="V240" s="114" t="n">
        <v>1257.283020064</v>
      </c>
      <c r="W240" s="185" t="n">
        <v>2023</v>
      </c>
      <c r="X240" s="129" t="n">
        <v>4241666.02</v>
      </c>
      <c r="Y240" s="129" t="n">
        <f aca="false" ca="false" dt2D="false" dtr="false" t="normal">+(K240*12.08+L240*20.47)*12</f>
        <v>1348900.6368</v>
      </c>
      <c r="AA240" s="130" t="e">
        <f aca="false" ca="false" dt2D="false" dtr="false" t="normal">+N240-'[8]Приложение № 2'!E505</f>
        <v>#REF!</v>
      </c>
      <c r="AD240" s="130" t="e">
        <f aca="false" ca="false" dt2D="false" dtr="false" t="normal">+N240-'[8]Приложение № 2'!E505</f>
        <v>#REF!</v>
      </c>
      <c r="AP240" s="112" t="n">
        <f aca="false" ca="false" dt2D="false" dtr="false" t="normal">+N240-'Приложение №2'!E240</f>
        <v>0</v>
      </c>
      <c r="AQ240" s="129" t="n">
        <v>6913578.78</v>
      </c>
      <c r="AR240" s="3" t="n">
        <f aca="false" ca="false" dt2D="false" dtr="false" t="normal">+(K240*13.95+L240*23.65)*12*0.85</f>
        <v>1324055.4057</v>
      </c>
      <c r="AS240" s="3" t="n">
        <f aca="false" ca="false" dt2D="false" dtr="false" t="normal">+(K240*13.95+L240*23.65)*12*30</f>
        <v>46731367.260000005</v>
      </c>
      <c r="AT240" s="9" t="n">
        <f aca="false" ca="false" dt2D="false" dtr="false" t="normal">+S240-AS240</f>
        <v>-40871214.0257</v>
      </c>
      <c r="AU240" s="9" t="e">
        <f aca="false" ca="false" dt2D="false" dtr="false" t="normal">+P240-'[5]Приложение №1'!$P540</f>
        <v>#REF!</v>
      </c>
      <c r="AV240" s="9" t="e">
        <f aca="false" ca="false" dt2D="false" dtr="false" t="normal">+Q240-'[5]Приложение №1'!$Q540</f>
        <v>#REF!</v>
      </c>
      <c r="AW240" s="186" t="n">
        <f aca="false" ca="true" dt2D="false" dtr="false" t="normal">SUBTOTAL(9, AX240:BL240)</f>
        <v>14391493.255421314</v>
      </c>
      <c r="AX240" s="106" t="n"/>
      <c r="AY240" s="106" t="n"/>
      <c r="AZ240" s="106" t="n"/>
      <c r="BA240" s="106" t="n"/>
      <c r="BB240" s="106" t="n"/>
      <c r="BC240" s="106" t="n"/>
      <c r="BD240" s="106" t="n"/>
      <c r="BE240" s="106" t="n">
        <v>13862649.6</v>
      </c>
      <c r="BF240" s="106" t="n"/>
      <c r="BG240" s="106" t="n"/>
      <c r="BH240" s="106" t="n"/>
      <c r="BI240" s="106" t="n"/>
      <c r="BJ240" s="106" t="n">
        <v>202265.3172096</v>
      </c>
      <c r="BK240" s="114" t="n">
        <v>24000</v>
      </c>
      <c r="BL240" s="187" t="n">
        <v>302578.338211715</v>
      </c>
      <c r="BM240" s="186" t="n">
        <f aca="false" ca="true" dt2D="false" dtr="false" t="normal">SUBTOTAL(9, BN240:CB240)</f>
        <v>14391493.255421314</v>
      </c>
      <c r="BN240" s="106" t="n"/>
      <c r="BO240" s="106" t="n"/>
      <c r="BP240" s="106" t="n"/>
      <c r="BQ240" s="106" t="n"/>
      <c r="BR240" s="106" t="n"/>
      <c r="BS240" s="106" t="n"/>
      <c r="BT240" s="106" t="n"/>
      <c r="BU240" s="106" t="n">
        <v>13862649.6</v>
      </c>
      <c r="BV240" s="106" t="n"/>
      <c r="BW240" s="106" t="n"/>
      <c r="BX240" s="106" t="n"/>
      <c r="BY240" s="106" t="n"/>
      <c r="BZ240" s="106" t="n">
        <v>202265.3172096</v>
      </c>
      <c r="CA240" s="114" t="n">
        <v>24000</v>
      </c>
      <c r="CB240" s="115" t="n">
        <v>302578.338211715</v>
      </c>
      <c r="CD240" s="116" t="n">
        <f aca="false" ca="false" dt2D="false" dtr="false" t="normal">+CD239+1</f>
        <v>221</v>
      </c>
      <c r="CE240" s="117" t="n">
        <f aca="false" ca="false" dt2D="false" dtr="false" t="normal">+CE239+1</f>
        <v>33</v>
      </c>
      <c r="CF240" s="104" t="s">
        <v>111</v>
      </c>
      <c r="CG240" s="117" t="s">
        <v>332</v>
      </c>
      <c r="CH240" s="188" t="n">
        <f aca="false" ca="true" dt2D="false" dtr="false" t="normal">SUBTOTAL(9, CI240:CW240)</f>
        <v>14400365.758211715</v>
      </c>
      <c r="CI240" s="114" t="n"/>
      <c r="CJ240" s="114" t="n"/>
      <c r="CK240" s="114" t="n"/>
      <c r="CL240" s="114" t="n"/>
      <c r="CM240" s="114" t="n"/>
      <c r="CN240" s="114" t="n"/>
      <c r="CO240" s="114" t="n"/>
      <c r="CP240" s="114" t="n">
        <v>13862649.6</v>
      </c>
      <c r="CQ240" s="114" t="n"/>
      <c r="CR240" s="114" t="n"/>
      <c r="CS240" s="114" t="n"/>
      <c r="CT240" s="114" t="n"/>
      <c r="CU240" s="114" t="n">
        <v>211977.82</v>
      </c>
      <c r="CV240" s="114" t="n">
        <v>23160</v>
      </c>
      <c r="CW240" s="115" t="n">
        <v>302578.338211715</v>
      </c>
      <c r="CZ240" s="117" t="s">
        <v>332</v>
      </c>
      <c r="DA240" s="189" t="n">
        <f aca="false" ca="true" dt2D="false" dtr="false" t="normal">SUBTOTAL(9, DB240:DP240)</f>
        <v>14097787.42</v>
      </c>
      <c r="DB240" s="114" t="n"/>
      <c r="DC240" s="114" t="n"/>
      <c r="DD240" s="114" t="n"/>
      <c r="DE240" s="114" t="n"/>
      <c r="DF240" s="114" t="n"/>
      <c r="DG240" s="114" t="n"/>
      <c r="DH240" s="114" t="n"/>
      <c r="DI240" s="114" t="n">
        <v>13862649.6</v>
      </c>
      <c r="DJ240" s="114" t="n"/>
      <c r="DK240" s="114" t="n"/>
      <c r="DL240" s="114" t="n"/>
      <c r="DM240" s="114" t="n"/>
      <c r="DN240" s="114" t="n">
        <v>211977.82</v>
      </c>
      <c r="DO240" s="114" t="n">
        <v>23160</v>
      </c>
      <c r="DP240" s="122" t="n"/>
      <c r="DQ240" s="3" t="n">
        <f aca="false" ca="false" dt2D="false" dtr="false" t="normal">N240-DA240</f>
        <v>0</v>
      </c>
      <c r="DS240" s="9" t="n"/>
    </row>
    <row hidden="false" ht="15" outlineLevel="0" r="241">
      <c r="A241" s="183" t="n">
        <f aca="false" ca="false" dt2D="false" dtr="false" t="normal">+A240+1</f>
        <v>222</v>
      </c>
      <c r="B241" s="184" t="n">
        <f aca="false" ca="false" dt2D="false" dtr="false" t="normal">+B240+1</f>
        <v>34</v>
      </c>
      <c r="C241" s="104" t="s">
        <v>111</v>
      </c>
      <c r="D241" s="104" t="s">
        <v>333</v>
      </c>
      <c r="E241" s="105" t="n">
        <v>1964</v>
      </c>
      <c r="F241" s="105" t="n">
        <v>2013</v>
      </c>
      <c r="G241" s="105" t="s">
        <v>68</v>
      </c>
      <c r="H241" s="105" t="n">
        <v>5</v>
      </c>
      <c r="I241" s="105" t="n">
        <v>7</v>
      </c>
      <c r="J241" s="106" t="n">
        <v>6384.4</v>
      </c>
      <c r="K241" s="106" t="n">
        <v>5253.8</v>
      </c>
      <c r="L241" s="106" t="n">
        <v>1130.6</v>
      </c>
      <c r="M241" s="107" t="n">
        <v>210</v>
      </c>
      <c r="N241" s="108" t="n">
        <f aca="false" ca="false" dt2D="false" dtr="false" t="normal">SUM(P241:T241)</f>
        <v>16895315.3</v>
      </c>
      <c r="O241" s="106" t="n"/>
      <c r="P241" s="114" t="n"/>
      <c r="Q241" s="114" t="n"/>
      <c r="R241" s="114" t="n">
        <v>1868422.94</v>
      </c>
      <c r="S241" s="114" t="n">
        <v>15026892.36</v>
      </c>
      <c r="T241" s="114" t="n"/>
      <c r="U241" s="114" t="n">
        <v>4853.31840936987</v>
      </c>
      <c r="V241" s="114" t="n">
        <v>1258.283020064</v>
      </c>
      <c r="W241" s="185" t="n">
        <v>2023</v>
      </c>
      <c r="X241" s="9" t="e">
        <f aca="false" ca="false" dt2D="false" dtr="false" t="normal">+#REF!-'[9]Приложение №1'!$P1118</f>
        <v>#REF!</v>
      </c>
      <c r="Z241" s="113" t="n">
        <f aca="false" ca="false" dt2D="false" dtr="false" t="normal">SUM(AA241:AO241)</f>
        <v>31039639.368981637</v>
      </c>
      <c r="AA241" s="106" t="n">
        <v>13616559.511674</v>
      </c>
      <c r="AB241" s="106" t="n">
        <v>4892953.08851434</v>
      </c>
      <c r="AC241" s="106" t="n">
        <v>5159278.85636512</v>
      </c>
      <c r="AD241" s="106" t="n">
        <v>3303637.31360418</v>
      </c>
      <c r="AE241" s="106" t="n">
        <v>2454070.459386</v>
      </c>
      <c r="AF241" s="106" t="n"/>
      <c r="AG241" s="106" t="n">
        <v>488558.85729</v>
      </c>
      <c r="AH241" s="106" t="n">
        <v>0</v>
      </c>
      <c r="AI241" s="106" t="n">
        <v>0</v>
      </c>
      <c r="AJ241" s="106" t="n">
        <v>0</v>
      </c>
      <c r="AK241" s="106" t="n">
        <v>0</v>
      </c>
      <c r="AL241" s="106" t="n">
        <v>0</v>
      </c>
      <c r="AM241" s="106" t="n">
        <v>425297.73</v>
      </c>
      <c r="AN241" s="106" t="n">
        <v>45101.82</v>
      </c>
      <c r="AO241" s="115" t="n">
        <v>654181.732148</v>
      </c>
      <c r="AP241" s="112" t="n">
        <f aca="false" ca="false" dt2D="false" dtr="false" t="normal">+N241-'Приложение №2'!E241</f>
        <v>0</v>
      </c>
      <c r="AQ241" s="121" t="n">
        <v>4163182.7</v>
      </c>
      <c r="AR241" s="3" t="n">
        <f aca="false" ca="false" dt2D="false" dtr="false" t="normal">+(K241*10.5+L241*21)*12*0.85</f>
        <v>804856.5</v>
      </c>
      <c r="AS241" s="3" t="n">
        <f aca="false" ca="false" dt2D="false" dtr="false" t="normal">+(K241*10.5+L241*21)*12*30</f>
        <v>28406700</v>
      </c>
      <c r="AT241" s="9" t="n">
        <f aca="false" ca="false" dt2D="false" dtr="false" t="normal">+S241-AS241</f>
        <v>-13379807.64</v>
      </c>
      <c r="AU241" s="9" t="e">
        <f aca="false" ca="false" dt2D="false" dtr="false" t="normal">+P241-'[5]Приложение №1'!$P254</f>
        <v>#REF!</v>
      </c>
      <c r="AV241" s="9" t="e">
        <f aca="false" ca="false" dt2D="false" dtr="false" t="normal">+Q241-'[5]Приложение №1'!$Q254</f>
        <v>#REF!</v>
      </c>
      <c r="AW241" s="186" t="n">
        <f aca="false" ca="true" dt2D="false" dtr="false" t="normal">SUBTOTAL(9, AX241:BL241)</f>
        <v>25498364.25914744</v>
      </c>
      <c r="AX241" s="106" t="n"/>
      <c r="AY241" s="106" t="n">
        <v>4892953.08851434</v>
      </c>
      <c r="AZ241" s="106" t="n">
        <v>5159278.85636512</v>
      </c>
      <c r="BA241" s="106" t="n">
        <v>3303637.31360418</v>
      </c>
      <c r="BB241" s="106" t="n"/>
      <c r="BC241" s="106" t="n"/>
      <c r="BD241" s="106" t="n"/>
      <c r="BE241" s="106" t="n">
        <v>0</v>
      </c>
      <c r="BF241" s="106" t="n">
        <v>11343089.62</v>
      </c>
      <c r="BG241" s="106" t="n">
        <v>0</v>
      </c>
      <c r="BH241" s="106" t="n">
        <v>0</v>
      </c>
      <c r="BI241" s="106" t="n">
        <v>0</v>
      </c>
      <c r="BJ241" s="106" t="n">
        <v>596430.7065</v>
      </c>
      <c r="BK241" s="106" t="n">
        <v>24992.4265</v>
      </c>
      <c r="BL241" s="187" t="n">
        <v>177982.2476638</v>
      </c>
      <c r="BM241" s="186" t="n">
        <f aca="false" ca="true" dt2D="false" dtr="false" t="normal">SUBTOTAL(9, BN241:CB241)</f>
        <v>25498364.25914744</v>
      </c>
      <c r="BN241" s="106" t="n"/>
      <c r="BO241" s="106" t="n">
        <v>4892953.08851434</v>
      </c>
      <c r="BP241" s="106" t="n">
        <v>5159278.85636512</v>
      </c>
      <c r="BQ241" s="106" t="n">
        <v>3303637.31360418</v>
      </c>
      <c r="BR241" s="106" t="n"/>
      <c r="BS241" s="106" t="n"/>
      <c r="BT241" s="106" t="n"/>
      <c r="BU241" s="106" t="n">
        <v>0</v>
      </c>
      <c r="BV241" s="106" t="n">
        <v>11343089.62</v>
      </c>
      <c r="BW241" s="106" t="n">
        <v>0</v>
      </c>
      <c r="BX241" s="106" t="n">
        <v>0</v>
      </c>
      <c r="BY241" s="106" t="n">
        <v>0</v>
      </c>
      <c r="BZ241" s="106" t="n">
        <v>596430.7065</v>
      </c>
      <c r="CA241" s="106" t="n">
        <v>24992.4265</v>
      </c>
      <c r="CB241" s="115" t="n">
        <v>177982.2476638</v>
      </c>
      <c r="CD241" s="116" t="n">
        <f aca="false" ca="false" dt2D="false" dtr="false" t="normal">+CD240+1</f>
        <v>222</v>
      </c>
      <c r="CE241" s="117" t="n">
        <f aca="false" ca="false" dt2D="false" dtr="false" t="normal">+CE240+1</f>
        <v>34</v>
      </c>
      <c r="CF241" s="104" t="s">
        <v>111</v>
      </c>
      <c r="CG241" s="117" t="s">
        <v>333</v>
      </c>
      <c r="CH241" s="188" t="n">
        <f aca="false" ca="true" dt2D="false" dtr="false" t="normal">SUBTOTAL(9, CI241:CW241)</f>
        <v>16934031.5276638</v>
      </c>
      <c r="CI241" s="106" t="n"/>
      <c r="CJ241" s="114" t="n"/>
      <c r="CK241" s="114" t="n">
        <v>2398261.2</v>
      </c>
      <c r="CL241" s="114" t="n"/>
      <c r="CM241" s="114" t="n"/>
      <c r="CN241" s="114" t="n"/>
      <c r="CO241" s="114" t="n"/>
      <c r="CP241" s="114" t="n">
        <v>0</v>
      </c>
      <c r="CQ241" s="114" t="n">
        <v>14009088.38</v>
      </c>
      <c r="CR241" s="114" t="n">
        <v>0</v>
      </c>
      <c r="CS241" s="114" t="n">
        <v>0</v>
      </c>
      <c r="CT241" s="114" t="n">
        <v>0</v>
      </c>
      <c r="CU241" s="114" t="n">
        <v>339099.7</v>
      </c>
      <c r="CV241" s="114" t="n">
        <v>9600</v>
      </c>
      <c r="CW241" s="115" t="n">
        <v>177982.2476638</v>
      </c>
      <c r="CZ241" s="117" t="s">
        <v>333</v>
      </c>
      <c r="DA241" s="189" t="n">
        <f aca="false" ca="true" dt2D="false" dtr="false" t="normal">SUBTOTAL(9, DB241:DP241)</f>
        <v>16895315.3</v>
      </c>
      <c r="DB241" s="106" t="n"/>
      <c r="DC241" s="114" t="n"/>
      <c r="DD241" s="114" t="n">
        <v>2398261.2</v>
      </c>
      <c r="DE241" s="114" t="n"/>
      <c r="DF241" s="114" t="n"/>
      <c r="DG241" s="114" t="n"/>
      <c r="DH241" s="114" t="n"/>
      <c r="DI241" s="114" t="n">
        <v>0</v>
      </c>
      <c r="DJ241" s="114" t="n">
        <v>14009088.38</v>
      </c>
      <c r="DK241" s="114" t="n">
        <v>0</v>
      </c>
      <c r="DL241" s="114" t="n">
        <v>0</v>
      </c>
      <c r="DM241" s="114" t="n">
        <v>0</v>
      </c>
      <c r="DN241" s="114" t="n">
        <v>339099.7</v>
      </c>
      <c r="DO241" s="114" t="n">
        <v>9600</v>
      </c>
      <c r="DP241" s="120" t="n">
        <f aca="false" ca="false" dt2D="false" dtr="false" t="normal">32899.63+106366.39</f>
        <v>139266.02</v>
      </c>
      <c r="DQ241" s="3" t="n">
        <f aca="false" ca="false" dt2D="false" dtr="false" t="normal">N241-DA241</f>
        <v>0</v>
      </c>
      <c r="DS241" s="9" t="n"/>
    </row>
    <row hidden="false" ht="15" outlineLevel="0" r="242">
      <c r="A242" s="183" t="n">
        <f aca="false" ca="false" dt2D="false" dtr="false" t="normal">+A241+1</f>
        <v>223</v>
      </c>
      <c r="B242" s="184" t="n">
        <f aca="false" ca="false" dt2D="false" dtr="false" t="normal">+B241+1</f>
        <v>35</v>
      </c>
      <c r="C242" s="117" t="s">
        <v>111</v>
      </c>
      <c r="D242" s="117" t="s">
        <v>334</v>
      </c>
      <c r="E242" s="105" t="n">
        <v>1954</v>
      </c>
      <c r="F242" s="105" t="n">
        <v>2005</v>
      </c>
      <c r="G242" s="105" t="s">
        <v>68</v>
      </c>
      <c r="H242" s="105" t="n">
        <v>3</v>
      </c>
      <c r="I242" s="105" t="n">
        <v>3</v>
      </c>
      <c r="J242" s="106" t="n">
        <v>1802.3</v>
      </c>
      <c r="K242" s="106" t="n">
        <v>1033</v>
      </c>
      <c r="L242" s="106" t="n">
        <v>769.3</v>
      </c>
      <c r="M242" s="107" t="n">
        <v>35</v>
      </c>
      <c r="N242" s="108" t="n">
        <f aca="false" ca="false" dt2D="false" dtr="false" t="normal">SUM(P242:T242)</f>
        <v>9050356.68530749</v>
      </c>
      <c r="O242" s="114" t="n"/>
      <c r="P242" s="114" t="n">
        <v>3152058.31276591</v>
      </c>
      <c r="Q242" s="114" t="n"/>
      <c r="R242" s="114" t="n">
        <v>3113580.08</v>
      </c>
      <c r="S242" s="114" t="n">
        <v>2784718.29254158</v>
      </c>
      <c r="T242" s="114" t="n"/>
      <c r="U242" s="106" t="n">
        <v>3766.73877421401</v>
      </c>
      <c r="V242" s="106" t="n">
        <v>3766.73877421401</v>
      </c>
      <c r="W242" s="185" t="n">
        <v>2023</v>
      </c>
      <c r="X242" s="9" t="e">
        <f aca="false" ca="false" dt2D="false" dtr="false" t="normal">+#REF!-'[9]Приложение №1'!$P1598</f>
        <v>#REF!</v>
      </c>
      <c r="Z242" s="113" t="n">
        <f aca="false" ca="false" dt2D="false" dtr="false" t="normal">SUM(AA242:AO242)</f>
        <v>16373215.820000006</v>
      </c>
      <c r="AA242" s="106" t="n">
        <v>0</v>
      </c>
      <c r="AB242" s="106" t="n">
        <v>0</v>
      </c>
      <c r="AC242" s="106" t="n">
        <v>0</v>
      </c>
      <c r="AD242" s="106" t="n">
        <v>0</v>
      </c>
      <c r="AE242" s="106" t="n">
        <v>0</v>
      </c>
      <c r="AF242" s="106" t="n"/>
      <c r="AG242" s="106" t="n">
        <v>0</v>
      </c>
      <c r="AH242" s="106" t="n">
        <v>0</v>
      </c>
      <c r="AI242" s="106" t="n">
        <v>15841009.1872341</v>
      </c>
      <c r="AJ242" s="106" t="n">
        <v>0</v>
      </c>
      <c r="AK242" s="106" t="n">
        <v>0</v>
      </c>
      <c r="AL242" s="106" t="n">
        <v>0</v>
      </c>
      <c r="AM242" s="106" t="n">
        <v>144246.845307486</v>
      </c>
      <c r="AN242" s="106" t="n">
        <v>41549</v>
      </c>
      <c r="AO242" s="115" t="n">
        <v>346410.78745842</v>
      </c>
      <c r="AP242" s="112" t="n">
        <f aca="false" ca="false" dt2D="false" dtr="false" t="normal">+N242-'Приложение №2'!E242</f>
        <v>0</v>
      </c>
      <c r="AQ242" s="1" t="n">
        <v>895754.39</v>
      </c>
      <c r="AR242" s="3" t="n">
        <f aca="false" ca="false" dt2D="false" dtr="false" t="normal">+(K242*10+L242*20)*12*0.85</f>
        <v>262303.2</v>
      </c>
      <c r="AS242" s="3" t="n">
        <f aca="false" ca="false" dt2D="false" dtr="false" t="normal">+(K242*10+L242*20)*12*30</f>
        <v>9257760</v>
      </c>
      <c r="AT242" s="9" t="n">
        <f aca="false" ca="false" dt2D="false" dtr="false" t="normal">+S242-AS242</f>
        <v>-6473041.70745842</v>
      </c>
      <c r="AU242" s="9" t="e">
        <f aca="false" ca="false" dt2D="false" dtr="false" t="normal">+P242-'[5]Приложение №1'!$P263</f>
        <v>#REF!</v>
      </c>
      <c r="AV242" s="9" t="e">
        <f aca="false" ca="false" dt2D="false" dtr="false" t="normal">+Q242-'[5]Приложение №1'!$Q263</f>
        <v>#REF!</v>
      </c>
      <c r="AW242" s="113" t="n">
        <f aca="false" ca="true" dt2D="false" dtr="false" t="normal">SUBTOTAL(9, AX242:BL242)</f>
        <v>6788793.292765906</v>
      </c>
      <c r="AX242" s="106" t="n">
        <v>0</v>
      </c>
      <c r="AY242" s="106" t="n">
        <v>0</v>
      </c>
      <c r="AZ242" s="106" t="n">
        <v>0</v>
      </c>
      <c r="BA242" s="106" t="n">
        <v>0</v>
      </c>
      <c r="BB242" s="106" t="n">
        <v>0</v>
      </c>
      <c r="BC242" s="106" t="n"/>
      <c r="BD242" s="106" t="n"/>
      <c r="BE242" s="106" t="n">
        <v>0</v>
      </c>
      <c r="BF242" s="106" t="n">
        <v>6256586.66</v>
      </c>
      <c r="BG242" s="106" t="n">
        <v>0</v>
      </c>
      <c r="BH242" s="106" t="n">
        <v>0</v>
      </c>
      <c r="BI242" s="106" t="n">
        <v>0</v>
      </c>
      <c r="BJ242" s="106" t="n">
        <v>144246.845307486</v>
      </c>
      <c r="BK242" s="106" t="n">
        <f aca="false" ca="false" dt2D="false" dtr="false" t="normal">41549</f>
        <v>41549</v>
      </c>
      <c r="BL242" s="187" t="n">
        <v>346410.78745842</v>
      </c>
      <c r="BM242" s="113" t="n">
        <f aca="false" ca="true" dt2D="false" dtr="false" t="normal">SUBTOTAL(9, BN242:CB242)</f>
        <v>9414316.472765906</v>
      </c>
      <c r="BN242" s="106" t="n">
        <v>0</v>
      </c>
      <c r="BO242" s="106" t="n">
        <v>0</v>
      </c>
      <c r="BP242" s="106" t="n">
        <v>0</v>
      </c>
      <c r="BQ242" s="106" t="n">
        <v>0</v>
      </c>
      <c r="BR242" s="106" t="n">
        <v>0</v>
      </c>
      <c r="BS242" s="106" t="n"/>
      <c r="BT242" s="106" t="n"/>
      <c r="BU242" s="106" t="n">
        <v>0</v>
      </c>
      <c r="BV242" s="106" t="n">
        <v>8882109.84</v>
      </c>
      <c r="BW242" s="106" t="n">
        <v>0</v>
      </c>
      <c r="BX242" s="106" t="n">
        <v>0</v>
      </c>
      <c r="BY242" s="106" t="n">
        <v>0</v>
      </c>
      <c r="BZ242" s="106" t="n">
        <v>144246.845307486</v>
      </c>
      <c r="CA242" s="106" t="n">
        <f aca="false" ca="false" dt2D="false" dtr="false" t="normal">41549</f>
        <v>41549</v>
      </c>
      <c r="CB242" s="115" t="n">
        <v>346410.78745842</v>
      </c>
      <c r="CD242" s="116" t="n">
        <f aca="false" ca="false" dt2D="false" dtr="false" t="normal">+CD241+1</f>
        <v>223</v>
      </c>
      <c r="CE242" s="117" t="n">
        <f aca="false" ca="false" dt2D="false" dtr="false" t="normal">+CE241+1</f>
        <v>35</v>
      </c>
      <c r="CF242" s="104" t="s">
        <v>111</v>
      </c>
      <c r="CG242" s="117" t="s">
        <v>334</v>
      </c>
      <c r="CH242" s="118" t="n">
        <f aca="false" ca="true" dt2D="false" dtr="false" t="normal">SUBTOTAL(9, CI242:CW242)</f>
        <v>9396767.472765906</v>
      </c>
      <c r="CI242" s="114" t="n">
        <v>0</v>
      </c>
      <c r="CJ242" s="114" t="n">
        <v>0</v>
      </c>
      <c r="CK242" s="114" t="n">
        <v>0</v>
      </c>
      <c r="CL242" s="114" t="n">
        <v>0</v>
      </c>
      <c r="CM242" s="114" t="n">
        <v>0</v>
      </c>
      <c r="CN242" s="114" t="n"/>
      <c r="CO242" s="114" t="n"/>
      <c r="CP242" s="114" t="n">
        <v>0</v>
      </c>
      <c r="CQ242" s="114" t="n">
        <v>8882109.84</v>
      </c>
      <c r="CR242" s="114" t="n">
        <v>0</v>
      </c>
      <c r="CS242" s="114" t="n">
        <v>0</v>
      </c>
      <c r="CT242" s="114" t="n">
        <v>0</v>
      </c>
      <c r="CU242" s="114" t="n">
        <v>144246.845307486</v>
      </c>
      <c r="CV242" s="114" t="n">
        <v>24000</v>
      </c>
      <c r="CW242" s="115" t="n">
        <v>346410.78745842</v>
      </c>
      <c r="CZ242" s="117" t="s">
        <v>334</v>
      </c>
      <c r="DA242" s="119" t="n">
        <f aca="false" ca="true" dt2D="false" dtr="false" t="normal">SUBTOTAL(9, DB242:DP242)</f>
        <v>9050356.685307486</v>
      </c>
      <c r="DB242" s="114" t="n">
        <v>0</v>
      </c>
      <c r="DC242" s="114" t="n">
        <v>0</v>
      </c>
      <c r="DD242" s="114" t="n">
        <v>0</v>
      </c>
      <c r="DE242" s="114" t="n">
        <v>0</v>
      </c>
      <c r="DF242" s="114" t="n">
        <v>0</v>
      </c>
      <c r="DG242" s="114" t="n"/>
      <c r="DH242" s="114" t="n"/>
      <c r="DI242" s="114" t="n">
        <v>0</v>
      </c>
      <c r="DJ242" s="114" t="n">
        <v>8882109.84</v>
      </c>
      <c r="DK242" s="114" t="n">
        <v>0</v>
      </c>
      <c r="DL242" s="114" t="n">
        <v>0</v>
      </c>
      <c r="DM242" s="114" t="n">
        <v>0</v>
      </c>
      <c r="DN242" s="114" t="n">
        <v>144246.845307486</v>
      </c>
      <c r="DO242" s="114" t="n">
        <v>24000</v>
      </c>
      <c r="DP242" s="122" t="n"/>
      <c r="DQ242" s="3" t="n">
        <f aca="false" ca="false" dt2D="false" dtr="false" t="normal">N242-DA242</f>
        <v>0</v>
      </c>
      <c r="DS242" s="9" t="n"/>
    </row>
    <row customFormat="true" hidden="false" ht="15" outlineLevel="0" r="243" s="129">
      <c r="A243" s="183" t="n">
        <f aca="false" ca="false" dt2D="false" dtr="false" t="normal">+A242+1</f>
        <v>224</v>
      </c>
      <c r="B243" s="184" t="n">
        <f aca="false" ca="false" dt2D="false" dtr="false" t="normal">+B242+1</f>
        <v>36</v>
      </c>
      <c r="C243" s="104" t="s">
        <v>111</v>
      </c>
      <c r="D243" s="104" t="s">
        <v>335</v>
      </c>
      <c r="E243" s="105" t="n">
        <v>1959</v>
      </c>
      <c r="F243" s="105" t="n"/>
      <c r="G243" s="105" t="s">
        <v>68</v>
      </c>
      <c r="H243" s="105" t="n">
        <v>4</v>
      </c>
      <c r="I243" s="105" t="n">
        <v>3</v>
      </c>
      <c r="J243" s="106" t="n">
        <v>2378.2</v>
      </c>
      <c r="K243" s="106" t="n">
        <v>1790.7</v>
      </c>
      <c r="L243" s="106" t="n">
        <v>587.5</v>
      </c>
      <c r="M243" s="107" t="n">
        <v>74</v>
      </c>
      <c r="N243" s="108" t="n">
        <f aca="false" ca="false" dt2D="false" dtr="false" t="normal">SUM(P243:T243)</f>
        <v>3508963.12</v>
      </c>
      <c r="O243" s="106" t="n"/>
      <c r="P243" s="114" t="n">
        <v>0</v>
      </c>
      <c r="Q243" s="114" t="n"/>
      <c r="R243" s="114" t="n">
        <v>909473.4</v>
      </c>
      <c r="S243" s="114" t="n">
        <v>2599489.72</v>
      </c>
      <c r="T243" s="106" t="n"/>
      <c r="U243" s="114" t="n">
        <v>1959.54828837885</v>
      </c>
      <c r="V243" s="114" t="n">
        <v>1173.283020064</v>
      </c>
      <c r="W243" s="185" t="n">
        <v>2023</v>
      </c>
      <c r="AA243" s="130" t="n"/>
      <c r="AD243" s="130" t="n"/>
      <c r="AP243" s="112" t="n">
        <f aca="false" ca="false" dt2D="false" dtr="false" t="normal">+N243-'Приложение №2'!E243</f>
        <v>0</v>
      </c>
      <c r="AQ243" s="135" t="n">
        <v>863803.68</v>
      </c>
      <c r="AR243" s="3" t="n">
        <f aca="false" ca="false" dt2D="false" dtr="false" t="normal">+(K243*13.29+L243*22.52)*12*0.85</f>
        <v>377694.8106</v>
      </c>
      <c r="AS243" s="3" t="n">
        <f aca="false" ca="false" dt2D="false" dtr="false" t="normal">+(K243*10+L243*20)*12*30</f>
        <v>10676520</v>
      </c>
      <c r="AT243" s="9" t="n">
        <f aca="false" ca="false" dt2D="false" dtr="false" t="normal">+S243-AS243</f>
        <v>-8077030.279999999</v>
      </c>
      <c r="AW243" s="113" t="n">
        <f aca="false" ca="true" dt2D="false" dtr="false" t="normal">SUBTOTAL(9, AX243:BL243)</f>
        <v>3508963.12</v>
      </c>
      <c r="AX243" s="113" t="n">
        <v>3508963.12</v>
      </c>
      <c r="AY243" s="113" t="n"/>
      <c r="AZ243" s="113" t="n"/>
      <c r="BA243" s="113" t="n"/>
      <c r="BB243" s="113" t="n"/>
      <c r="BC243" s="113" t="n"/>
      <c r="BD243" s="113" t="n"/>
      <c r="BE243" s="113" t="n"/>
      <c r="BF243" s="113" t="n"/>
      <c r="BG243" s="113" t="n"/>
      <c r="BH243" s="113" t="n"/>
      <c r="BI243" s="113" t="n"/>
      <c r="BJ243" s="113" t="n"/>
      <c r="BK243" s="113" t="n"/>
      <c r="BL243" s="200" t="n"/>
      <c r="BM243" s="113" t="n">
        <f aca="false" ca="true" dt2D="false" dtr="false" t="normal">SUBTOTAL(9, BN243:CB243)</f>
        <v>3508963.12</v>
      </c>
      <c r="BN243" s="113" t="n">
        <v>3508963.12</v>
      </c>
      <c r="BO243" s="113" t="n"/>
      <c r="BP243" s="113" t="n"/>
      <c r="BQ243" s="113" t="n"/>
      <c r="BR243" s="113" t="n"/>
      <c r="BS243" s="113" t="n"/>
      <c r="BT243" s="113" t="n"/>
      <c r="BU243" s="113" t="n"/>
      <c r="BV243" s="113" t="n"/>
      <c r="BW243" s="113" t="n"/>
      <c r="BX243" s="113" t="n"/>
      <c r="BY243" s="113" t="n"/>
      <c r="BZ243" s="113" t="n"/>
      <c r="CA243" s="113" t="n"/>
      <c r="CB243" s="200" t="n"/>
      <c r="CD243" s="116" t="n">
        <f aca="false" ca="false" dt2D="false" dtr="false" t="normal">+CD242+1</f>
        <v>224</v>
      </c>
      <c r="CE243" s="117" t="n">
        <f aca="false" ca="false" dt2D="false" dtr="false" t="normal">+CE242+1</f>
        <v>36</v>
      </c>
      <c r="CF243" s="104" t="s">
        <v>111</v>
      </c>
      <c r="CG243" s="117" t="s">
        <v>335</v>
      </c>
      <c r="CH243" s="118" t="n">
        <f aca="false" ca="true" dt2D="false" dtr="false" t="normal">SUBTOTAL(9, CI243:CW243)</f>
        <v>3508963.12</v>
      </c>
      <c r="CI243" s="114" t="n">
        <v>3508963.12</v>
      </c>
      <c r="CJ243" s="114" t="n"/>
      <c r="CK243" s="114" t="n"/>
      <c r="CL243" s="114" t="n"/>
      <c r="CM243" s="114" t="n"/>
      <c r="CN243" s="114" t="n"/>
      <c r="CO243" s="114" t="n"/>
      <c r="CP243" s="114" t="n"/>
      <c r="CQ243" s="114" t="n"/>
      <c r="CR243" s="114" t="n"/>
      <c r="CS243" s="114" t="n"/>
      <c r="CT243" s="114" t="n"/>
      <c r="CU243" s="114" t="n"/>
      <c r="CV243" s="114" t="n"/>
      <c r="CW243" s="115" t="n"/>
      <c r="CZ243" s="117" t="s">
        <v>335</v>
      </c>
      <c r="DA243" s="119" t="n">
        <f aca="false" ca="true" dt2D="false" dtr="false" t="normal">SUBTOTAL(9, DB243:DP243)</f>
        <v>3508963.12</v>
      </c>
      <c r="DB243" s="114" t="n">
        <v>3508963.12</v>
      </c>
      <c r="DC243" s="114" t="n"/>
      <c r="DD243" s="114" t="n"/>
      <c r="DE243" s="114" t="n"/>
      <c r="DF243" s="114" t="n"/>
      <c r="DG243" s="114" t="n"/>
      <c r="DH243" s="114" t="n"/>
      <c r="DI243" s="114" t="n"/>
      <c r="DJ243" s="114" t="n"/>
      <c r="DK243" s="114" t="n"/>
      <c r="DL243" s="114" t="n"/>
      <c r="DM243" s="114" t="n"/>
      <c r="DN243" s="114" t="n"/>
      <c r="DO243" s="114" t="n"/>
      <c r="DP243" s="115" t="n"/>
      <c r="DQ243" s="3" t="n">
        <f aca="false" ca="false" dt2D="false" dtr="false" t="normal">N243-DA243</f>
        <v>0</v>
      </c>
      <c r="DS243" s="9" t="n"/>
    </row>
    <row hidden="false" ht="15" outlineLevel="0" r="244">
      <c r="A244" s="183" t="n">
        <f aca="false" ca="false" dt2D="false" dtr="false" t="normal">+A243+1</f>
        <v>225</v>
      </c>
      <c r="B244" s="184" t="n">
        <f aca="false" ca="false" dt2D="false" dtr="false" t="normal">+B243+1</f>
        <v>37</v>
      </c>
      <c r="C244" s="117" t="s">
        <v>111</v>
      </c>
      <c r="D244" s="117" t="s">
        <v>129</v>
      </c>
      <c r="E244" s="105" t="n">
        <v>1968</v>
      </c>
      <c r="F244" s="105" t="n">
        <v>2013</v>
      </c>
      <c r="G244" s="105" t="s">
        <v>68</v>
      </c>
      <c r="H244" s="105" t="n">
        <v>5</v>
      </c>
      <c r="I244" s="105" t="n">
        <v>4</v>
      </c>
      <c r="J244" s="106" t="n">
        <v>3228.9</v>
      </c>
      <c r="K244" s="106" t="n">
        <v>2518.9</v>
      </c>
      <c r="L244" s="106" t="n">
        <v>710</v>
      </c>
      <c r="M244" s="107" t="n">
        <v>136</v>
      </c>
      <c r="N244" s="108" t="n">
        <f aca="false" ca="false" dt2D="false" dtr="false" t="normal">SUM(P244:T244)</f>
        <v>13790763.79</v>
      </c>
      <c r="O244" s="114" t="n"/>
      <c r="P244" s="114" t="n">
        <f aca="false" ca="false" dt2D="false" dtr="false" t="normal">1321795.74+6508327.07</f>
        <v>7830122.8100000005</v>
      </c>
      <c r="Q244" s="114" t="n"/>
      <c r="R244" s="114" t="n">
        <v>628700.87</v>
      </c>
      <c r="S244" s="114" t="n">
        <v>5331940.11</v>
      </c>
      <c r="T244" s="190" t="n"/>
      <c r="U244" s="114" t="n">
        <v>9513.91060894277</v>
      </c>
      <c r="V244" s="114" t="n">
        <v>1259.283020064</v>
      </c>
      <c r="W244" s="185" t="n">
        <v>2023</v>
      </c>
      <c r="X244" s="9" t="e">
        <f aca="false" ca="false" dt2D="false" dtr="false" t="normal">+#REF!-'[9]Приложение №1'!$P1591</f>
        <v>#REF!</v>
      </c>
      <c r="Z244" s="113" t="n">
        <f aca="false" ca="false" dt2D="false" dtr="false" t="normal">SUM(AA244:AO244)</f>
        <v>27107198.400000002</v>
      </c>
      <c r="AA244" s="106" t="n">
        <v>5940143.10638658</v>
      </c>
      <c r="AB244" s="106" t="n">
        <v>2116717.19237958</v>
      </c>
      <c r="AC244" s="106" t="n">
        <v>2211498.4827243</v>
      </c>
      <c r="AD244" s="106" t="n">
        <v>1384537.88247348</v>
      </c>
      <c r="AE244" s="106" t="n">
        <v>847110.81731472</v>
      </c>
      <c r="AF244" s="106" t="n"/>
      <c r="AG244" s="106" t="n">
        <v>227939.55009504</v>
      </c>
      <c r="AH244" s="106" t="n">
        <v>0</v>
      </c>
      <c r="AI244" s="106" t="n">
        <v>10859485.4122104</v>
      </c>
      <c r="AJ244" s="106" t="n">
        <v>0</v>
      </c>
      <c r="AK244" s="106" t="n">
        <v>0</v>
      </c>
      <c r="AL244" s="106" t="n">
        <v>0</v>
      </c>
      <c r="AM244" s="106" t="n">
        <v>2732884.5975</v>
      </c>
      <c r="AN244" s="114" t="n">
        <v>271071.984</v>
      </c>
      <c r="AO244" s="115" t="n">
        <v>515809.3749159</v>
      </c>
      <c r="AP244" s="112" t="n">
        <f aca="false" ca="false" dt2D="false" dtr="false" t="normal">+N244-'Приложение №2'!E244</f>
        <v>0</v>
      </c>
      <c r="AQ244" s="9" t="n">
        <f aca="false" ca="false" dt2D="false" dtr="false" t="normal">2448991.46-R69</f>
        <v>1330587.417738</v>
      </c>
      <c r="AR244" s="3" t="n">
        <f aca="false" ca="false" dt2D="false" dtr="false" t="normal">+(K244*10.5+L244*21)*12*0.85</f>
        <v>421856.18999999994</v>
      </c>
      <c r="AS244" s="3" t="n">
        <f aca="false" ca="false" dt2D="false" dtr="false" t="normal">+(K244*10.5+L244*21)*12*30</f>
        <v>14889041.999999998</v>
      </c>
      <c r="AT244" s="9" t="n">
        <f aca="false" ca="false" dt2D="false" dtr="false" t="normal">+S244-AS244</f>
        <v>-9557101.889999997</v>
      </c>
      <c r="AU244" s="9" t="e">
        <f aca="false" ca="false" dt2D="false" dtr="false" t="normal">+P244-'[5]Приложение №1'!$P542</f>
        <v>#REF!</v>
      </c>
      <c r="AV244" s="9" t="e">
        <f aca="false" ca="false" dt2D="false" dtr="false" t="normal">+Q244-'[5]Приложение №1'!$Q542</f>
        <v>#REF!</v>
      </c>
      <c r="AW244" s="186" t="n">
        <f aca="false" ca="true" dt2D="false" dtr="false" t="normal">SUBTOTAL(9, AX244:BL244)</f>
        <v>23964589.43286594</v>
      </c>
      <c r="AX244" s="106" t="n">
        <v>6033410.33</v>
      </c>
      <c r="AY244" s="106" t="n">
        <v>2116717.19237958</v>
      </c>
      <c r="AZ244" s="106" t="n">
        <v>2211498.4827243</v>
      </c>
      <c r="BA244" s="106" t="n">
        <v>2020165.83</v>
      </c>
      <c r="BB244" s="106" t="n"/>
      <c r="BC244" s="106" t="n"/>
      <c r="BD244" s="106" t="n">
        <v>227939.55009504</v>
      </c>
      <c r="BE244" s="106" t="n">
        <v>0</v>
      </c>
      <c r="BF244" s="106" t="n">
        <v>10859485.4122104</v>
      </c>
      <c r="BG244" s="106" t="n">
        <v>0</v>
      </c>
      <c r="BH244" s="106" t="n">
        <v>0</v>
      </c>
      <c r="BI244" s="106" t="n">
        <v>0</v>
      </c>
      <c r="BJ244" s="106" t="n"/>
      <c r="BK244" s="114" t="n"/>
      <c r="BL244" s="187" t="n">
        <v>495372.63545662</v>
      </c>
      <c r="BM244" s="186" t="n">
        <f aca="false" ca="true" dt2D="false" dtr="false" t="normal">SUBTOTAL(9, BN244:CB244)</f>
        <v>22460885.300655544</v>
      </c>
      <c r="BN244" s="106" t="n">
        <v>6033410.33</v>
      </c>
      <c r="BO244" s="106" t="n">
        <v>2116717.19237958</v>
      </c>
      <c r="BP244" s="106" t="n">
        <v>2211498.4827243</v>
      </c>
      <c r="BQ244" s="106" t="n">
        <v>2020165.83</v>
      </c>
      <c r="BR244" s="106" t="n"/>
      <c r="BS244" s="106" t="n"/>
      <c r="BT244" s="106" t="n">
        <v>227939.55009504</v>
      </c>
      <c r="BU244" s="106" t="n">
        <v>0</v>
      </c>
      <c r="BV244" s="192" t="n">
        <v>9355781.28</v>
      </c>
      <c r="BW244" s="106" t="n">
        <v>0</v>
      </c>
      <c r="BX244" s="106" t="n">
        <v>0</v>
      </c>
      <c r="BY244" s="106" t="n">
        <v>0</v>
      </c>
      <c r="BZ244" s="106" t="n"/>
      <c r="CA244" s="114" t="n"/>
      <c r="CB244" s="115" t="n">
        <v>495372.63545662</v>
      </c>
      <c r="CD244" s="116" t="n">
        <f aca="false" ca="false" dt2D="false" dtr="false" t="normal">+CD243+1</f>
        <v>225</v>
      </c>
      <c r="CE244" s="117" t="n">
        <f aca="false" ca="false" dt2D="false" dtr="false" t="normal">+CE243+1</f>
        <v>37</v>
      </c>
      <c r="CF244" s="104" t="s">
        <v>111</v>
      </c>
      <c r="CG244" s="117" t="s">
        <v>129</v>
      </c>
      <c r="CH244" s="188" t="n">
        <f aca="false" ca="true" dt2D="false" dtr="false" t="normal">SUBTOTAL(9, CI244:CW244)</f>
        <v>14286136.425456619</v>
      </c>
      <c r="CI244" s="114" t="n">
        <v>4434982.51</v>
      </c>
      <c r="CJ244" s="114" t="n"/>
      <c r="CK244" s="114" t="n"/>
      <c r="CL244" s="114" t="n"/>
      <c r="CM244" s="114" t="n"/>
      <c r="CN244" s="114" t="n"/>
      <c r="CO244" s="114" t="n"/>
      <c r="CP244" s="114" t="n">
        <v>0</v>
      </c>
      <c r="CQ244" s="114" t="n">
        <v>9355781.28</v>
      </c>
      <c r="CR244" s="114" t="n">
        <v>0</v>
      </c>
      <c r="CS244" s="114" t="n">
        <v>0</v>
      </c>
      <c r="CT244" s="114" t="n">
        <v>0</v>
      </c>
      <c r="CU244" s="114" t="n"/>
      <c r="CV244" s="114" t="n"/>
      <c r="CW244" s="115" t="n">
        <v>495372.63545662</v>
      </c>
      <c r="CZ244" s="117" t="s">
        <v>129</v>
      </c>
      <c r="DA244" s="189" t="n">
        <f aca="false" ca="true" dt2D="false" dtr="false" t="normal">SUBTOTAL(9, DB244:DP244)</f>
        <v>13790763.79</v>
      </c>
      <c r="DB244" s="114" t="n">
        <v>4434982.51</v>
      </c>
      <c r="DC244" s="114" t="n"/>
      <c r="DD244" s="114" t="n"/>
      <c r="DE244" s="114" t="n"/>
      <c r="DF244" s="114" t="n"/>
      <c r="DG244" s="114" t="n"/>
      <c r="DH244" s="114" t="n"/>
      <c r="DI244" s="114" t="n">
        <v>0</v>
      </c>
      <c r="DJ244" s="114" t="n">
        <v>9355781.28</v>
      </c>
      <c r="DK244" s="114" t="n">
        <v>0</v>
      </c>
      <c r="DL244" s="114" t="n">
        <v>0</v>
      </c>
      <c r="DM244" s="114" t="n">
        <v>0</v>
      </c>
      <c r="DN244" s="114" t="n"/>
      <c r="DO244" s="114" t="n"/>
      <c r="DP244" s="122" t="n"/>
      <c r="DQ244" s="3" t="n">
        <f aca="false" ca="false" dt2D="false" dtr="false" t="normal">N244-DA244</f>
        <v>0</v>
      </c>
      <c r="DS244" s="9" t="n"/>
    </row>
    <row hidden="false" ht="15" outlineLevel="0" r="245">
      <c r="A245" s="183" t="n">
        <f aca="false" ca="false" dt2D="false" dtr="false" t="normal">+A244+1</f>
        <v>226</v>
      </c>
      <c r="B245" s="184" t="n">
        <f aca="false" ca="false" dt2D="false" dtr="false" t="normal">+B244+1</f>
        <v>38</v>
      </c>
      <c r="C245" s="104" t="s">
        <v>111</v>
      </c>
      <c r="D245" s="104" t="s">
        <v>131</v>
      </c>
      <c r="E245" s="105" t="n">
        <v>1963</v>
      </c>
      <c r="F245" s="105" t="n">
        <v>2013</v>
      </c>
      <c r="G245" s="105" t="s">
        <v>68</v>
      </c>
      <c r="H245" s="105" t="n">
        <v>4</v>
      </c>
      <c r="I245" s="105" t="n">
        <v>3</v>
      </c>
      <c r="J245" s="106" t="n">
        <v>2328.4</v>
      </c>
      <c r="K245" s="106" t="n">
        <v>1950.9</v>
      </c>
      <c r="L245" s="106" t="n">
        <v>377.5</v>
      </c>
      <c r="M245" s="107" t="n">
        <v>49</v>
      </c>
      <c r="N245" s="108" t="n">
        <f aca="false" ca="false" dt2D="false" dtr="false" t="normal">SUM(P245:T245)</f>
        <v>869774.96</v>
      </c>
      <c r="O245" s="106" t="n"/>
      <c r="P245" s="114" t="n"/>
      <c r="Q245" s="114" t="n"/>
      <c r="R245" s="114" t="n">
        <v>123299.36</v>
      </c>
      <c r="S245" s="114" t="n">
        <v>746475.6</v>
      </c>
      <c r="T245" s="106" t="n"/>
      <c r="U245" s="114" t="n">
        <v>463.458573104896</v>
      </c>
      <c r="V245" s="114" t="n">
        <v>463.458573104896</v>
      </c>
      <c r="W245" s="185" t="n">
        <v>2023</v>
      </c>
      <c r="X245" s="9" t="e">
        <f aca="false" ca="false" dt2D="false" dtr="false" t="normal">+#REF!-'[9]Приложение №1'!$P1615</f>
        <v>#REF!</v>
      </c>
      <c r="Z245" s="113" t="n">
        <f aca="false" ca="false" dt2D="false" dtr="false" t="normal">SUM(AA245:AO245)</f>
        <v>11906775.32</v>
      </c>
      <c r="AA245" s="106" t="n">
        <v>4786275.21920184</v>
      </c>
      <c r="AB245" s="106" t="n">
        <v>1705546.6285494</v>
      </c>
      <c r="AC245" s="106" t="n">
        <v>1781916.73519272</v>
      </c>
      <c r="AD245" s="106" t="n">
        <v>1115592.54137688</v>
      </c>
      <c r="AE245" s="106" t="n">
        <v>682560.24163362</v>
      </c>
      <c r="AF245" s="106" t="n"/>
      <c r="AG245" s="106" t="n">
        <v>183662.48366172</v>
      </c>
      <c r="AH245" s="106" t="n">
        <v>0</v>
      </c>
      <c r="AI245" s="106" t="n">
        <v>0</v>
      </c>
      <c r="AJ245" s="106" t="n">
        <v>0</v>
      </c>
      <c r="AK245" s="106" t="n">
        <v>0</v>
      </c>
      <c r="AL245" s="106" t="n">
        <v>0</v>
      </c>
      <c r="AM245" s="106" t="n">
        <v>1307885.5255</v>
      </c>
      <c r="AN245" s="114" t="n">
        <v>119067.7532</v>
      </c>
      <c r="AO245" s="115" t="n">
        <v>224268.19168382</v>
      </c>
      <c r="AP245" s="112" t="n">
        <f aca="false" ca="false" dt2D="false" dtr="false" t="normal">+N245-'Приложение №2'!E245</f>
        <v>0</v>
      </c>
      <c r="AQ245" s="9" t="n">
        <f aca="false" ca="false" dt2D="false" dtr="false" t="normal">1234380.76-R71</f>
        <v>473105.86838256</v>
      </c>
      <c r="AR245" s="3" t="n">
        <f aca="false" ca="false" dt2D="false" dtr="false" t="normal">+(K245*10+L245*20)*12*0.85</f>
        <v>276001.8</v>
      </c>
      <c r="AS245" s="3" t="n">
        <f aca="false" ca="false" dt2D="false" dtr="false" t="normal">+(K245*10+L245*20)*12*30-S71</f>
        <v>6112579.241617439</v>
      </c>
      <c r="AT245" s="9" t="n">
        <f aca="false" ca="false" dt2D="false" dtr="false" t="normal">+S245-AS245</f>
        <v>-5366103.64161744</v>
      </c>
      <c r="AW245" s="113" t="n">
        <f aca="false" ca="true" dt2D="false" dtr="false" t="normal">SUBTOTAL(9, AX245:BL245)</f>
        <v>1079116.94161744</v>
      </c>
      <c r="AX245" s="13" t="n"/>
      <c r="AY245" s="13" t="n"/>
      <c r="AZ245" s="13" t="n"/>
      <c r="BA245" s="106" t="n"/>
      <c r="BB245" s="106" t="n">
        <v>869774.96</v>
      </c>
      <c r="BC245" s="106" t="n"/>
      <c r="BD245" s="106" t="n"/>
      <c r="BE245" s="106" t="n">
        <v>0</v>
      </c>
      <c r="BF245" s="106" t="n">
        <v>0</v>
      </c>
      <c r="BG245" s="106" t="n">
        <v>0</v>
      </c>
      <c r="BH245" s="106" t="n">
        <v>0</v>
      </c>
      <c r="BI245" s="106" t="n">
        <v>0</v>
      </c>
      <c r="BJ245" s="106" t="n"/>
      <c r="BK245" s="114" t="n"/>
      <c r="BL245" s="187" t="n">
        <v>209341.98161744</v>
      </c>
      <c r="BM245" s="113" t="n">
        <f aca="false" ca="true" dt2D="false" dtr="false" t="normal">SUBTOTAL(9, BN245:CB245)</f>
        <v>1079116.94161744</v>
      </c>
      <c r="BN245" s="13" t="n"/>
      <c r="BO245" s="13" t="n"/>
      <c r="BP245" s="13" t="n"/>
      <c r="BQ245" s="106" t="n"/>
      <c r="BR245" s="106" t="n">
        <v>869774.96</v>
      </c>
      <c r="BS245" s="106" t="n"/>
      <c r="BT245" s="106" t="n"/>
      <c r="BU245" s="106" t="n">
        <v>0</v>
      </c>
      <c r="BV245" s="106" t="n">
        <v>0</v>
      </c>
      <c r="BW245" s="106" t="n">
        <v>0</v>
      </c>
      <c r="BX245" s="106" t="n">
        <v>0</v>
      </c>
      <c r="BY245" s="106" t="n">
        <v>0</v>
      </c>
      <c r="BZ245" s="106" t="n"/>
      <c r="CA245" s="114" t="n"/>
      <c r="CB245" s="115" t="n">
        <v>209341.98161744</v>
      </c>
      <c r="CD245" s="116" t="n">
        <f aca="false" ca="false" dt2D="false" dtr="false" t="normal">+CD244+1</f>
        <v>226</v>
      </c>
      <c r="CE245" s="117" t="n">
        <f aca="false" ca="false" dt2D="false" dtr="false" t="normal">+CE244+1</f>
        <v>38</v>
      </c>
      <c r="CF245" s="104" t="s">
        <v>111</v>
      </c>
      <c r="CG245" s="117" t="s">
        <v>131</v>
      </c>
      <c r="CH245" s="118" t="n">
        <f aca="false" ca="true" dt2D="false" dtr="false" t="normal">SUBTOTAL(9, CI245:CW245)</f>
        <v>1079116.94161744</v>
      </c>
      <c r="CI245" s="114" t="n"/>
      <c r="CJ245" s="114" t="n"/>
      <c r="CK245" s="114" t="n"/>
      <c r="CL245" s="114" t="n"/>
      <c r="CM245" s="114" t="n">
        <v>869774.96</v>
      </c>
      <c r="CN245" s="114" t="n"/>
      <c r="CO245" s="114" t="n"/>
      <c r="CP245" s="114" t="n">
        <v>0</v>
      </c>
      <c r="CQ245" s="114" t="n">
        <v>0</v>
      </c>
      <c r="CR245" s="114" t="n">
        <v>0</v>
      </c>
      <c r="CS245" s="114" t="n">
        <v>0</v>
      </c>
      <c r="CT245" s="114" t="n">
        <v>0</v>
      </c>
      <c r="CU245" s="114" t="n"/>
      <c r="CV245" s="114" t="n"/>
      <c r="CW245" s="115" t="n">
        <v>209341.98161744</v>
      </c>
      <c r="CZ245" s="117" t="s">
        <v>131</v>
      </c>
      <c r="DA245" s="119" t="n">
        <f aca="false" ca="true" dt2D="false" dtr="false" t="normal">SUBTOTAL(9, DB245:DP245)</f>
        <v>869774.96</v>
      </c>
      <c r="DB245" s="114" t="n"/>
      <c r="DC245" s="114" t="n"/>
      <c r="DD245" s="114" t="n"/>
      <c r="DE245" s="114" t="n"/>
      <c r="DF245" s="114" t="n">
        <v>869774.96</v>
      </c>
      <c r="DG245" s="114" t="n"/>
      <c r="DH245" s="114" t="n"/>
      <c r="DI245" s="114" t="n">
        <v>0</v>
      </c>
      <c r="DJ245" s="114" t="n">
        <v>0</v>
      </c>
      <c r="DK245" s="114" t="n">
        <v>0</v>
      </c>
      <c r="DL245" s="114" t="n">
        <v>0</v>
      </c>
      <c r="DM245" s="114" t="n">
        <v>0</v>
      </c>
      <c r="DN245" s="114" t="n"/>
      <c r="DO245" s="114" t="n"/>
      <c r="DP245" s="122" t="n"/>
      <c r="DQ245" s="3" t="n">
        <f aca="false" ca="false" dt2D="false" dtr="false" t="normal">N245-DA245</f>
        <v>0</v>
      </c>
      <c r="DS245" s="9" t="n"/>
    </row>
    <row hidden="false" ht="15" outlineLevel="0" r="246">
      <c r="A246" s="183" t="n">
        <f aca="false" ca="false" dt2D="false" dtr="false" t="normal">+A245+1</f>
        <v>227</v>
      </c>
      <c r="B246" s="184" t="n">
        <f aca="false" ca="false" dt2D="false" dtr="false" t="normal">+B245+1</f>
        <v>39</v>
      </c>
      <c r="C246" s="117" t="s">
        <v>111</v>
      </c>
      <c r="D246" s="117" t="s">
        <v>122</v>
      </c>
      <c r="E246" s="201" t="n">
        <v>1963</v>
      </c>
      <c r="F246" s="201" t="n">
        <v>2013</v>
      </c>
      <c r="G246" s="201" t="s">
        <v>68</v>
      </c>
      <c r="H246" s="201" t="n">
        <v>4</v>
      </c>
      <c r="I246" s="201" t="n">
        <v>4</v>
      </c>
      <c r="J246" s="114" t="n">
        <v>5268.75</v>
      </c>
      <c r="K246" s="114" t="n">
        <v>3170.15</v>
      </c>
      <c r="L246" s="114" t="n">
        <v>2098.6</v>
      </c>
      <c r="M246" s="202" t="n">
        <v>92</v>
      </c>
      <c r="N246" s="108" t="n">
        <f aca="false" ca="false" dt2D="false" dtr="false" t="normal">SUM(P246:T246)</f>
        <v>1634481.86</v>
      </c>
      <c r="O246" s="114" t="n"/>
      <c r="P246" s="114" t="n"/>
      <c r="Q246" s="114" t="n"/>
      <c r="R246" s="114" t="n">
        <v>0</v>
      </c>
      <c r="S246" s="114" t="n">
        <v>1634481.86</v>
      </c>
      <c r="T246" s="114" t="n"/>
      <c r="U246" s="114" t="n">
        <v>1029.16693988251</v>
      </c>
      <c r="V246" s="114" t="n">
        <v>1029.16693988251</v>
      </c>
      <c r="W246" s="185" t="n">
        <v>2023</v>
      </c>
      <c r="X246" s="9" t="e">
        <f aca="false" ca="false" dt2D="false" dtr="false" t="normal">+#REF!-'[9]Приложение №1'!$P1206</f>
        <v>#REF!</v>
      </c>
      <c r="Z246" s="113" t="n">
        <f aca="false" ca="false" dt2D="false" dtr="false" t="normal">SUM(AA246:AO246)</f>
        <v>55905524.456026606</v>
      </c>
      <c r="AA246" s="106" t="n">
        <v>8910375.13096359</v>
      </c>
      <c r="AB246" s="106" t="n">
        <v>3183729.76501603</v>
      </c>
      <c r="AC246" s="106" t="n">
        <v>3374754.23819906</v>
      </c>
      <c r="AD246" s="106" t="n">
        <v>2149419.79800305</v>
      </c>
      <c r="AE246" s="106" t="n">
        <v>1581654.12762</v>
      </c>
      <c r="AF246" s="106" t="n"/>
      <c r="AG246" s="106" t="n">
        <v>320562.321282</v>
      </c>
      <c r="AH246" s="106" t="n">
        <v>0</v>
      </c>
      <c r="AI246" s="106" t="n">
        <v>16307858.9365629</v>
      </c>
      <c r="AJ246" s="106" t="n">
        <v>0</v>
      </c>
      <c r="AK246" s="106" t="n">
        <v>8424086.4921022</v>
      </c>
      <c r="AL246" s="106" t="n">
        <v>9161049.13177177</v>
      </c>
      <c r="AM246" s="106" t="n">
        <v>1263665.59</v>
      </c>
      <c r="AN246" s="106" t="n">
        <v>60324.08</v>
      </c>
      <c r="AO246" s="115" t="n">
        <v>1168044.844506</v>
      </c>
      <c r="AP246" s="112" t="n">
        <f aca="false" ca="false" dt2D="false" dtr="false" t="normal">+N246-'Приложение №2'!E246</f>
        <v>0</v>
      </c>
      <c r="AQ246" s="9" t="n">
        <f aca="false" ca="false" dt2D="false" dtr="false" t="normal">3051973.41-R65</f>
        <v>-751469.6999999997</v>
      </c>
      <c r="AR246" s="3" t="n">
        <f aca="false" ca="false" dt2D="false" dtr="false" t="normal">+(K246*10+L246*20)*12*0.85</f>
        <v>751469.7</v>
      </c>
      <c r="AS246" s="3" t="n">
        <f aca="false" ca="false" dt2D="false" dtr="false" t="normal">+(K246*10+L246*20)*12*30-S65</f>
        <v>14009140.329692</v>
      </c>
      <c r="AT246" s="9" t="n">
        <f aca="false" ca="false" dt2D="false" dtr="false" t="normal">+S246-AS246</f>
        <v>-12374658.469692001</v>
      </c>
      <c r="AU246" s="9" t="e">
        <f aca="false" ca="false" dt2D="false" dtr="false" t="normal">+P246-'[5]Приложение №1'!$P266</f>
        <v>#REF!</v>
      </c>
      <c r="AV246" s="9" t="e">
        <f aca="false" ca="false" dt2D="false" dtr="false" t="normal">+Q246-'[5]Приложение №1'!$Q266</f>
        <v>#REF!</v>
      </c>
      <c r="AW246" s="113" t="n">
        <f aca="false" ca="true" dt2D="false" dtr="false" t="normal">SUBTOTAL(9, AX246:BL246)</f>
        <v>5422423.314506001</v>
      </c>
      <c r="AX246" s="106" t="n"/>
      <c r="AY246" s="106" t="n">
        <v>2634178.68</v>
      </c>
      <c r="AZ246" s="106" t="n">
        <v>1620199.79</v>
      </c>
      <c r="BB246" s="106" t="n"/>
      <c r="BC246" s="106" t="n"/>
      <c r="BD246" s="106" t="n"/>
      <c r="BE246" s="106" t="n">
        <v>0</v>
      </c>
      <c r="BF246" s="106" t="n"/>
      <c r="BG246" s="106" t="n"/>
      <c r="BH246" s="106" t="n"/>
      <c r="BI246" s="106" t="n"/>
      <c r="BJ246" s="106" t="n"/>
      <c r="BK246" s="106" t="n"/>
      <c r="BL246" s="187" t="n">
        <v>1168044.844506</v>
      </c>
      <c r="BM246" s="113" t="n">
        <f aca="false" ca="true" dt2D="false" dtr="false" t="normal">SUBTOTAL(9, BN246:CB246)</f>
        <v>5422423.314506001</v>
      </c>
      <c r="BN246" s="106" t="n"/>
      <c r="BO246" s="106" t="n">
        <v>2634178.68</v>
      </c>
      <c r="BP246" s="106" t="n">
        <v>1620199.79</v>
      </c>
      <c r="BR246" s="106" t="n"/>
      <c r="BS246" s="106" t="n"/>
      <c r="BT246" s="106" t="n"/>
      <c r="BU246" s="106" t="n">
        <v>0</v>
      </c>
      <c r="BV246" s="106" t="n"/>
      <c r="BW246" s="106" t="n"/>
      <c r="BX246" s="106" t="n"/>
      <c r="BY246" s="106" t="n"/>
      <c r="BZ246" s="106" t="n"/>
      <c r="CA246" s="106" t="n"/>
      <c r="CB246" s="115" t="n">
        <v>1168044.844506</v>
      </c>
      <c r="CD246" s="116" t="n">
        <f aca="false" ca="false" dt2D="false" dtr="false" t="normal">+CD245+1</f>
        <v>227</v>
      </c>
      <c r="CE246" s="117" t="n">
        <f aca="false" ca="false" dt2D="false" dtr="false" t="normal">+CE245+1</f>
        <v>39</v>
      </c>
      <c r="CF246" s="104" t="s">
        <v>111</v>
      </c>
      <c r="CG246" s="117" t="s">
        <v>122</v>
      </c>
      <c r="CH246" s="118" t="n">
        <f aca="false" ca="true" dt2D="false" dtr="false" t="normal">SUBTOTAL(9, CI246:CW246)</f>
        <v>2788244.634506</v>
      </c>
      <c r="CI246" s="114" t="n"/>
      <c r="CJ246" s="114" t="n"/>
      <c r="CK246" s="114" t="n">
        <v>1620199.79</v>
      </c>
      <c r="CL246" s="114" t="n"/>
      <c r="CM246" s="114" t="n"/>
      <c r="CN246" s="114" t="n"/>
      <c r="CO246" s="114" t="n"/>
      <c r="CP246" s="114" t="n">
        <v>0</v>
      </c>
      <c r="CQ246" s="114" t="n"/>
      <c r="CR246" s="114" t="n"/>
      <c r="CS246" s="114" t="n"/>
      <c r="CT246" s="114" t="n"/>
      <c r="CU246" s="114" t="n"/>
      <c r="CV246" s="114" t="n"/>
      <c r="CW246" s="115" t="n">
        <v>1168044.844506</v>
      </c>
      <c r="CZ246" s="117" t="s">
        <v>122</v>
      </c>
      <c r="DA246" s="119" t="n">
        <f aca="false" ca="true" dt2D="false" dtr="false" t="normal">SUBTOTAL(9, DB246:DP246)</f>
        <v>1634481.86</v>
      </c>
      <c r="DB246" s="114" t="n"/>
      <c r="DC246" s="114" t="n"/>
      <c r="DD246" s="114" t="n">
        <v>1620199.79</v>
      </c>
      <c r="DE246" s="114" t="n"/>
      <c r="DF246" s="114" t="n"/>
      <c r="DG246" s="114" t="n"/>
      <c r="DH246" s="114" t="n"/>
      <c r="DI246" s="114" t="n">
        <v>0</v>
      </c>
      <c r="DJ246" s="114" t="n"/>
      <c r="DK246" s="114" t="n"/>
      <c r="DL246" s="114" t="n"/>
      <c r="DM246" s="114" t="n"/>
      <c r="DN246" s="114" t="n"/>
      <c r="DO246" s="114" t="n"/>
      <c r="DP246" s="120" t="n">
        <v>14282.07</v>
      </c>
      <c r="DQ246" s="3" t="n">
        <f aca="false" ca="false" dt2D="false" dtr="false" t="normal">N246-DA246</f>
        <v>0</v>
      </c>
      <c r="DS246" s="9" t="n"/>
    </row>
    <row hidden="false" ht="15" outlineLevel="0" r="247">
      <c r="A247" s="183" t="n">
        <f aca="false" ca="false" dt2D="false" dtr="false" t="normal">+A246+1</f>
        <v>228</v>
      </c>
      <c r="B247" s="184" t="n">
        <f aca="false" ca="false" dt2D="false" dtr="false" t="normal">+B246+1</f>
        <v>40</v>
      </c>
      <c r="C247" s="117" t="s">
        <v>111</v>
      </c>
      <c r="D247" s="117" t="s">
        <v>336</v>
      </c>
      <c r="E247" s="201" t="n">
        <v>1971</v>
      </c>
      <c r="F247" s="201" t="n">
        <v>1971</v>
      </c>
      <c r="G247" s="201" t="s">
        <v>68</v>
      </c>
      <c r="H247" s="201" t="n">
        <v>1</v>
      </c>
      <c r="I247" s="201" t="n">
        <v>5</v>
      </c>
      <c r="J247" s="114" t="n">
        <v>672.9</v>
      </c>
      <c r="K247" s="114" t="n">
        <v>672.9</v>
      </c>
      <c r="L247" s="114" t="n">
        <v>0</v>
      </c>
      <c r="M247" s="202" t="n">
        <v>33</v>
      </c>
      <c r="N247" s="108" t="n">
        <f aca="false" ca="false" dt2D="false" dtr="false" t="normal">SUM(P247:T247)</f>
        <v>4289744.53</v>
      </c>
      <c r="O247" s="114" t="n"/>
      <c r="P247" s="114" t="n">
        <v>1327718.85</v>
      </c>
      <c r="Q247" s="114" t="n"/>
      <c r="R247" s="114" t="n">
        <v>389981.19</v>
      </c>
      <c r="S247" s="114" t="n">
        <v>2572044.49</v>
      </c>
      <c r="T247" s="114" t="n"/>
      <c r="U247" s="114" t="n">
        <v>6508.08184848994</v>
      </c>
      <c r="V247" s="114" t="n">
        <v>1260.283020064</v>
      </c>
      <c r="W247" s="185" t="n">
        <v>2023</v>
      </c>
      <c r="X247" s="9" t="e">
        <f aca="false" ca="false" dt2D="false" dtr="false" t="normal">+#REF!-'[9]Приложение №1'!$P392</f>
        <v>#REF!</v>
      </c>
      <c r="Z247" s="113" t="n">
        <f aca="false" ca="false" dt2D="false" dtr="false" t="normal">SUM(AA247:AO247)</f>
        <v>10663801.739999998</v>
      </c>
      <c r="AA247" s="106" t="n">
        <v>1006695.23246838</v>
      </c>
      <c r="AB247" s="106" t="n">
        <v>582199.37404272</v>
      </c>
      <c r="AC247" s="106" t="n">
        <v>615427.84556946</v>
      </c>
      <c r="AD247" s="106" t="n">
        <v>469268.9641836</v>
      </c>
      <c r="AE247" s="106" t="n">
        <v>0</v>
      </c>
      <c r="AF247" s="106" t="n"/>
      <c r="AG247" s="106" t="n">
        <v>0</v>
      </c>
      <c r="AH247" s="106" t="n">
        <v>0</v>
      </c>
      <c r="AI247" s="106" t="n">
        <v>1792070.786457</v>
      </c>
      <c r="AJ247" s="106" t="n">
        <v>0</v>
      </c>
      <c r="AK247" s="106" t="n">
        <v>3479315.59778166</v>
      </c>
      <c r="AL247" s="106" t="n">
        <v>1368370.200141</v>
      </c>
      <c r="AM247" s="106" t="n">
        <v>1040151.6639</v>
      </c>
      <c r="AN247" s="114" t="n">
        <v>106638.0174</v>
      </c>
      <c r="AO247" s="115" t="n">
        <v>203664.05805618</v>
      </c>
      <c r="AP247" s="112" t="n">
        <f aca="false" ca="false" dt2D="false" dtr="false" t="normal">+N247-'Приложение №2'!E247</f>
        <v>0</v>
      </c>
      <c r="AQ247" s="121" t="n">
        <v>317913.6</v>
      </c>
      <c r="AR247" s="3" t="n">
        <f aca="false" ca="false" dt2D="false" dtr="false" t="normal">+(K247*10.5+L247*21)*12*0.85</f>
        <v>72067.59</v>
      </c>
      <c r="AS247" s="3" t="n">
        <f aca="false" ca="false" dt2D="false" dtr="false" t="normal">+(K247*10.5+L247*21)*12*30</f>
        <v>2543562</v>
      </c>
      <c r="AT247" s="9" t="n">
        <f aca="false" ca="false" dt2D="false" dtr="false" t="normal">+S247-AS247</f>
        <v>28482.490000000224</v>
      </c>
      <c r="AU247" s="9" t="e">
        <f aca="false" ca="false" dt2D="false" dtr="false" t="normal">+P247-'[5]Приложение №1'!$P543</f>
        <v>#REF!</v>
      </c>
      <c r="AV247" s="9" t="e">
        <f aca="false" ca="false" dt2D="false" dtr="false" t="normal">+Q247-'[5]Приложение №1'!$Q543</f>
        <v>#REF!</v>
      </c>
      <c r="AW247" s="186" t="n">
        <f aca="false" ca="true" dt2D="false" dtr="false" t="normal">SUBTOTAL(9, AX247:BL247)</f>
        <v>4184287.1892</v>
      </c>
      <c r="AX247" s="106" t="n"/>
      <c r="AY247" s="106" t="n"/>
      <c r="AZ247" s="106" t="n">
        <v>615427.84556946</v>
      </c>
      <c r="BA247" s="106" t="n"/>
      <c r="BB247" s="106" t="n">
        <v>0</v>
      </c>
      <c r="BC247" s="106" t="n"/>
      <c r="BD247" s="106" t="n"/>
      <c r="BE247" s="106" t="n">
        <v>0</v>
      </c>
      <c r="BF247" s="106" t="n"/>
      <c r="BG247" s="106" t="n">
        <v>0</v>
      </c>
      <c r="BH247" s="106" t="n">
        <v>3479315.59778166</v>
      </c>
      <c r="BI247" s="106" t="n"/>
      <c r="BJ247" s="106" t="n"/>
      <c r="BK247" s="114" t="n"/>
      <c r="BL247" s="187" t="n">
        <v>89543.74584888</v>
      </c>
      <c r="BM247" s="186" t="n">
        <f aca="false" ca="true" dt2D="false" dtr="false" t="normal">SUBTOTAL(9, BN247:CB247)</f>
        <v>4379288.27584888</v>
      </c>
      <c r="BN247" s="106" t="n"/>
      <c r="BO247" s="106" t="n"/>
      <c r="BP247" s="106" t="n">
        <v>1021002.86</v>
      </c>
      <c r="BQ247" s="106" t="n"/>
      <c r="BR247" s="106" t="n">
        <v>0</v>
      </c>
      <c r="BS247" s="106" t="n"/>
      <c r="BT247" s="106" t="n"/>
      <c r="BU247" s="106" t="n">
        <v>0</v>
      </c>
      <c r="BV247" s="106" t="n"/>
      <c r="BW247" s="106" t="n">
        <v>0</v>
      </c>
      <c r="BX247" s="106" t="n">
        <v>3268741.67</v>
      </c>
      <c r="BY247" s="106" t="n"/>
      <c r="BZ247" s="106" t="n"/>
      <c r="CA247" s="114" t="n"/>
      <c r="CB247" s="115" t="n">
        <v>89543.74584888</v>
      </c>
      <c r="CD247" s="116" t="n">
        <f aca="false" ca="false" dt2D="false" dtr="false" t="normal">+CD246+1</f>
        <v>228</v>
      </c>
      <c r="CE247" s="117" t="n">
        <f aca="false" ca="false" dt2D="false" dtr="false" t="normal">+CE246+1</f>
        <v>40</v>
      </c>
      <c r="CF247" s="104" t="s">
        <v>111</v>
      </c>
      <c r="CG247" s="117" t="s">
        <v>336</v>
      </c>
      <c r="CH247" s="188" t="n">
        <f aca="false" ca="true" dt2D="false" dtr="false" t="normal">SUBTOTAL(9, CI247:CW247)</f>
        <v>4379288.27584888</v>
      </c>
      <c r="CI247" s="114" t="n"/>
      <c r="CJ247" s="114" t="n"/>
      <c r="CK247" s="114" t="n">
        <v>1021002.86</v>
      </c>
      <c r="CL247" s="114" t="n"/>
      <c r="CM247" s="114" t="n">
        <v>0</v>
      </c>
      <c r="CN247" s="114" t="n"/>
      <c r="CO247" s="114" t="n"/>
      <c r="CP247" s="114" t="n">
        <v>0</v>
      </c>
      <c r="CQ247" s="114" t="n"/>
      <c r="CR247" s="114" t="n">
        <v>0</v>
      </c>
      <c r="CS247" s="114" t="n">
        <v>3268741.67</v>
      </c>
      <c r="CT247" s="114" t="n"/>
      <c r="CU247" s="114" t="n"/>
      <c r="CV247" s="114" t="n"/>
      <c r="CW247" s="115" t="n">
        <v>89543.74584888</v>
      </c>
      <c r="CZ247" s="117" t="s">
        <v>336</v>
      </c>
      <c r="DA247" s="189" t="n">
        <f aca="false" ca="true" dt2D="false" dtr="false" t="normal">SUBTOTAL(9, DB247:DP247)</f>
        <v>4289744.53</v>
      </c>
      <c r="DB247" s="114" t="n"/>
      <c r="DC247" s="114" t="n"/>
      <c r="DD247" s="114" t="n">
        <v>1021002.86</v>
      </c>
      <c r="DE247" s="114" t="n"/>
      <c r="DF247" s="114" t="n">
        <v>0</v>
      </c>
      <c r="DG247" s="114" t="n"/>
      <c r="DH247" s="114" t="n"/>
      <c r="DI247" s="114" t="n">
        <v>0</v>
      </c>
      <c r="DJ247" s="114" t="n"/>
      <c r="DK247" s="114" t="n">
        <v>0</v>
      </c>
      <c r="DL247" s="114" t="n">
        <v>3268741.67</v>
      </c>
      <c r="DM247" s="114" t="n"/>
      <c r="DN247" s="114" t="n"/>
      <c r="DO247" s="114" t="n"/>
      <c r="DP247" s="122" t="n"/>
      <c r="DQ247" s="3" t="n">
        <f aca="false" ca="false" dt2D="false" dtr="false" t="normal">N247-DA247</f>
        <v>0</v>
      </c>
      <c r="DS247" s="9" t="n"/>
    </row>
    <row hidden="false" ht="15" outlineLevel="0" r="248">
      <c r="A248" s="183" t="n">
        <f aca="false" ca="false" dt2D="false" dtr="false" t="normal">+A247+1</f>
        <v>229</v>
      </c>
      <c r="B248" s="184" t="n">
        <f aca="false" ca="false" dt2D="false" dtr="false" t="normal">+B247+1</f>
        <v>41</v>
      </c>
      <c r="C248" s="117" t="s">
        <v>111</v>
      </c>
      <c r="D248" s="117" t="s">
        <v>132</v>
      </c>
      <c r="E248" s="201" t="n">
        <v>1989</v>
      </c>
      <c r="F248" s="201" t="n">
        <v>2017</v>
      </c>
      <c r="G248" s="201" t="s">
        <v>68</v>
      </c>
      <c r="H248" s="201" t="n">
        <v>9</v>
      </c>
      <c r="I248" s="201" t="n">
        <v>3</v>
      </c>
      <c r="J248" s="114" t="n">
        <v>7106.9</v>
      </c>
      <c r="K248" s="114" t="n">
        <v>6247.4</v>
      </c>
      <c r="L248" s="114" t="n">
        <v>0</v>
      </c>
      <c r="M248" s="202" t="n">
        <v>249</v>
      </c>
      <c r="N248" s="108" t="n">
        <f aca="false" ca="false" dt2D="false" dtr="false" t="normal">SUM(P248:T248)</f>
        <v>21394398.21</v>
      </c>
      <c r="O248" s="114" t="n"/>
      <c r="P248" s="114" t="n"/>
      <c r="Q248" s="114" t="n"/>
      <c r="R248" s="114" t="n">
        <v>3566852.3592</v>
      </c>
      <c r="S248" s="114" t="n">
        <v>17827545.8508</v>
      </c>
      <c r="T248" s="114" t="n"/>
      <c r="U248" s="114" t="n">
        <v>7522.68767618924</v>
      </c>
      <c r="V248" s="114" t="n">
        <v>7522.68767618924</v>
      </c>
      <c r="W248" s="185" t="n">
        <v>2023</v>
      </c>
      <c r="X248" s="9" t="e">
        <f aca="false" ca="false" dt2D="false" dtr="false" t="normal">+#REF!-'[9]Приложение №1'!$P538</f>
        <v>#REF!</v>
      </c>
      <c r="Z248" s="113" t="n">
        <f aca="false" ca="false" dt2D="false" dtr="false" t="normal">SUM(AA248:AO248)</f>
        <v>25881031.24</v>
      </c>
      <c r="AA248" s="106" t="n"/>
      <c r="AB248" s="106" t="n"/>
      <c r="AC248" s="106" t="n"/>
      <c r="AD248" s="106" t="n"/>
      <c r="AE248" s="106" t="n">
        <v>0</v>
      </c>
      <c r="AF248" s="106" t="n"/>
      <c r="AG248" s="106" t="n"/>
      <c r="AH248" s="106" t="n">
        <v>0</v>
      </c>
      <c r="AI248" s="106" t="n"/>
      <c r="AJ248" s="106" t="n">
        <v>0</v>
      </c>
      <c r="AK248" s="106" t="n">
        <v>25881031.24</v>
      </c>
      <c r="AL248" s="106" t="n">
        <v>0</v>
      </c>
      <c r="AM248" s="106" t="n"/>
      <c r="AN248" s="114" t="n"/>
      <c r="AO248" s="115" t="n"/>
      <c r="AP248" s="112" t="n">
        <f aca="false" ca="false" dt2D="false" dtr="false" t="normal">+N248-'Приложение №2'!E248</f>
        <v>0</v>
      </c>
      <c r="AQ248" s="1" t="n">
        <v>2787898.61</v>
      </c>
      <c r="AR248" s="3" t="n">
        <f aca="false" ca="false" dt2D="false" dtr="false" t="normal">+(K248*13.29+L248*22.52)*12*0.85</f>
        <v>846885.0491999999</v>
      </c>
      <c r="AS248" s="3" t="n">
        <f aca="false" ca="false" dt2D="false" dtr="false" t="normal">+(K248*13.29+L248*22.52)*12*30-131853.4</f>
        <v>29758207.16</v>
      </c>
      <c r="AT248" s="9" t="n">
        <f aca="false" ca="false" dt2D="false" dtr="false" t="normal">+S248-AS248</f>
        <v>-11930661.3092</v>
      </c>
      <c r="AU248" s="9" t="e">
        <f aca="false" ca="false" dt2D="false" dtr="false" t="normal">+P248-'[5]Приложение №1'!$P267</f>
        <v>#REF!</v>
      </c>
      <c r="AV248" s="9" t="e">
        <f aca="false" ca="false" dt2D="false" dtr="false" t="normal">+Q248-'[5]Приложение №1'!$Q267</f>
        <v>#REF!</v>
      </c>
      <c r="AW248" s="113" t="n">
        <f aca="false" ca="true" dt2D="false" dtr="false" t="normal">SUBTOTAL(9, AX248:BL248)</f>
        <v>46997238.98822462</v>
      </c>
      <c r="AX248" s="106" t="n">
        <v>4565506.96</v>
      </c>
      <c r="AY248" s="106" t="n">
        <v>0</v>
      </c>
      <c r="AZ248" s="106" t="n">
        <v>1227624.86</v>
      </c>
      <c r="BA248" s="106" t="n"/>
      <c r="BB248" s="106" t="n">
        <v>0</v>
      </c>
      <c r="BC248" s="106" t="n"/>
      <c r="BD248" s="106" t="n"/>
      <c r="BE248" s="106" t="n">
        <v>0</v>
      </c>
      <c r="BF248" s="106" t="n"/>
      <c r="BG248" s="106" t="n">
        <v>0</v>
      </c>
      <c r="BH248" s="106" t="n">
        <v>40313035.834008</v>
      </c>
      <c r="BI248" s="106" t="n">
        <v>0</v>
      </c>
      <c r="BJ248" s="106" t="n"/>
      <c r="BK248" s="114" t="n"/>
      <c r="BL248" s="187" t="n">
        <v>891071.33421662</v>
      </c>
      <c r="BM248" s="113" t="n">
        <f aca="false" ca="true" dt2D="false" dtr="false" t="normal">SUBTOTAL(9, BN248:CB248)</f>
        <v>20197834.85421662</v>
      </c>
      <c r="BN248" s="192" t="n">
        <v>6402530.38</v>
      </c>
      <c r="BO248" s="106" t="n">
        <v>0</v>
      </c>
      <c r="BP248" s="106" t="n">
        <v>1227624.86</v>
      </c>
      <c r="BQ248" s="106" t="n"/>
      <c r="BR248" s="106" t="n">
        <v>0</v>
      </c>
      <c r="BS248" s="106" t="n"/>
      <c r="BT248" s="106" t="n"/>
      <c r="BU248" s="106" t="n">
        <v>0</v>
      </c>
      <c r="BV248" s="106" t="n"/>
      <c r="BW248" s="106" t="n">
        <v>0</v>
      </c>
      <c r="BX248" s="192" t="n">
        <v>11676608.28</v>
      </c>
      <c r="BY248" s="106" t="n">
        <v>0</v>
      </c>
      <c r="BZ248" s="106" t="n"/>
      <c r="CA248" s="114" t="n"/>
      <c r="CB248" s="115" t="n">
        <v>891071.33421662</v>
      </c>
      <c r="CD248" s="116" t="n">
        <f aca="false" ca="false" dt2D="false" dtr="false" t="normal">+CD247+1</f>
        <v>229</v>
      </c>
      <c r="CE248" s="117" t="n">
        <f aca="false" ca="false" dt2D="false" dtr="false" t="normal">+CE247+1</f>
        <v>41</v>
      </c>
      <c r="CF248" s="104" t="s">
        <v>111</v>
      </c>
      <c r="CG248" s="117" t="s">
        <v>132</v>
      </c>
      <c r="CH248" s="118" t="n">
        <f aca="false" ca="true" dt2D="false" dtr="false" t="normal">SUBTOTAL(9, CI248:CW248)</f>
        <v>22180003.614216622</v>
      </c>
      <c r="CI248" s="114" t="n"/>
      <c r="CJ248" s="114" t="n">
        <v>0</v>
      </c>
      <c r="CK248" s="114" t="n"/>
      <c r="CL248" s="114" t="n"/>
      <c r="CM248" s="114" t="n">
        <v>0</v>
      </c>
      <c r="CN248" s="114" t="n"/>
      <c r="CO248" s="114" t="n"/>
      <c r="CP248" s="114" t="n">
        <v>0</v>
      </c>
      <c r="CQ248" s="114" t="n"/>
      <c r="CR248" s="114" t="n">
        <v>0</v>
      </c>
      <c r="CS248" s="114" t="n">
        <v>21288932.28</v>
      </c>
      <c r="CT248" s="114" t="n">
        <v>0</v>
      </c>
      <c r="CU248" s="114" t="n"/>
      <c r="CV248" s="114" t="n"/>
      <c r="CW248" s="115" t="n">
        <v>891071.33421662</v>
      </c>
      <c r="CZ248" s="117" t="s">
        <v>132</v>
      </c>
      <c r="DA248" s="119" t="n">
        <f aca="false" ca="true" dt2D="false" dtr="false" t="normal">SUBTOTAL(9, DB248:DP248)</f>
        <v>21394398.21</v>
      </c>
      <c r="DB248" s="114" t="n"/>
      <c r="DC248" s="114" t="n">
        <v>0</v>
      </c>
      <c r="DD248" s="114" t="n"/>
      <c r="DE248" s="114" t="n"/>
      <c r="DF248" s="114" t="n">
        <v>0</v>
      </c>
      <c r="DG248" s="114" t="n"/>
      <c r="DH248" s="114" t="n"/>
      <c r="DI248" s="114" t="n">
        <v>0</v>
      </c>
      <c r="DJ248" s="114" t="n"/>
      <c r="DK248" s="114" t="n">
        <v>0</v>
      </c>
      <c r="DL248" s="114" t="n">
        <v>21288932.28</v>
      </c>
      <c r="DM248" s="114" t="n">
        <v>0</v>
      </c>
      <c r="DN248" s="114" t="n"/>
      <c r="DO248" s="114" t="n"/>
      <c r="DP248" s="120" t="n">
        <v>105465.93</v>
      </c>
      <c r="DQ248" s="3" t="n">
        <f aca="false" ca="false" dt2D="false" dtr="false" t="normal">N248-DA248</f>
        <v>0</v>
      </c>
      <c r="DS248" s="9" t="n"/>
    </row>
    <row hidden="false" ht="15" outlineLevel="0" r="249">
      <c r="A249" s="183" t="n">
        <f aca="false" ca="false" dt2D="false" dtr="false" t="normal">+A248+1</f>
        <v>230</v>
      </c>
      <c r="B249" s="184" t="n">
        <f aca="false" ca="false" dt2D="false" dtr="false" t="normal">+B248+1</f>
        <v>42</v>
      </c>
      <c r="C249" s="117" t="s">
        <v>111</v>
      </c>
      <c r="D249" s="117" t="s">
        <v>133</v>
      </c>
      <c r="E249" s="201" t="n">
        <v>1989</v>
      </c>
      <c r="F249" s="201" t="n">
        <v>2017</v>
      </c>
      <c r="G249" s="201" t="s">
        <v>68</v>
      </c>
      <c r="H249" s="201" t="n">
        <v>9</v>
      </c>
      <c r="I249" s="201" t="n">
        <v>3</v>
      </c>
      <c r="J249" s="114" t="n">
        <v>8049.4</v>
      </c>
      <c r="K249" s="114" t="n">
        <v>6639.6</v>
      </c>
      <c r="L249" s="114" t="n">
        <v>0</v>
      </c>
      <c r="M249" s="202" t="n">
        <v>258</v>
      </c>
      <c r="N249" s="108" t="n">
        <f aca="false" ca="false" dt2D="false" dtr="false" t="normal">SUM(P249:T249)</f>
        <v>6217970.3</v>
      </c>
      <c r="O249" s="114" t="n"/>
      <c r="P249" s="114" t="n">
        <v>394840.28</v>
      </c>
      <c r="Q249" s="114" t="n"/>
      <c r="R249" s="114" t="n">
        <v>1975930.73</v>
      </c>
      <c r="S249" s="114" t="n">
        <v>3847199.29</v>
      </c>
      <c r="T249" s="106" t="n"/>
      <c r="U249" s="106" t="n">
        <v>1291.17205516794</v>
      </c>
      <c r="V249" s="114" t="n">
        <v>1291.17205516794</v>
      </c>
      <c r="W249" s="185" t="n">
        <v>2023</v>
      </c>
      <c r="X249" s="9" t="e">
        <f aca="false" ca="false" dt2D="false" dtr="false" t="normal">+#REF!-'[9]Приложение №1'!$P1217</f>
        <v>#REF!</v>
      </c>
      <c r="Z249" s="113" t="n">
        <f aca="false" ca="false" dt2D="false" dtr="false" t="normal">SUM(AA249:AO249)</f>
        <v>34535107.58613093</v>
      </c>
      <c r="AA249" s="106" t="n">
        <v>9503098.76983194</v>
      </c>
      <c r="AB249" s="106" t="n">
        <v>0</v>
      </c>
      <c r="AC249" s="106" t="n">
        <v>6138860.89766292</v>
      </c>
      <c r="AD249" s="106" t="n">
        <v>2958309.31565568</v>
      </c>
      <c r="AE249" s="106" t="n">
        <v>0</v>
      </c>
      <c r="AF249" s="106" t="n"/>
      <c r="AG249" s="106" t="n">
        <v>715245.7676784</v>
      </c>
      <c r="AH249" s="106" t="n">
        <v>0</v>
      </c>
      <c r="AI249" s="106" t="n">
        <v>5352142.219578</v>
      </c>
      <c r="AJ249" s="106" t="n">
        <v>0</v>
      </c>
      <c r="AK249" s="106" t="n"/>
      <c r="AL249" s="106" t="n">
        <v>0</v>
      </c>
      <c r="AM249" s="106" t="n">
        <v>7589459.6136</v>
      </c>
      <c r="AN249" s="114" t="n">
        <v>782532.3664</v>
      </c>
      <c r="AO249" s="115" t="n">
        <v>1495458.635724</v>
      </c>
      <c r="AP249" s="112" t="n">
        <f aca="false" ca="false" dt2D="false" dtr="false" t="normal">+N249-'Приложение №2'!E249</f>
        <v>0</v>
      </c>
      <c r="AQ249" s="9" t="n">
        <f aca="false" ca="false" dt2D="false" dtr="false" t="normal">4261157.78-R73</f>
        <v>4261157.78</v>
      </c>
      <c r="AR249" s="3" t="n">
        <f aca="false" ca="false" dt2D="false" dtr="false" t="normal">+(K249*13.29+L249*22.52)*12*0.85</f>
        <v>900050.8968</v>
      </c>
      <c r="AS249" s="3" t="n">
        <f aca="false" ca="false" dt2D="false" dtr="false" t="normal">+(K249*13.29+L249*22.52)*12*30-14694406.85-S73</f>
        <v>14226189.110000001</v>
      </c>
      <c r="AT249" s="9" t="n">
        <f aca="false" ca="false" dt2D="false" dtr="false" t="normal">+S249-AS249</f>
        <v>-10378989.82</v>
      </c>
      <c r="AW249" s="113" t="n">
        <f aca="false" ca="true" dt2D="false" dtr="false" t="normal">SUBTOTAL(9, AX249:BL249)</f>
        <v>8572865.97749306</v>
      </c>
      <c r="AX249" s="106" t="n">
        <v>3795804.42</v>
      </c>
      <c r="AY249" s="106" t="n">
        <v>0</v>
      </c>
      <c r="AZ249" s="106" t="n">
        <v>1815463.98</v>
      </c>
      <c r="BA249" s="106" t="n">
        <v>2422165.88</v>
      </c>
      <c r="BB249" s="106" t="n">
        <v>0</v>
      </c>
      <c r="BC249" s="106" t="n"/>
      <c r="BD249" s="106" t="n"/>
      <c r="BE249" s="106" t="n">
        <v>0</v>
      </c>
      <c r="BF249" s="106" t="n"/>
      <c r="BG249" s="106" t="n">
        <v>0</v>
      </c>
      <c r="BH249" s="106" t="n"/>
      <c r="BI249" s="106" t="n">
        <v>0</v>
      </c>
      <c r="BJ249" s="106" t="n"/>
      <c r="BK249" s="114" t="n"/>
      <c r="BL249" s="187" t="n">
        <v>539431.69749306</v>
      </c>
      <c r="BM249" s="113" t="n">
        <f aca="false" ca="true" dt2D="false" dtr="false" t="normal">SUBTOTAL(9, BN249:CB249)</f>
        <v>8572865.97749306</v>
      </c>
      <c r="BN249" s="106" t="n">
        <v>3795804.42</v>
      </c>
      <c r="BO249" s="106" t="n">
        <v>0</v>
      </c>
      <c r="BP249" s="106" t="n">
        <v>1815463.98</v>
      </c>
      <c r="BQ249" s="106" t="n">
        <v>2422165.88</v>
      </c>
      <c r="BR249" s="106" t="n">
        <v>0</v>
      </c>
      <c r="BS249" s="106" t="n"/>
      <c r="BT249" s="106" t="n"/>
      <c r="BU249" s="106" t="n">
        <v>0</v>
      </c>
      <c r="BV249" s="106" t="n"/>
      <c r="BW249" s="106" t="n">
        <v>0</v>
      </c>
      <c r="BX249" s="106" t="n"/>
      <c r="BY249" s="106" t="n">
        <v>0</v>
      </c>
      <c r="BZ249" s="106" t="n"/>
      <c r="CA249" s="114" t="n"/>
      <c r="CB249" s="115" t="n">
        <v>539431.69749306</v>
      </c>
      <c r="CD249" s="116" t="n">
        <f aca="false" ca="false" dt2D="false" dtr="false" t="normal">+CD248+1</f>
        <v>230</v>
      </c>
      <c r="CE249" s="117" t="n">
        <f aca="false" ca="false" dt2D="false" dtr="false" t="normal">+CE248+1</f>
        <v>42</v>
      </c>
      <c r="CF249" s="104" t="s">
        <v>111</v>
      </c>
      <c r="CG249" s="117" t="s">
        <v>133</v>
      </c>
      <c r="CH249" s="118" t="n">
        <f aca="false" ca="true" dt2D="false" dtr="false" t="normal">SUBTOTAL(9, CI249:CW249)</f>
        <v>6757401.99749306</v>
      </c>
      <c r="CI249" s="114" t="n">
        <v>3795804.42</v>
      </c>
      <c r="CJ249" s="114" t="n">
        <v>0</v>
      </c>
      <c r="CK249" s="114" t="n"/>
      <c r="CL249" s="114" t="n">
        <v>2422165.88</v>
      </c>
      <c r="CM249" s="114" t="n">
        <v>0</v>
      </c>
      <c r="CN249" s="114" t="n"/>
      <c r="CO249" s="114" t="n"/>
      <c r="CP249" s="114" t="n">
        <v>0</v>
      </c>
      <c r="CQ249" s="114" t="n"/>
      <c r="CR249" s="114" t="n">
        <v>0</v>
      </c>
      <c r="CS249" s="114" t="n"/>
      <c r="CT249" s="114" t="n">
        <v>0</v>
      </c>
      <c r="CU249" s="114" t="n"/>
      <c r="CV249" s="114" t="n"/>
      <c r="CW249" s="115" t="n">
        <v>539431.69749306</v>
      </c>
      <c r="CZ249" s="117" t="s">
        <v>133</v>
      </c>
      <c r="DA249" s="119" t="n">
        <f aca="false" ca="true" dt2D="false" dtr="false" t="normal">SUBTOTAL(9, DB249:DP249)</f>
        <v>6217970.3</v>
      </c>
      <c r="DB249" s="114" t="n">
        <v>3795804.42</v>
      </c>
      <c r="DC249" s="114" t="n">
        <v>0</v>
      </c>
      <c r="DD249" s="114" t="n"/>
      <c r="DE249" s="114" t="n">
        <v>2422165.88</v>
      </c>
      <c r="DF249" s="114" t="n">
        <v>0</v>
      </c>
      <c r="DG249" s="114" t="n"/>
      <c r="DH249" s="114" t="n"/>
      <c r="DI249" s="114" t="n">
        <v>0</v>
      </c>
      <c r="DJ249" s="114" t="n"/>
      <c r="DK249" s="114" t="n">
        <v>0</v>
      </c>
      <c r="DL249" s="114" t="n"/>
      <c r="DM249" s="114" t="n">
        <v>0</v>
      </c>
      <c r="DN249" s="114" t="n"/>
      <c r="DO249" s="114" t="n"/>
      <c r="DP249" s="122" t="n"/>
      <c r="DQ249" s="3" t="n">
        <f aca="false" ca="false" dt2D="false" dtr="false" t="normal">N249-DA249</f>
        <v>0</v>
      </c>
      <c r="DS249" s="9" t="n"/>
    </row>
    <row hidden="false" ht="15" outlineLevel="0" r="250">
      <c r="A250" s="183" t="n">
        <f aca="false" ca="false" dt2D="false" dtr="false" t="normal">+A249+1</f>
        <v>231</v>
      </c>
      <c r="B250" s="184" t="n">
        <f aca="false" ca="false" dt2D="false" dtr="false" t="normal">+B249+1</f>
        <v>43</v>
      </c>
      <c r="C250" s="117" t="s">
        <v>111</v>
      </c>
      <c r="D250" s="117" t="s">
        <v>134</v>
      </c>
      <c r="E250" s="201" t="n">
        <v>1994</v>
      </c>
      <c r="F250" s="201" t="n">
        <v>2013</v>
      </c>
      <c r="G250" s="201" t="s">
        <v>68</v>
      </c>
      <c r="H250" s="201" t="n">
        <v>9</v>
      </c>
      <c r="I250" s="201" t="n">
        <v>3</v>
      </c>
      <c r="J250" s="114" t="n">
        <v>7891.7</v>
      </c>
      <c r="K250" s="114" t="n">
        <v>6600.8</v>
      </c>
      <c r="L250" s="114" t="n">
        <v>0</v>
      </c>
      <c r="M250" s="202" t="n">
        <v>291</v>
      </c>
      <c r="N250" s="108" t="n">
        <f aca="false" ca="false" dt2D="false" dtr="false" t="normal">SUM(P250:T250)</f>
        <v>2553789.86</v>
      </c>
      <c r="O250" s="114" t="n"/>
      <c r="P250" s="114" t="n"/>
      <c r="Q250" s="114" t="n"/>
      <c r="R250" s="114" t="n"/>
      <c r="S250" s="9" t="n">
        <v>2553789.86</v>
      </c>
      <c r="T250" s="106" t="n"/>
      <c r="U250" s="106" t="n">
        <v>1911.37085745352</v>
      </c>
      <c r="V250" s="114" t="n">
        <v>1911.37085745352</v>
      </c>
      <c r="W250" s="185" t="n">
        <v>2023</v>
      </c>
      <c r="Z250" s="113" t="n">
        <f aca="false" ca="false" dt2D="false" dtr="false" t="normal">SUM(AA250:AO250)</f>
        <v>8703397.319999998</v>
      </c>
      <c r="AA250" s="106" t="n"/>
      <c r="AB250" s="114" t="n"/>
      <c r="AC250" s="106" t="n"/>
      <c r="AD250" s="106" t="n"/>
      <c r="AE250" s="114" t="n">
        <v>0</v>
      </c>
      <c r="AF250" s="114" t="n">
        <v>0</v>
      </c>
      <c r="AG250" s="114" t="n"/>
      <c r="AH250" s="114" t="n">
        <v>8628684.86</v>
      </c>
      <c r="AI250" s="106" t="n"/>
      <c r="AJ250" s="114" t="n">
        <v>0</v>
      </c>
      <c r="AK250" s="106" t="n"/>
      <c r="AL250" s="114" t="n">
        <v>0</v>
      </c>
      <c r="AM250" s="106" t="n">
        <v>55020.37</v>
      </c>
      <c r="AN250" s="106" t="n">
        <v>19692.09</v>
      </c>
      <c r="AO250" s="111" t="n"/>
      <c r="AP250" s="112" t="n">
        <f aca="false" ca="false" dt2D="false" dtr="false" t="normal">+N250-'Приложение №2'!E250</f>
        <v>0</v>
      </c>
      <c r="AQ250" s="9" t="e">
        <f aca="false" ca="false" dt2D="false" dtr="false" t="normal">4161512.94-301266.52-3086934.55-#REF!</f>
        <v>#REF!</v>
      </c>
      <c r="AR250" s="3" t="n">
        <f aca="false" ca="false" dt2D="false" dtr="false" t="normal">+(K250*13.29+L250*22.52)*12*0.85</f>
        <v>894791.2464</v>
      </c>
      <c r="AS250" s="3" t="e">
        <f aca="false" ca="false" dt2D="false" dtr="false" t="normal">+(K250*13.29+L250*22.52)*12*30-1198680.53-8354818.57-#REF!</f>
        <v>#REF!</v>
      </c>
      <c r="AT250" s="9" t="e">
        <f aca="false" ca="false" dt2D="false" dtr="false" t="normal">+S250-AS250</f>
        <v>#REF!</v>
      </c>
      <c r="AU250" s="9" t="e">
        <f aca="false" ca="false" dt2D="false" dtr="false" t="normal">+P250-'[5]Приложение №1'!$P112</f>
        <v>#REF!</v>
      </c>
      <c r="AV250" s="9" t="e">
        <f aca="false" ca="false" dt2D="false" dtr="false" t="normal">+Q250-'[5]Приложение №1'!$Q112</f>
        <v>#REF!</v>
      </c>
      <c r="AW250" s="113" t="n">
        <f aca="false" ca="true" dt2D="false" dtr="false" t="normal">SUBTOTAL(9, AX250:BL250)</f>
        <v>12616576.755879182</v>
      </c>
      <c r="AX250" s="106" t="n">
        <v>4667209.49</v>
      </c>
      <c r="AY250" s="106" t="n">
        <v>0</v>
      </c>
      <c r="AZ250" s="106" t="n">
        <v>2134044.97</v>
      </c>
      <c r="BA250" s="106" t="n">
        <v>2451411.64</v>
      </c>
      <c r="BB250" s="106" t="n"/>
      <c r="BC250" s="106" t="n"/>
      <c r="BD250" s="106" t="n"/>
      <c r="BE250" s="106" t="n">
        <v>0</v>
      </c>
      <c r="BF250" s="106" t="n"/>
      <c r="BG250" s="106" t="n">
        <v>0</v>
      </c>
      <c r="BH250" s="106" t="n"/>
      <c r="BI250" s="106" t="n">
        <v>0</v>
      </c>
      <c r="BJ250" s="106" t="n">
        <v>2550189.857</v>
      </c>
      <c r="BK250" s="114" t="n">
        <v>278424.5693</v>
      </c>
      <c r="BL250" s="187" t="n">
        <v>535296.22957918</v>
      </c>
      <c r="BM250" s="113" t="n">
        <f aca="false" ca="true" dt2D="false" dtr="false" t="normal">SUBTOTAL(9, BN250:CB250)</f>
        <v>12616576.755879182</v>
      </c>
      <c r="BN250" s="106" t="n">
        <v>4667209.49</v>
      </c>
      <c r="BO250" s="106" t="n">
        <v>0</v>
      </c>
      <c r="BP250" s="106" t="n">
        <v>2134044.97</v>
      </c>
      <c r="BQ250" s="106" t="n">
        <v>2451411.64</v>
      </c>
      <c r="BR250" s="106" t="n"/>
      <c r="BS250" s="106" t="n"/>
      <c r="BT250" s="106" t="n"/>
      <c r="BU250" s="106" t="n">
        <v>0</v>
      </c>
      <c r="BV250" s="106" t="n"/>
      <c r="BW250" s="106" t="n">
        <v>0</v>
      </c>
      <c r="BX250" s="106" t="n"/>
      <c r="BY250" s="106" t="n">
        <v>0</v>
      </c>
      <c r="BZ250" s="106" t="n">
        <v>2550189.857</v>
      </c>
      <c r="CA250" s="114" t="n">
        <v>278424.5693</v>
      </c>
      <c r="CB250" s="115" t="n">
        <v>535296.22957918</v>
      </c>
      <c r="CD250" s="116" t="n">
        <f aca="false" ca="false" dt2D="false" dtr="false" t="normal">+CD249+1</f>
        <v>231</v>
      </c>
      <c r="CE250" s="117" t="n">
        <f aca="false" ca="false" dt2D="false" dtr="false" t="normal">+CE249+1</f>
        <v>43</v>
      </c>
      <c r="CF250" s="104" t="s">
        <v>111</v>
      </c>
      <c r="CG250" s="117" t="s">
        <v>337</v>
      </c>
      <c r="CH250" s="118" t="n">
        <f aca="false" ca="true" dt2D="false" dtr="false" t="normal">SUBTOTAL(9, CI250:CW250)</f>
        <v>3089086.0895791803</v>
      </c>
      <c r="CI250" s="114" t="n"/>
      <c r="CJ250" s="114" t="n">
        <v>0</v>
      </c>
      <c r="CK250" s="114" t="n"/>
      <c r="CL250" s="114" t="n">
        <v>2451411.64</v>
      </c>
      <c r="CM250" s="114" t="n"/>
      <c r="CN250" s="114" t="n"/>
      <c r="CO250" s="114" t="n"/>
      <c r="CP250" s="114" t="n">
        <v>0</v>
      </c>
      <c r="CQ250" s="114" t="n"/>
      <c r="CR250" s="114" t="n">
        <v>0</v>
      </c>
      <c r="CS250" s="114" t="n"/>
      <c r="CT250" s="114" t="n">
        <v>0</v>
      </c>
      <c r="CU250" s="114" t="n">
        <v>96378.22</v>
      </c>
      <c r="CV250" s="114" t="n">
        <v>6000</v>
      </c>
      <c r="CW250" s="115" t="n">
        <v>535296.22957918</v>
      </c>
      <c r="CZ250" s="117" t="s">
        <v>337</v>
      </c>
      <c r="DA250" s="119" t="n">
        <f aca="false" ca="true" dt2D="false" dtr="false" t="normal">SUBTOTAL(9, DB250:DP250)</f>
        <v>2553789.8600000003</v>
      </c>
      <c r="DB250" s="114" t="n"/>
      <c r="DC250" s="114" t="n">
        <v>0</v>
      </c>
      <c r="DD250" s="114" t="n"/>
      <c r="DE250" s="114" t="n">
        <v>2451411.64</v>
      </c>
      <c r="DF250" s="114" t="n"/>
      <c r="DG250" s="114" t="n"/>
      <c r="DH250" s="114" t="n"/>
      <c r="DI250" s="114" t="n">
        <v>0</v>
      </c>
      <c r="DJ250" s="114" t="n"/>
      <c r="DK250" s="114" t="n">
        <v>0</v>
      </c>
      <c r="DL250" s="114" t="n"/>
      <c r="DM250" s="114" t="n">
        <v>0</v>
      </c>
      <c r="DN250" s="114" t="n">
        <v>96378.22</v>
      </c>
      <c r="DO250" s="114" t="n">
        <v>6000</v>
      </c>
      <c r="DP250" s="122" t="n"/>
      <c r="DQ250" s="3" t="n">
        <f aca="false" ca="false" dt2D="false" dtr="false" t="normal">N250-DA250</f>
        <v>0</v>
      </c>
      <c r="DS250" s="9" t="n"/>
    </row>
    <row hidden="false" ht="15" outlineLevel="0" r="251">
      <c r="A251" s="183" t="n">
        <f aca="false" ca="false" dt2D="false" dtr="false" t="normal">+A250+1</f>
        <v>232</v>
      </c>
      <c r="B251" s="184" t="n">
        <f aca="false" ca="false" dt2D="false" dtr="false" t="normal">+B250+1</f>
        <v>44</v>
      </c>
      <c r="C251" s="117" t="s">
        <v>111</v>
      </c>
      <c r="D251" s="117" t="s">
        <v>135</v>
      </c>
      <c r="E251" s="201" t="n">
        <v>1987</v>
      </c>
      <c r="F251" s="201" t="n">
        <v>2013</v>
      </c>
      <c r="G251" s="201" t="s">
        <v>68</v>
      </c>
      <c r="H251" s="201" t="n">
        <v>3</v>
      </c>
      <c r="I251" s="201" t="n">
        <v>3</v>
      </c>
      <c r="J251" s="114" t="n">
        <v>1395.8</v>
      </c>
      <c r="K251" s="114" t="n">
        <v>1268</v>
      </c>
      <c r="L251" s="114" t="n">
        <v>0</v>
      </c>
      <c r="M251" s="202" t="n">
        <v>63</v>
      </c>
      <c r="N251" s="108" t="n">
        <f aca="false" ca="false" dt2D="false" dtr="false" t="normal">SUM(P251:T251)</f>
        <v>7129845.5600000005</v>
      </c>
      <c r="O251" s="114" t="n"/>
      <c r="P251" s="114" t="n">
        <v>6889278.41</v>
      </c>
      <c r="Q251" s="114" t="n"/>
      <c r="R251" s="114" t="n">
        <v>227914.34</v>
      </c>
      <c r="S251" s="114" t="n">
        <v>12652.8100000001</v>
      </c>
      <c r="T251" s="106" t="n"/>
      <c r="U251" s="106" t="n">
        <v>5956.42108192644</v>
      </c>
      <c r="V251" s="114" t="n">
        <v>5956.42108192644</v>
      </c>
      <c r="W251" s="185" t="n">
        <v>2023</v>
      </c>
      <c r="X251" s="9" t="e">
        <f aca="false" ca="false" dt2D="false" dtr="false" t="normal">+#REF!-'[9]Приложение №1'!$P656</f>
        <v>#REF!</v>
      </c>
      <c r="Z251" s="113" t="n">
        <f aca="false" ca="false" dt2D="false" dtr="false" t="normal">SUM(AA251:AO251)</f>
        <v>20424271.12</v>
      </c>
      <c r="AA251" s="106" t="n">
        <v>3880461.38125464</v>
      </c>
      <c r="AB251" s="106" t="n">
        <v>2361201.09587376</v>
      </c>
      <c r="AC251" s="106" t="n">
        <v>1112617.89379482</v>
      </c>
      <c r="AD251" s="106" t="n">
        <v>948184.974996</v>
      </c>
      <c r="AE251" s="106" t="n">
        <v>0</v>
      </c>
      <c r="AF251" s="106" t="n"/>
      <c r="AG251" s="106" t="n">
        <v>395993.45985528</v>
      </c>
      <c r="AH251" s="106" t="n">
        <v>0</v>
      </c>
      <c r="AI251" s="106" t="n">
        <v>0</v>
      </c>
      <c r="AJ251" s="106" t="n">
        <v>0</v>
      </c>
      <c r="AK251" s="106" t="n">
        <v>9178717.2150513</v>
      </c>
      <c r="AL251" s="106" t="n">
        <v>0</v>
      </c>
      <c r="AM251" s="106" t="n">
        <v>1951914.7558</v>
      </c>
      <c r="AN251" s="114" t="n">
        <v>204242.7112</v>
      </c>
      <c r="AO251" s="115" t="n">
        <v>390937.6321742</v>
      </c>
      <c r="AP251" s="112" t="n">
        <f aca="false" ca="false" dt2D="false" dtr="false" t="normal">+N251-'Приложение №2'!E251</f>
        <v>0</v>
      </c>
      <c r="AQ251" s="9" t="n">
        <f aca="false" ca="false" dt2D="false" dtr="false" t="normal">502354.09-R75</f>
        <v>89967.44</v>
      </c>
      <c r="AR251" s="3" t="n">
        <f aca="false" ca="false" dt2D="false" dtr="false" t="normal">+(K251*10+L251*20)*12*0.85</f>
        <v>129336</v>
      </c>
      <c r="AS251" s="3" t="n">
        <f aca="false" ca="false" dt2D="false" dtr="false" t="normal">+(K251*10+L251*20)*12*30-S75</f>
        <v>-1097293.78188272</v>
      </c>
      <c r="AT251" s="9" t="n">
        <f aca="false" ca="false" dt2D="false" dtr="false" t="normal">+S251-AS251</f>
        <v>1109946.5918827201</v>
      </c>
      <c r="AW251" s="113" t="n">
        <f aca="false" ca="true" dt2D="false" dtr="false" t="normal">SUBTOTAL(9, AX251:BL251)</f>
        <v>7552741.93188272</v>
      </c>
      <c r="AX251" s="106" t="n">
        <v>3308322.58</v>
      </c>
      <c r="AY251" s="106" t="n">
        <v>2035764.2</v>
      </c>
      <c r="AZ251" s="106" t="n">
        <v>882116.62</v>
      </c>
      <c r="BA251" s="106" t="n">
        <v>903642.16</v>
      </c>
      <c r="BB251" s="106" t="n">
        <v>0</v>
      </c>
      <c r="BC251" s="106" t="n"/>
      <c r="BD251" s="106" t="n"/>
      <c r="BE251" s="106" t="n">
        <v>0</v>
      </c>
      <c r="BF251" s="106" t="n">
        <v>0</v>
      </c>
      <c r="BG251" s="106" t="n">
        <v>0</v>
      </c>
      <c r="BH251" s="106" t="n"/>
      <c r="BI251" s="106" t="n">
        <v>0</v>
      </c>
      <c r="BJ251" s="106" t="n"/>
      <c r="BK251" s="114" t="n"/>
      <c r="BL251" s="187" t="n">
        <v>422896.37188272</v>
      </c>
      <c r="BM251" s="113" t="n">
        <f aca="false" ca="true" dt2D="false" dtr="false" t="normal">SUBTOTAL(9, BN251:CB251)</f>
        <v>7552741.93188272</v>
      </c>
      <c r="BN251" s="106" t="n">
        <v>3308322.58</v>
      </c>
      <c r="BO251" s="106" t="n">
        <v>2035764.2</v>
      </c>
      <c r="BP251" s="106" t="n">
        <v>882116.62</v>
      </c>
      <c r="BQ251" s="106" t="n">
        <v>903642.16</v>
      </c>
      <c r="BR251" s="106" t="n">
        <v>0</v>
      </c>
      <c r="BS251" s="106" t="n"/>
      <c r="BT251" s="106" t="n"/>
      <c r="BU251" s="106" t="n">
        <v>0</v>
      </c>
      <c r="BV251" s="106" t="n">
        <v>0</v>
      </c>
      <c r="BW251" s="106" t="n">
        <v>0</v>
      </c>
      <c r="BX251" s="106" t="n"/>
      <c r="BY251" s="106" t="n">
        <v>0</v>
      </c>
      <c r="BZ251" s="106" t="n"/>
      <c r="CA251" s="114" t="n"/>
      <c r="CB251" s="115" t="n">
        <v>422896.37188272</v>
      </c>
      <c r="CD251" s="116" t="n">
        <f aca="false" ca="false" dt2D="false" dtr="false" t="normal">+CD250+1</f>
        <v>232</v>
      </c>
      <c r="CE251" s="117" t="n">
        <f aca="false" ca="false" dt2D="false" dtr="false" t="normal">+CE250+1</f>
        <v>44</v>
      </c>
      <c r="CF251" s="104" t="s">
        <v>111</v>
      </c>
      <c r="CG251" s="117" t="s">
        <v>135</v>
      </c>
      <c r="CH251" s="118" t="n">
        <f aca="false" ca="true" dt2D="false" dtr="false" t="normal">SUBTOTAL(9, CI251:CW251)</f>
        <v>7552741.93188272</v>
      </c>
      <c r="CI251" s="114" t="n">
        <v>3308322.58</v>
      </c>
      <c r="CJ251" s="114" t="n">
        <v>2035764.2</v>
      </c>
      <c r="CK251" s="114" t="n">
        <v>882116.62</v>
      </c>
      <c r="CL251" s="114" t="n">
        <v>903642.16</v>
      </c>
      <c r="CM251" s="114" t="n">
        <v>0</v>
      </c>
      <c r="CN251" s="114" t="n"/>
      <c r="CO251" s="114" t="n"/>
      <c r="CP251" s="114" t="n">
        <v>0</v>
      </c>
      <c r="CQ251" s="114" t="n">
        <v>0</v>
      </c>
      <c r="CR251" s="114" t="n">
        <v>0</v>
      </c>
      <c r="CS251" s="114" t="n"/>
      <c r="CT251" s="114" t="n">
        <v>0</v>
      </c>
      <c r="CU251" s="114" t="n"/>
      <c r="CV251" s="114" t="n"/>
      <c r="CW251" s="115" t="n">
        <v>422896.37188272</v>
      </c>
      <c r="CZ251" s="117" t="s">
        <v>135</v>
      </c>
      <c r="DA251" s="119" t="n">
        <f aca="false" ca="true" dt2D="false" dtr="false" t="normal">SUBTOTAL(9, DB251:DP251)</f>
        <v>7129845.5600000005</v>
      </c>
      <c r="DB251" s="114" t="n">
        <v>3308322.58</v>
      </c>
      <c r="DC251" s="114" t="n">
        <v>2035764.2</v>
      </c>
      <c r="DD251" s="114" t="n">
        <v>882116.62</v>
      </c>
      <c r="DE251" s="114" t="n">
        <v>903642.16</v>
      </c>
      <c r="DF251" s="114" t="n">
        <v>0</v>
      </c>
      <c r="DG251" s="114" t="n"/>
      <c r="DH251" s="114" t="n"/>
      <c r="DI251" s="114" t="n">
        <v>0</v>
      </c>
      <c r="DJ251" s="114" t="n">
        <v>0</v>
      </c>
      <c r="DK251" s="114" t="n">
        <v>0</v>
      </c>
      <c r="DL251" s="114" t="n"/>
      <c r="DM251" s="114" t="n">
        <v>0</v>
      </c>
      <c r="DN251" s="114" t="n"/>
      <c r="DO251" s="114" t="n"/>
      <c r="DP251" s="122" t="n"/>
      <c r="DQ251" s="3" t="n">
        <f aca="false" ca="false" dt2D="false" dtr="false" t="normal">N251-DA251</f>
        <v>0</v>
      </c>
      <c r="DS251" s="9" t="n"/>
    </row>
    <row hidden="false" ht="15" outlineLevel="0" r="252">
      <c r="A252" s="183" t="n">
        <f aca="false" ca="false" dt2D="false" dtr="false" t="normal">+A251+1</f>
        <v>233</v>
      </c>
      <c r="B252" s="184" t="n">
        <f aca="false" ca="false" dt2D="false" dtr="false" t="normal">+B251+1</f>
        <v>45</v>
      </c>
      <c r="C252" s="117" t="s">
        <v>111</v>
      </c>
      <c r="D252" s="117" t="s">
        <v>338</v>
      </c>
      <c r="E252" s="201" t="n">
        <v>1985</v>
      </c>
      <c r="F252" s="201" t="n">
        <v>2013</v>
      </c>
      <c r="G252" s="201" t="s">
        <v>68</v>
      </c>
      <c r="H252" s="201" t="n">
        <v>3</v>
      </c>
      <c r="I252" s="201" t="n">
        <v>3</v>
      </c>
      <c r="J252" s="114" t="n">
        <v>1439.1</v>
      </c>
      <c r="K252" s="114" t="n">
        <v>1284.3</v>
      </c>
      <c r="L252" s="114" t="n">
        <v>0</v>
      </c>
      <c r="M252" s="202" t="n">
        <v>55</v>
      </c>
      <c r="N252" s="108" t="n">
        <f aca="false" ca="false" dt2D="false" dtr="false" t="normal">SUM(P252:T252)</f>
        <v>14942570.329999998</v>
      </c>
      <c r="O252" s="114" t="n"/>
      <c r="P252" s="106" t="n">
        <f aca="false" ca="false" dt2D="false" dtr="false" t="normal">2833527.66+196116.1</f>
        <v>3029643.7600000002</v>
      </c>
      <c r="Q252" s="114" t="n"/>
      <c r="R252" s="114" t="n">
        <v>771312.78</v>
      </c>
      <c r="S252" s="114" t="n">
        <v>11141613.79</v>
      </c>
      <c r="T252" s="106" t="n"/>
      <c r="U252" s="106" t="n">
        <v>32142.3815804425</v>
      </c>
      <c r="V252" s="114" t="n">
        <v>1262.283020064</v>
      </c>
      <c r="W252" s="185" t="n">
        <v>2023</v>
      </c>
      <c r="X252" s="9" t="e">
        <f aca="false" ca="false" dt2D="false" dtr="false" t="normal">+#REF!-'[9]Приложение №1'!$P1012</f>
        <v>#REF!</v>
      </c>
      <c r="Z252" s="113" t="n">
        <f aca="false" ca="false" dt2D="false" dtr="false" t="normal">SUM(AA252:AO252)</f>
        <v>17444911.509005465</v>
      </c>
      <c r="AA252" s="106" t="n">
        <v>0</v>
      </c>
      <c r="AB252" s="106" t="n">
        <v>0</v>
      </c>
      <c r="AC252" s="106" t="n">
        <v>0</v>
      </c>
      <c r="AD252" s="106" t="n">
        <v>1124212.34351803</v>
      </c>
      <c r="AE252" s="106" t="n">
        <v>0</v>
      </c>
      <c r="AF252" s="106" t="n"/>
      <c r="AG252" s="106" t="n">
        <v>0</v>
      </c>
      <c r="AH252" s="106" t="n">
        <v>0</v>
      </c>
      <c r="AI252" s="106" t="n">
        <v>4206748.51575333</v>
      </c>
      <c r="AJ252" s="106" t="n">
        <v>0</v>
      </c>
      <c r="AK252" s="106" t="n">
        <v>8272430.93363266</v>
      </c>
      <c r="AL252" s="106" t="n">
        <v>3193396.30001221</v>
      </c>
      <c r="AM252" s="106" t="n">
        <v>215153.97</v>
      </c>
      <c r="AN252" s="106" t="n">
        <v>65657.7097212739</v>
      </c>
      <c r="AO252" s="115" t="n">
        <v>367311.736367965</v>
      </c>
      <c r="AP252" s="112" t="n">
        <f aca="false" ca="false" dt2D="false" dtr="false" t="normal">+N252-'Приложение №2'!E252</f>
        <v>0</v>
      </c>
      <c r="AQ252" s="121" t="n">
        <v>633764.25</v>
      </c>
      <c r="AR252" s="3" t="n">
        <f aca="false" ca="false" dt2D="false" dtr="false" t="normal">+(K252*10.5+L252*21)*12*0.85</f>
        <v>137548.53</v>
      </c>
      <c r="AS252" s="3" t="n">
        <f aca="false" ca="false" dt2D="false" dtr="false" t="normal">+(K252*10.5+L252*21)*12*30</f>
        <v>4854654</v>
      </c>
      <c r="AT252" s="9" t="n">
        <f aca="false" ca="false" dt2D="false" dtr="false" t="normal">+S252-AS252</f>
        <v>6286959.789999999</v>
      </c>
      <c r="AU252" s="9" t="e">
        <f aca="false" ca="false" dt2D="false" dtr="false" t="normal">+P252-'[5]Приложение №1'!$P545</f>
        <v>#REF!</v>
      </c>
      <c r="AV252" s="9" t="e">
        <f aca="false" ca="false" dt2D="false" dtr="false" t="normal">+Q252-'[5]Приложение №1'!$Q545</f>
        <v>#REF!</v>
      </c>
      <c r="AW252" s="186" t="n">
        <f aca="false" ca="true" dt2D="false" dtr="false" t="normal">SUBTOTAL(9, AX252:BL252)</f>
        <v>41280460.663762346</v>
      </c>
      <c r="AX252" s="106" t="n">
        <v>0</v>
      </c>
      <c r="AY252" s="106" t="n">
        <v>0</v>
      </c>
      <c r="AZ252" s="106" t="n">
        <v>0</v>
      </c>
      <c r="BA252" s="106" t="n">
        <v>1287686.27947242</v>
      </c>
      <c r="BB252" s="106" t="n">
        <v>0</v>
      </c>
      <c r="BC252" s="106" t="n"/>
      <c r="BD252" s="106" t="n">
        <v>0</v>
      </c>
      <c r="BE252" s="106" t="n"/>
      <c r="BF252" s="106" t="n">
        <v>14859752.822115</v>
      </c>
      <c r="BG252" s="106" t="n">
        <v>0</v>
      </c>
      <c r="BH252" s="106" t="n">
        <v>12356333.5081925</v>
      </c>
      <c r="BI252" s="106" t="n">
        <v>11615526.3232418</v>
      </c>
      <c r="BJ252" s="106" t="n">
        <v>215153.97</v>
      </c>
      <c r="BK252" s="106" t="n">
        <f aca="false" ca="false" dt2D="false" dtr="false" t="normal">65657.7097212739</f>
        <v>65657.7097212739</v>
      </c>
      <c r="BL252" s="187" t="n">
        <v>880350.051019349</v>
      </c>
      <c r="BM252" s="186" t="n">
        <f aca="false" ca="true" dt2D="false" dtr="false" t="normal">SUBTOTAL(9, BN252:CB252)</f>
        <v>28603068.74164734</v>
      </c>
      <c r="BN252" s="106" t="n">
        <v>0</v>
      </c>
      <c r="BO252" s="106" t="n">
        <v>0</v>
      </c>
      <c r="BP252" s="106" t="n">
        <v>0</v>
      </c>
      <c r="BQ252" s="106" t="n">
        <v>1287686.27947242</v>
      </c>
      <c r="BR252" s="106" t="n">
        <v>0</v>
      </c>
      <c r="BS252" s="106" t="n"/>
      <c r="BT252" s="106" t="n">
        <v>0</v>
      </c>
      <c r="BU252" s="106" t="n"/>
      <c r="BV252" s="106" t="n">
        <v>2182360.9</v>
      </c>
      <c r="BW252" s="106" t="n">
        <v>0</v>
      </c>
      <c r="BX252" s="106" t="n">
        <v>12356333.5081925</v>
      </c>
      <c r="BY252" s="106" t="n">
        <v>11615526.3232418</v>
      </c>
      <c r="BZ252" s="106" t="n">
        <v>215153.97</v>
      </c>
      <c r="CA252" s="106" t="n">
        <f aca="false" ca="false" dt2D="false" dtr="false" t="normal">65657.7097212739</f>
        <v>65657.7097212739</v>
      </c>
      <c r="CB252" s="115" t="n">
        <v>880350.051019349</v>
      </c>
      <c r="CD252" s="116" t="n">
        <f aca="false" ca="false" dt2D="false" dtr="false" t="normal">+CD251+1</f>
        <v>233</v>
      </c>
      <c r="CE252" s="117" t="n">
        <f aca="false" ca="false" dt2D="false" dtr="false" t="normal">+CE251+1</f>
        <v>45</v>
      </c>
      <c r="CF252" s="104" t="s">
        <v>111</v>
      </c>
      <c r="CG252" s="117" t="s">
        <v>338</v>
      </c>
      <c r="CH252" s="188" t="n">
        <f aca="false" ca="true" dt2D="false" dtr="false" t="normal">SUBTOTAL(9, CI252:CW252)</f>
        <v>15822920.381019348</v>
      </c>
      <c r="CI252" s="114" t="n">
        <v>0</v>
      </c>
      <c r="CJ252" s="114" t="n">
        <v>0</v>
      </c>
      <c r="CK252" s="114" t="n">
        <v>0</v>
      </c>
      <c r="CL252" s="114" t="n"/>
      <c r="CM252" s="114" t="n">
        <v>0</v>
      </c>
      <c r="CN252" s="114" t="n"/>
      <c r="CO252" s="114" t="n"/>
      <c r="CP252" s="114" t="n"/>
      <c r="CQ252" s="114" t="n">
        <v>2182360.9</v>
      </c>
      <c r="CR252" s="114" t="n">
        <v>0</v>
      </c>
      <c r="CS252" s="114" t="n">
        <v>10009863.22</v>
      </c>
      <c r="CT252" s="114" t="n">
        <v>2520155.45</v>
      </c>
      <c r="CU252" s="114" t="n">
        <v>212190.76</v>
      </c>
      <c r="CV252" s="114" t="n">
        <v>18000</v>
      </c>
      <c r="CW252" s="115" t="n">
        <v>880350.051019349</v>
      </c>
      <c r="CZ252" s="117" t="s">
        <v>338</v>
      </c>
      <c r="DA252" s="189" t="n">
        <f aca="false" ca="true" dt2D="false" dtr="false" t="normal">SUBTOTAL(9, DB252:DP252)</f>
        <v>14942570.33</v>
      </c>
      <c r="DB252" s="114" t="n">
        <v>0</v>
      </c>
      <c r="DC252" s="114" t="n">
        <v>0</v>
      </c>
      <c r="DD252" s="114" t="n">
        <v>0</v>
      </c>
      <c r="DE252" s="114" t="n"/>
      <c r="DF252" s="114" t="n">
        <v>0</v>
      </c>
      <c r="DG252" s="114" t="n"/>
      <c r="DH252" s="114" t="n"/>
      <c r="DI252" s="114" t="n"/>
      <c r="DJ252" s="114" t="n">
        <v>2182360.9</v>
      </c>
      <c r="DK252" s="114" t="n">
        <v>0</v>
      </c>
      <c r="DL252" s="114" t="n">
        <v>10009863.22</v>
      </c>
      <c r="DM252" s="114" t="n">
        <v>2520155.45</v>
      </c>
      <c r="DN252" s="114" t="n">
        <v>212190.76</v>
      </c>
      <c r="DO252" s="114" t="n">
        <v>18000</v>
      </c>
      <c r="DP252" s="122" t="n"/>
      <c r="DQ252" s="3" t="n">
        <f aca="false" ca="false" dt2D="false" dtr="false" t="normal">N252-DA252</f>
        <v>0</v>
      </c>
      <c r="DS252" s="9" t="n"/>
    </row>
    <row hidden="false" ht="15" outlineLevel="0" r="253">
      <c r="A253" s="183" t="n">
        <f aca="false" ca="false" dt2D="false" dtr="false" t="normal">+A252+1</f>
        <v>234</v>
      </c>
      <c r="B253" s="184" t="n">
        <f aca="false" ca="false" dt2D="false" dtr="false" t="normal">+B252+1</f>
        <v>46</v>
      </c>
      <c r="C253" s="104" t="s">
        <v>111</v>
      </c>
      <c r="D253" s="104" t="s">
        <v>339</v>
      </c>
      <c r="E253" s="105" t="n">
        <v>1974</v>
      </c>
      <c r="F253" s="105" t="n">
        <v>2013</v>
      </c>
      <c r="G253" s="105" t="s">
        <v>68</v>
      </c>
      <c r="H253" s="105" t="n">
        <v>4</v>
      </c>
      <c r="I253" s="105" t="n">
        <v>4</v>
      </c>
      <c r="J253" s="106" t="n">
        <v>4783.36</v>
      </c>
      <c r="K253" s="106" t="n">
        <v>3510.2</v>
      </c>
      <c r="L253" s="106" t="n">
        <v>0</v>
      </c>
      <c r="M253" s="107" t="n">
        <v>164</v>
      </c>
      <c r="N253" s="108" t="n">
        <f aca="false" ca="false" dt2D="false" dtr="false" t="normal">SUM(P253:T253)</f>
        <v>950120</v>
      </c>
      <c r="O253" s="106" t="n"/>
      <c r="P253" s="114" t="n"/>
      <c r="Q253" s="114" t="n"/>
      <c r="R253" s="114" t="n">
        <v>621595.65</v>
      </c>
      <c r="S253" s="114" t="n">
        <v>328524.35</v>
      </c>
      <c r="T253" s="106" t="n"/>
      <c r="U253" s="106" t="n">
        <v>375.765852777619</v>
      </c>
      <c r="V253" s="106" t="n">
        <v>375.765852777619</v>
      </c>
      <c r="W253" s="185" t="n">
        <v>2023</v>
      </c>
      <c r="X253" s="9" t="e">
        <f aca="false" ca="false" dt2D="false" dtr="false" t="normal">+#REF!-'[9]Приложение №1'!$P652</f>
        <v>#REF!</v>
      </c>
      <c r="Z253" s="113" t="n">
        <f aca="false" ca="false" dt2D="false" dtr="false" t="normal">SUM(AA253:AO253)</f>
        <v>10786909.54642</v>
      </c>
      <c r="AA253" s="106" t="n">
        <v>0</v>
      </c>
      <c r="AB253" s="106" t="n">
        <v>0</v>
      </c>
      <c r="AC253" s="106" t="n">
        <v>0</v>
      </c>
      <c r="AD253" s="106" t="n">
        <v>0</v>
      </c>
      <c r="AE253" s="106" t="n">
        <v>1314097.4</v>
      </c>
      <c r="AF253" s="106" t="n"/>
      <c r="AG253" s="106" t="n">
        <v>0</v>
      </c>
      <c r="AH253" s="106" t="n">
        <v>0</v>
      </c>
      <c r="AI253" s="106" t="n">
        <v>0</v>
      </c>
      <c r="AJ253" s="106" t="n">
        <v>0</v>
      </c>
      <c r="AK253" s="106" t="n">
        <v>0</v>
      </c>
      <c r="AL253" s="106" t="n">
        <v>8060676.2652087</v>
      </c>
      <c r="AM253" s="106" t="n">
        <v>1135899.355</v>
      </c>
      <c r="AN253" s="114" t="n">
        <v>95049.9655</v>
      </c>
      <c r="AO253" s="115" t="n">
        <v>181186.5607113</v>
      </c>
      <c r="AP253" s="112" t="n">
        <f aca="false" ca="false" dt2D="false" dtr="false" t="normal">+N253-'Приложение №2'!E253</f>
        <v>0</v>
      </c>
      <c r="AQ253" s="1" t="n">
        <f aca="false" ca="false" dt2D="false" dtr="false" t="normal">1511669.96-960081.54</f>
        <v>551588.4199999999</v>
      </c>
      <c r="AR253" s="3" t="n">
        <f aca="false" ca="false" dt2D="false" dtr="false" t="normal">+(K253*10+L253*20)*12*0.85</f>
        <v>358040.39999999997</v>
      </c>
      <c r="AS253" s="3" t="n">
        <f aca="false" ca="false" dt2D="false" dtr="false" t="normal">+(K253*10+L253*20)*12*30-10097.67</f>
        <v>12626622.33</v>
      </c>
      <c r="AT253" s="9" t="n">
        <f aca="false" ca="false" dt2D="false" dtr="false" t="normal">+S253-AS253</f>
        <v>-12298097.98</v>
      </c>
      <c r="AU253" s="9" t="e">
        <f aca="false" ca="false" dt2D="false" dtr="false" t="normal">+P253-'[5]Приложение №1'!$P271</f>
        <v>#REF!</v>
      </c>
      <c r="AV253" s="9" t="e">
        <f aca="false" ca="false" dt2D="false" dtr="false" t="normal">+Q253-'[5]Приложение №1'!$Q271</f>
        <v>#REF!</v>
      </c>
      <c r="AW253" s="113" t="n">
        <f aca="false" ca="true" dt2D="false" dtr="false" t="normal">SUBTOTAL(9, AX253:BL253)</f>
        <v>1319013.2964199998</v>
      </c>
      <c r="AX253" s="106" t="n">
        <v>0</v>
      </c>
      <c r="AY253" s="106" t="n">
        <v>0</v>
      </c>
      <c r="AZ253" s="106" t="n">
        <v>0</v>
      </c>
      <c r="BA253" s="106" t="n">
        <v>0</v>
      </c>
      <c r="BB253" s="106" t="n">
        <v>1314097.4</v>
      </c>
      <c r="BC253" s="106" t="n"/>
      <c r="BD253" s="106" t="n"/>
      <c r="BE253" s="106" t="n">
        <v>0</v>
      </c>
      <c r="BF253" s="106" t="n">
        <v>0</v>
      </c>
      <c r="BG253" s="106" t="n">
        <v>0</v>
      </c>
      <c r="BH253" s="106" t="n">
        <v>0</v>
      </c>
      <c r="BI253" s="106" t="n"/>
      <c r="BJ253" s="106" t="n"/>
      <c r="BK253" s="114" t="n"/>
      <c r="BL253" s="187" t="n">
        <v>4915.89642</v>
      </c>
      <c r="BM253" s="113" t="n">
        <f aca="false" ca="true" dt2D="false" dtr="false" t="normal">SUBTOTAL(9, BN253:CB253)</f>
        <v>955035.89642</v>
      </c>
      <c r="BN253" s="106" t="n">
        <v>0</v>
      </c>
      <c r="BO253" s="106" t="n">
        <v>0</v>
      </c>
      <c r="BP253" s="106" t="n">
        <v>0</v>
      </c>
      <c r="BQ253" s="106" t="n">
        <v>0</v>
      </c>
      <c r="BR253" s="106" t="n">
        <v>950120</v>
      </c>
      <c r="BS253" s="106" t="n"/>
      <c r="BT253" s="106" t="n"/>
      <c r="BU253" s="106" t="n">
        <v>0</v>
      </c>
      <c r="BV253" s="106" t="n">
        <v>0</v>
      </c>
      <c r="BW253" s="106" t="n">
        <v>0</v>
      </c>
      <c r="BX253" s="106" t="n">
        <v>0</v>
      </c>
      <c r="BY253" s="106" t="n"/>
      <c r="BZ253" s="106" t="n"/>
      <c r="CA253" s="114" t="n"/>
      <c r="CB253" s="115" t="n">
        <v>4915.89642</v>
      </c>
      <c r="CD253" s="116" t="n">
        <f aca="false" ca="false" dt2D="false" dtr="false" t="normal">+CD252+1</f>
        <v>234</v>
      </c>
      <c r="CE253" s="117" t="n">
        <f aca="false" ca="false" dt2D="false" dtr="false" t="normal">+CE252+1</f>
        <v>46</v>
      </c>
      <c r="CF253" s="104" t="s">
        <v>111</v>
      </c>
      <c r="CG253" s="117" t="s">
        <v>339</v>
      </c>
      <c r="CH253" s="118" t="n">
        <f aca="false" ca="true" dt2D="false" dtr="false" t="normal">SUBTOTAL(9, CI253:CW253)</f>
        <v>955035.89642</v>
      </c>
      <c r="CI253" s="114" t="n">
        <v>0</v>
      </c>
      <c r="CJ253" s="114" t="n">
        <v>0</v>
      </c>
      <c r="CK253" s="114" t="n">
        <v>0</v>
      </c>
      <c r="CL253" s="114" t="n">
        <v>0</v>
      </c>
      <c r="CM253" s="114" t="n">
        <v>950120</v>
      </c>
      <c r="CN253" s="114" t="n"/>
      <c r="CO253" s="114" t="n"/>
      <c r="CP253" s="114" t="n">
        <v>0</v>
      </c>
      <c r="CQ253" s="114" t="n">
        <v>0</v>
      </c>
      <c r="CR253" s="114" t="n">
        <v>0</v>
      </c>
      <c r="CS253" s="114" t="n">
        <v>0</v>
      </c>
      <c r="CT253" s="114" t="n"/>
      <c r="CU253" s="114" t="n"/>
      <c r="CV253" s="114" t="n"/>
      <c r="CW253" s="115" t="n">
        <v>4915.89642</v>
      </c>
      <c r="CZ253" s="117" t="s">
        <v>339</v>
      </c>
      <c r="DA253" s="119" t="n">
        <f aca="false" ca="true" dt2D="false" dtr="false" t="normal">SUBTOTAL(9, DB253:DP253)</f>
        <v>950120</v>
      </c>
      <c r="DB253" s="114" t="n">
        <v>0</v>
      </c>
      <c r="DC253" s="114" t="n">
        <v>0</v>
      </c>
      <c r="DD253" s="114" t="n">
        <v>0</v>
      </c>
      <c r="DE253" s="114" t="n">
        <v>0</v>
      </c>
      <c r="DF253" s="114" t="n">
        <v>950120</v>
      </c>
      <c r="DG253" s="114" t="n"/>
      <c r="DH253" s="114" t="n"/>
      <c r="DI253" s="114" t="n">
        <v>0</v>
      </c>
      <c r="DJ253" s="114" t="n">
        <v>0</v>
      </c>
      <c r="DK253" s="114" t="n">
        <v>0</v>
      </c>
      <c r="DL253" s="114" t="n">
        <v>0</v>
      </c>
      <c r="DM253" s="114" t="n"/>
      <c r="DN253" s="114" t="n"/>
      <c r="DO253" s="114" t="n"/>
      <c r="DP253" s="122" t="n"/>
      <c r="DQ253" s="3" t="n">
        <f aca="false" ca="false" dt2D="false" dtr="false" t="normal">N253-DA253</f>
        <v>0</v>
      </c>
      <c r="DS253" s="9" t="n"/>
    </row>
    <row customFormat="true" hidden="false" ht="15" outlineLevel="0" r="254" s="129">
      <c r="A254" s="183" t="n">
        <f aca="false" ca="false" dt2D="false" dtr="false" t="normal">+A253+1</f>
        <v>235</v>
      </c>
      <c r="B254" s="184" t="n">
        <f aca="false" ca="false" dt2D="false" dtr="false" t="normal">+B253+1</f>
        <v>47</v>
      </c>
      <c r="C254" s="117" t="s">
        <v>111</v>
      </c>
      <c r="D254" s="117" t="s">
        <v>340</v>
      </c>
      <c r="E254" s="105" t="s">
        <v>341</v>
      </c>
      <c r="F254" s="105" t="n"/>
      <c r="G254" s="105" t="s">
        <v>68</v>
      </c>
      <c r="H254" s="105" t="s">
        <v>187</v>
      </c>
      <c r="I254" s="105" t="s">
        <v>105</v>
      </c>
      <c r="J254" s="106" t="n">
        <v>1276.4</v>
      </c>
      <c r="K254" s="106" t="n">
        <v>1181.5</v>
      </c>
      <c r="L254" s="106" t="n">
        <v>48.4</v>
      </c>
      <c r="M254" s="107" t="n">
        <v>69</v>
      </c>
      <c r="N254" s="108" t="n">
        <f aca="false" ca="false" dt2D="false" dtr="false" t="normal">SUM(P254:T254)</f>
        <v>5220768.839999999</v>
      </c>
      <c r="O254" s="114" t="n">
        <v>0</v>
      </c>
      <c r="P254" s="114" t="n">
        <v>1659806.65183522</v>
      </c>
      <c r="Q254" s="114" t="n">
        <v>0</v>
      </c>
      <c r="R254" s="114" t="n">
        <v>601879.408936629</v>
      </c>
      <c r="S254" s="114" t="n">
        <v>2959082.77922815</v>
      </c>
      <c r="T254" s="114" t="n"/>
      <c r="U254" s="114" t="n">
        <v>6192.66311623802</v>
      </c>
      <c r="V254" s="114" t="n">
        <v>1267.283020064</v>
      </c>
      <c r="W254" s="185" t="n">
        <v>2023</v>
      </c>
      <c r="X254" s="129" t="n">
        <v>424539.75</v>
      </c>
      <c r="Y254" s="129" t="n">
        <f aca="false" ca="false" dt2D="false" dtr="false" t="normal">+(K254*9.1+L254*18.19)*12</f>
        <v>139584.552</v>
      </c>
      <c r="AA254" s="130" t="e">
        <f aca="false" ca="false" dt2D="false" dtr="false" t="normal">+N254-'[8]Приложение № 2'!E240</f>
        <v>#REF!</v>
      </c>
      <c r="AD254" s="130" t="e">
        <f aca="false" ca="false" dt2D="false" dtr="false" t="normal">+N254-'[8]Приложение № 2'!E240</f>
        <v>#REF!</v>
      </c>
      <c r="AP254" s="112" t="n">
        <f aca="false" ca="false" dt2D="false" dtr="false" t="normal">+N254-'Приложение №2'!E254</f>
        <v>0</v>
      </c>
      <c r="AQ254" s="121" t="n">
        <v>687944.89</v>
      </c>
      <c r="AR254" s="3" t="n">
        <f aca="false" ca="false" dt2D="false" dtr="false" t="normal">+(K254*10.5+L254*21)*12*0.85</f>
        <v>136905.93</v>
      </c>
      <c r="AS254" s="3" t="n">
        <f aca="false" ca="false" dt2D="false" dtr="false" t="normal">+(K254*10.5+L254*21)*12*30</f>
        <v>4831974</v>
      </c>
      <c r="AT254" s="9" t="n">
        <f aca="false" ca="false" dt2D="false" dtr="false" t="normal">+S254-AS254</f>
        <v>-1872891.22077185</v>
      </c>
      <c r="AU254" s="9" t="e">
        <f aca="false" ca="false" dt2D="false" dtr="false" t="normal">+P254-'[5]Приложение №1'!$P275</f>
        <v>#REF!</v>
      </c>
      <c r="AV254" s="9" t="e">
        <f aca="false" ca="false" dt2D="false" dtr="false" t="normal">+Q254-'[5]Приложение №1'!$Q275</f>
        <v>#REF!</v>
      </c>
      <c r="AW254" s="186" t="n">
        <f aca="false" ca="true" dt2D="false" dtr="false" t="normal">SUBTOTAL(9, AX254:BL254)</f>
        <v>7316631.471835219</v>
      </c>
      <c r="AX254" s="106" t="n"/>
      <c r="AY254" s="106" t="n"/>
      <c r="AZ254" s="106" t="n">
        <v>1175152.52746639</v>
      </c>
      <c r="BA254" s="106" t="n"/>
      <c r="BB254" s="106" t="n"/>
      <c r="BC254" s="106" t="n"/>
      <c r="BD254" s="106" t="n"/>
      <c r="BE254" s="106" t="n">
        <v>0</v>
      </c>
      <c r="BF254" s="106" t="n">
        <v>5747272.2854322</v>
      </c>
      <c r="BG254" s="106" t="n">
        <v>0</v>
      </c>
      <c r="BH254" s="106" t="n"/>
      <c r="BI254" s="106" t="n"/>
      <c r="BJ254" s="106" t="n"/>
      <c r="BK254" s="114" t="n"/>
      <c r="BL254" s="187" t="n">
        <v>394206.658936629</v>
      </c>
      <c r="BM254" s="186" t="n">
        <f aca="false" ca="true" dt2D="false" dtr="false" t="normal">SUBTOTAL(9, BN254:CB254)</f>
        <v>5614975.498936629</v>
      </c>
      <c r="BN254" s="106" t="n"/>
      <c r="BO254" s="106" t="n"/>
      <c r="BP254" s="108" t="n">
        <v>1355646.84</v>
      </c>
      <c r="BQ254" s="106" t="n"/>
      <c r="BR254" s="106" t="n"/>
      <c r="BS254" s="106" t="n"/>
      <c r="BT254" s="106" t="n"/>
      <c r="BU254" s="106" t="n">
        <v>0</v>
      </c>
      <c r="BV254" s="106" t="n">
        <v>3865122</v>
      </c>
      <c r="BW254" s="106" t="n">
        <v>0</v>
      </c>
      <c r="BX254" s="106" t="n"/>
      <c r="BY254" s="106" t="n"/>
      <c r="BZ254" s="106" t="n"/>
      <c r="CA254" s="114" t="n"/>
      <c r="CB254" s="115" t="n">
        <v>394206.658936629</v>
      </c>
      <c r="CD254" s="116" t="n">
        <f aca="false" ca="false" dt2D="false" dtr="false" t="normal">+CD253+1</f>
        <v>235</v>
      </c>
      <c r="CE254" s="117" t="n">
        <f aca="false" ca="false" dt2D="false" dtr="false" t="normal">+CE253+1</f>
        <v>47</v>
      </c>
      <c r="CF254" s="104" t="s">
        <v>111</v>
      </c>
      <c r="CG254" s="117" t="s">
        <v>340</v>
      </c>
      <c r="CH254" s="188" t="n">
        <f aca="false" ca="true" dt2D="false" dtr="false" t="normal">SUBTOTAL(9, CI254:CW254)</f>
        <v>5614975.498936629</v>
      </c>
      <c r="CI254" s="114" t="n"/>
      <c r="CJ254" s="114" t="n"/>
      <c r="CK254" s="114" t="n">
        <v>1355646.84</v>
      </c>
      <c r="CL254" s="114" t="n"/>
      <c r="CM254" s="114" t="n"/>
      <c r="CN254" s="114" t="n"/>
      <c r="CO254" s="114" t="n"/>
      <c r="CP254" s="114" t="n">
        <v>0</v>
      </c>
      <c r="CQ254" s="114" t="n">
        <v>3865122</v>
      </c>
      <c r="CR254" s="114" t="n">
        <v>0</v>
      </c>
      <c r="CS254" s="114" t="n"/>
      <c r="CT254" s="114" t="n"/>
      <c r="CU254" s="114" t="n"/>
      <c r="CV254" s="114" t="n"/>
      <c r="CW254" s="115" t="n">
        <v>394206.658936629</v>
      </c>
      <c r="CZ254" s="117" t="s">
        <v>340</v>
      </c>
      <c r="DA254" s="189" t="n">
        <f aca="false" ca="true" dt2D="false" dtr="false" t="normal">SUBTOTAL(9, DB254:DP254)</f>
        <v>5220768.84</v>
      </c>
      <c r="DB254" s="114" t="n"/>
      <c r="DC254" s="114" t="n"/>
      <c r="DD254" s="114" t="n">
        <v>1355646.84</v>
      </c>
      <c r="DE254" s="114" t="n"/>
      <c r="DF254" s="114" t="n"/>
      <c r="DG254" s="114" t="n"/>
      <c r="DH254" s="114" t="n"/>
      <c r="DI254" s="114" t="n">
        <v>0</v>
      </c>
      <c r="DJ254" s="114" t="n">
        <v>3865122</v>
      </c>
      <c r="DK254" s="114" t="n">
        <v>0</v>
      </c>
      <c r="DL254" s="114" t="n"/>
      <c r="DM254" s="114" t="n"/>
      <c r="DN254" s="114" t="n"/>
      <c r="DO254" s="114" t="n"/>
      <c r="DP254" s="122" t="n"/>
      <c r="DQ254" s="3" t="n">
        <f aca="false" ca="false" dt2D="false" dtr="false" t="normal">N254-DA254</f>
        <v>0</v>
      </c>
      <c r="DS254" s="9" t="n"/>
    </row>
    <row hidden="false" ht="15" outlineLevel="0" r="255">
      <c r="A255" s="183" t="n">
        <f aca="false" ca="false" dt2D="false" dtr="false" t="normal">+A254+1</f>
        <v>236</v>
      </c>
      <c r="B255" s="184" t="n">
        <f aca="false" ca="false" dt2D="false" dtr="false" t="normal">+B254+1</f>
        <v>48</v>
      </c>
      <c r="C255" s="117" t="s">
        <v>111</v>
      </c>
      <c r="D255" s="117" t="s">
        <v>342</v>
      </c>
      <c r="E255" s="105" t="n">
        <v>1973</v>
      </c>
      <c r="F255" s="105" t="n">
        <v>2013</v>
      </c>
      <c r="G255" s="105" t="s">
        <v>68</v>
      </c>
      <c r="H255" s="105" t="n">
        <v>5</v>
      </c>
      <c r="I255" s="105" t="n">
        <v>6</v>
      </c>
      <c r="J255" s="106" t="n">
        <v>5136.85</v>
      </c>
      <c r="K255" s="106" t="n">
        <v>4692.05</v>
      </c>
      <c r="L255" s="106" t="n">
        <v>0</v>
      </c>
      <c r="M255" s="107" t="n">
        <v>215</v>
      </c>
      <c r="N255" s="108" t="n">
        <f aca="false" ca="false" dt2D="false" dtr="false" t="normal">SUM(P255:T255)</f>
        <v>16398542.430000002</v>
      </c>
      <c r="O255" s="114" t="n"/>
      <c r="P255" s="114" t="n">
        <v>3282328.97</v>
      </c>
      <c r="Q255" s="114" t="n"/>
      <c r="R255" s="114" t="n">
        <v>2763756.33</v>
      </c>
      <c r="S255" s="114" t="n">
        <v>10352457.13</v>
      </c>
      <c r="T255" s="114" t="n"/>
      <c r="U255" s="106" t="n">
        <v>3589.61578093925</v>
      </c>
      <c r="V255" s="106" t="n">
        <v>3589.61578093925</v>
      </c>
      <c r="W255" s="185" t="n">
        <v>2023</v>
      </c>
      <c r="X255" s="9" t="e">
        <f aca="false" ca="false" dt2D="false" dtr="false" t="normal">+#REF!-'[9]Приложение №1'!$P653</f>
        <v>#REF!</v>
      </c>
      <c r="Z255" s="113" t="n">
        <f aca="false" ca="false" dt2D="false" dtr="false" t="normal">SUM(AA255:AO255)</f>
        <v>27853394.14495602</v>
      </c>
      <c r="AA255" s="106" t="n">
        <v>0</v>
      </c>
      <c r="AB255" s="106" t="n">
        <v>0</v>
      </c>
      <c r="AC255" s="106" t="n">
        <v>0</v>
      </c>
      <c r="AD255" s="106" t="n">
        <v>0</v>
      </c>
      <c r="AE255" s="106" t="n">
        <v>1990543.04</v>
      </c>
      <c r="AF255" s="106" t="n"/>
      <c r="AG255" s="106" t="n">
        <v>0</v>
      </c>
      <c r="AH255" s="106" t="n">
        <v>0</v>
      </c>
      <c r="AI255" s="106" t="n">
        <v>0</v>
      </c>
      <c r="AJ255" s="106" t="n">
        <v>0</v>
      </c>
      <c r="AK255" s="106" t="n">
        <v>10718809.1912454</v>
      </c>
      <c r="AL255" s="106" t="n">
        <v>11561490.3870119</v>
      </c>
      <c r="AM255" s="106" t="n">
        <v>2826217.292</v>
      </c>
      <c r="AN255" s="114" t="n">
        <v>260814.8832</v>
      </c>
      <c r="AO255" s="115" t="n">
        <v>495519.35149872</v>
      </c>
      <c r="AP255" s="112" t="n">
        <f aca="false" ca="false" dt2D="false" dtr="false" t="normal">+N255-'Приложение №2'!E255</f>
        <v>0</v>
      </c>
      <c r="AQ255" s="1" t="n">
        <v>2285167.23</v>
      </c>
      <c r="AR255" s="3" t="n">
        <f aca="false" ca="false" dt2D="false" dtr="false" t="normal">+(K255*10+L255*20)*12*0.85</f>
        <v>478589.1</v>
      </c>
      <c r="AS255" s="3" t="n">
        <f aca="false" ca="false" dt2D="false" dtr="false" t="normal">+(K255*10+L255*20)*12*30</f>
        <v>16891380</v>
      </c>
      <c r="AT255" s="9" t="n">
        <f aca="false" ca="false" dt2D="false" dtr="false" t="normal">+S255-AS255</f>
        <v>-6538922.869999999</v>
      </c>
      <c r="AU255" s="9" t="e">
        <f aca="false" ca="false" dt2D="false" dtr="false" t="normal">+P255-'[5]Приложение №1'!$P274</f>
        <v>#REF!</v>
      </c>
      <c r="AV255" s="9" t="e">
        <f aca="false" ca="false" dt2D="false" dtr="false" t="normal">+Q255-'[5]Приложение №1'!$Q274</f>
        <v>#REF!</v>
      </c>
      <c r="AW255" s="113" t="n">
        <f aca="false" ca="true" dt2D="false" dtr="false" t="normal">SUBTOTAL(9, AX255:BL255)</f>
        <v>13560327.7519679</v>
      </c>
      <c r="AX255" s="106" t="n">
        <v>0</v>
      </c>
      <c r="AY255" s="106" t="n">
        <v>0</v>
      </c>
      <c r="AZ255" s="106" t="n">
        <v>0</v>
      </c>
      <c r="BA255" s="106" t="n">
        <v>0</v>
      </c>
      <c r="BB255" s="106" t="n">
        <v>1990543.04</v>
      </c>
      <c r="BC255" s="106" t="n"/>
      <c r="BD255" s="106" t="n"/>
      <c r="BE255" s="106" t="n">
        <v>0</v>
      </c>
      <c r="BF255" s="106" t="n">
        <v>0</v>
      </c>
      <c r="BG255" s="106" t="n">
        <v>0</v>
      </c>
      <c r="BH255" s="106" t="n"/>
      <c r="BI255" s="106" t="n">
        <v>11561490.3870119</v>
      </c>
      <c r="BJ255" s="106" t="n"/>
      <c r="BK255" s="114" t="n"/>
      <c r="BL255" s="187" t="n">
        <v>8294.324956</v>
      </c>
      <c r="BM255" s="113" t="n">
        <f aca="false" ca="true" dt2D="false" dtr="false" t="normal">SUBTOTAL(9, BN255:CB255)</f>
        <v>16406836.754956</v>
      </c>
      <c r="BN255" s="106" t="n">
        <v>0</v>
      </c>
      <c r="BO255" s="106" t="n">
        <v>0</v>
      </c>
      <c r="BP255" s="106" t="n">
        <v>0</v>
      </c>
      <c r="BQ255" s="106" t="n">
        <v>0</v>
      </c>
      <c r="BR255" s="106" t="n">
        <v>1554723.07</v>
      </c>
      <c r="BS255" s="106" t="n"/>
      <c r="BT255" s="106" t="n"/>
      <c r="BU255" s="106" t="n">
        <v>0</v>
      </c>
      <c r="BV255" s="106" t="n">
        <v>0</v>
      </c>
      <c r="BW255" s="106" t="n">
        <v>0</v>
      </c>
      <c r="BX255" s="106" t="n"/>
      <c r="BY255" s="106" t="n">
        <v>14843819.36</v>
      </c>
      <c r="BZ255" s="106" t="n"/>
      <c r="CA255" s="114" t="n"/>
      <c r="CB255" s="115" t="n">
        <v>8294.324956</v>
      </c>
      <c r="CD255" s="116" t="n">
        <f aca="false" ca="false" dt2D="false" dtr="false" t="normal">+CD254+1</f>
        <v>236</v>
      </c>
      <c r="CE255" s="117" t="n">
        <f aca="false" ca="false" dt2D="false" dtr="false" t="normal">+CE254+1</f>
        <v>48</v>
      </c>
      <c r="CF255" s="104" t="s">
        <v>111</v>
      </c>
      <c r="CG255" s="117" t="s">
        <v>342</v>
      </c>
      <c r="CH255" s="118" t="n">
        <f aca="false" ca="true" dt2D="false" dtr="false" t="normal">SUBTOTAL(9, CI255:CW255)</f>
        <v>16406836.754956</v>
      </c>
      <c r="CI255" s="114" t="n">
        <v>0</v>
      </c>
      <c r="CJ255" s="114" t="n">
        <v>0</v>
      </c>
      <c r="CK255" s="114" t="n">
        <v>0</v>
      </c>
      <c r="CL255" s="114" t="n">
        <v>0</v>
      </c>
      <c r="CM255" s="114" t="n">
        <v>1554723.07</v>
      </c>
      <c r="CN255" s="114" t="n"/>
      <c r="CO255" s="114" t="n"/>
      <c r="CP255" s="114" t="n">
        <v>0</v>
      </c>
      <c r="CQ255" s="114" t="n">
        <v>0</v>
      </c>
      <c r="CR255" s="114" t="n">
        <v>0</v>
      </c>
      <c r="CS255" s="114" t="n"/>
      <c r="CT255" s="114" t="n">
        <v>14843819.36</v>
      </c>
      <c r="CU255" s="114" t="n"/>
      <c r="CV255" s="114" t="n"/>
      <c r="CW255" s="115" t="n">
        <v>8294.324956</v>
      </c>
      <c r="CZ255" s="117" t="s">
        <v>342</v>
      </c>
      <c r="DA255" s="119" t="n">
        <f aca="false" ca="true" dt2D="false" dtr="false" t="normal">SUBTOTAL(9, DB255:DP255)</f>
        <v>16398542.43</v>
      </c>
      <c r="DB255" s="114" t="n">
        <v>0</v>
      </c>
      <c r="DC255" s="114" t="n">
        <v>0</v>
      </c>
      <c r="DD255" s="114" t="n">
        <v>0</v>
      </c>
      <c r="DE255" s="114" t="n">
        <v>0</v>
      </c>
      <c r="DF255" s="114" t="n">
        <v>1554723.07</v>
      </c>
      <c r="DG255" s="114" t="n"/>
      <c r="DH255" s="114" t="n"/>
      <c r="DI255" s="114" t="n">
        <v>0</v>
      </c>
      <c r="DJ255" s="114" t="n">
        <v>0</v>
      </c>
      <c r="DK255" s="114" t="n">
        <v>0</v>
      </c>
      <c r="DL255" s="114" t="n"/>
      <c r="DM255" s="114" t="n">
        <v>14843819.36</v>
      </c>
      <c r="DN255" s="114" t="n"/>
      <c r="DO255" s="114" t="n"/>
      <c r="DP255" s="122" t="n"/>
      <c r="DQ255" s="3" t="n">
        <f aca="false" ca="false" dt2D="false" dtr="false" t="normal">N255-DA255</f>
        <v>0</v>
      </c>
      <c r="DS255" s="9" t="n"/>
    </row>
    <row hidden="false" ht="15" outlineLevel="0" r="256">
      <c r="A256" s="183" t="n">
        <f aca="false" ca="false" dt2D="false" dtr="false" t="normal">+A255+1</f>
        <v>237</v>
      </c>
      <c r="B256" s="184" t="n">
        <f aca="false" ca="false" dt2D="false" dtr="false" t="normal">+B255+1</f>
        <v>49</v>
      </c>
      <c r="C256" s="117" t="s">
        <v>111</v>
      </c>
      <c r="D256" s="117" t="s">
        <v>343</v>
      </c>
      <c r="E256" s="105" t="n">
        <v>1986</v>
      </c>
      <c r="F256" s="105" t="n">
        <v>2005</v>
      </c>
      <c r="G256" s="105" t="s">
        <v>68</v>
      </c>
      <c r="H256" s="105" t="n">
        <v>5</v>
      </c>
      <c r="I256" s="105" t="n">
        <v>3</v>
      </c>
      <c r="J256" s="106" t="n">
        <v>5898.64</v>
      </c>
      <c r="K256" s="106" t="n">
        <v>4269.5</v>
      </c>
      <c r="L256" s="106" t="n">
        <v>369.2</v>
      </c>
      <c r="M256" s="107" t="n">
        <v>316</v>
      </c>
      <c r="N256" s="108" t="n">
        <f aca="false" ca="false" dt2D="false" dtr="false" t="normal">SUM(P256:T256)</f>
        <v>25543712.86</v>
      </c>
      <c r="O256" s="114" t="n"/>
      <c r="P256" s="193" t="n">
        <f aca="false" ca="false" dt2D="false" dtr="false" t="normal">1594920.28+1393581.33</f>
        <v>2988501.6100000003</v>
      </c>
      <c r="Q256" s="114" t="n"/>
      <c r="R256" s="114" t="n">
        <v>3391889.52</v>
      </c>
      <c r="S256" s="114" t="n">
        <v>19163321.73</v>
      </c>
      <c r="T256" s="114" t="n"/>
      <c r="U256" s="114" t="n">
        <v>11289.5269511784</v>
      </c>
      <c r="V256" s="114" t="n">
        <v>1270.283020064</v>
      </c>
      <c r="W256" s="185" t="n">
        <v>2023</v>
      </c>
      <c r="X256" s="9" t="e">
        <f aca="false" ca="false" dt2D="false" dtr="false" t="normal">+#REF!-'[9]Приложение №1'!$P1017</f>
        <v>#REF!</v>
      </c>
      <c r="Z256" s="113" t="n">
        <f aca="false" ca="false" dt2D="false" dtr="false" t="normal">SUM(AA256:AO256)</f>
        <v>52616181.97</v>
      </c>
      <c r="AA256" s="106" t="n">
        <v>12089576.8229145</v>
      </c>
      <c r="AB256" s="106" t="n">
        <v>4308013.23514884</v>
      </c>
      <c r="AC256" s="106" t="n">
        <v>4500915.27121278</v>
      </c>
      <c r="AD256" s="106" t="n">
        <v>2817857.54736528</v>
      </c>
      <c r="AE256" s="106" t="n">
        <v>0</v>
      </c>
      <c r="AF256" s="106" t="n"/>
      <c r="AG256" s="106" t="n">
        <v>463910.16369684</v>
      </c>
      <c r="AH256" s="106" t="n">
        <v>0</v>
      </c>
      <c r="AI256" s="106" t="n">
        <v>22101585.9113952</v>
      </c>
      <c r="AJ256" s="106" t="n">
        <v>0</v>
      </c>
      <c r="AK256" s="106" t="n">
        <v>0</v>
      </c>
      <c r="AL256" s="106" t="n">
        <v>0</v>
      </c>
      <c r="AM256" s="106" t="n">
        <v>4796070.6799</v>
      </c>
      <c r="AN256" s="114" t="n">
        <v>526161.8197</v>
      </c>
      <c r="AO256" s="115" t="n">
        <v>1012090.51866656</v>
      </c>
      <c r="AP256" s="112" t="n">
        <f aca="false" ca="false" dt2D="false" dtr="false" t="normal">+N256-'Приложение №2'!E256</f>
        <v>0</v>
      </c>
      <c r="AQ256" s="121" t="n">
        <v>2851840.42</v>
      </c>
      <c r="AR256" s="3" t="n">
        <f aca="false" ca="false" dt2D="false" dtr="false" t="normal">+(K256*10.5+L256*21)*12*0.85</f>
        <v>536346.0899999999</v>
      </c>
      <c r="AS256" s="3" t="n">
        <f aca="false" ca="false" dt2D="false" dtr="false" t="normal">+(K256*10.5+L256*21)*12*30</f>
        <v>18929861.999999996</v>
      </c>
      <c r="AT256" s="9" t="n">
        <f aca="false" ca="false" dt2D="false" dtr="false" t="normal">+S256-AS256</f>
        <v>233459.73000000417</v>
      </c>
      <c r="AU256" s="9" t="e">
        <f aca="false" ca="false" dt2D="false" dtr="false" t="normal">+P256-'[5]Приложение №1'!$P553</f>
        <v>#REF!</v>
      </c>
      <c r="AV256" s="9" t="e">
        <f aca="false" ca="false" dt2D="false" dtr="false" t="normal">+Q256-'[5]Приложение №1'!$Q553</f>
        <v>#REF!</v>
      </c>
      <c r="AW256" s="186" t="n">
        <f aca="false" ca="true" dt2D="false" dtr="false" t="normal">SUBTOTAL(9, AX256:BL256)</f>
        <v>48200635.31805622</v>
      </c>
      <c r="AX256" s="106" t="n">
        <v>12121082.4144789</v>
      </c>
      <c r="AY256" s="106" t="n">
        <v>4380765.67557377</v>
      </c>
      <c r="AZ256" s="106" t="n">
        <v>4601142.90034249</v>
      </c>
      <c r="BA256" s="106" t="n">
        <v>2961095.02586148</v>
      </c>
      <c r="BB256" s="106" t="n">
        <v>0</v>
      </c>
      <c r="BC256" s="106" t="n"/>
      <c r="BD256" s="106" t="n">
        <v>424957.373249787</v>
      </c>
      <c r="BE256" s="106" t="n"/>
      <c r="BF256" s="106" t="n">
        <v>22433958.7355773</v>
      </c>
      <c r="BG256" s="106" t="n">
        <v>0</v>
      </c>
      <c r="BH256" s="106" t="n">
        <v>0</v>
      </c>
      <c r="BI256" s="106" t="n">
        <v>0</v>
      </c>
      <c r="BJ256" s="106" t="n">
        <v>223091.045819578</v>
      </c>
      <c r="BK256" s="114" t="n">
        <v>28431.1258195776</v>
      </c>
      <c r="BL256" s="187" t="n">
        <v>1026111.02133333</v>
      </c>
      <c r="BM256" s="186" t="n">
        <f aca="false" ca="true" dt2D="false" dtr="false" t="normal">SUBTOTAL(9, BN256:CB256)</f>
        <v>34828979.91247892</v>
      </c>
      <c r="BN256" s="106" t="n">
        <v>12121082.4144789</v>
      </c>
      <c r="BO256" s="106" t="n">
        <v>4380765.67557377</v>
      </c>
      <c r="BP256" s="106" t="n">
        <v>4601142.90034249</v>
      </c>
      <c r="BQ256" s="106" t="n">
        <v>2961095.02586148</v>
      </c>
      <c r="BR256" s="106" t="n">
        <v>0</v>
      </c>
      <c r="BS256" s="106" t="n"/>
      <c r="BT256" s="106" t="n">
        <v>424957.373249787</v>
      </c>
      <c r="BU256" s="106" t="n"/>
      <c r="BV256" s="106" t="n">
        <v>9062303.33</v>
      </c>
      <c r="BW256" s="106" t="n">
        <v>0</v>
      </c>
      <c r="BX256" s="106" t="n">
        <v>0</v>
      </c>
      <c r="BY256" s="106" t="n">
        <v>0</v>
      </c>
      <c r="BZ256" s="106" t="n">
        <v>223091.045819578</v>
      </c>
      <c r="CA256" s="114" t="n">
        <v>28431.1258195776</v>
      </c>
      <c r="CB256" s="115" t="n">
        <v>1026111.02133333</v>
      </c>
      <c r="CD256" s="116" t="n">
        <f aca="false" ca="false" dt2D="false" dtr="false" t="normal">+CD255+1</f>
        <v>237</v>
      </c>
      <c r="CE256" s="117" t="n">
        <f aca="false" ca="false" dt2D="false" dtr="false" t="normal">+CE255+1</f>
        <v>49</v>
      </c>
      <c r="CF256" s="104" t="s">
        <v>111</v>
      </c>
      <c r="CG256" s="117" t="s">
        <v>343</v>
      </c>
      <c r="CH256" s="188" t="n">
        <f aca="false" ca="true" dt2D="false" dtr="false" t="normal">SUBTOTAL(9, CI256:CW256)</f>
        <v>26569823.88133333</v>
      </c>
      <c r="CI256" s="114" t="n">
        <v>6875735.22</v>
      </c>
      <c r="CJ256" s="114" t="n">
        <v>3918496.3</v>
      </c>
      <c r="CK256" s="114" t="n">
        <v>3290123.15</v>
      </c>
      <c r="CL256" s="114" t="n">
        <v>2154394.91</v>
      </c>
      <c r="CM256" s="114" t="n">
        <v>0</v>
      </c>
      <c r="CN256" s="114" t="n"/>
      <c r="CO256" s="114" t="n"/>
      <c r="CP256" s="114" t="n"/>
      <c r="CQ256" s="114" t="n">
        <v>9062303.33</v>
      </c>
      <c r="CR256" s="114" t="n">
        <v>0</v>
      </c>
      <c r="CS256" s="114" t="n">
        <v>0</v>
      </c>
      <c r="CT256" s="114" t="n">
        <v>0</v>
      </c>
      <c r="CU256" s="114" t="n">
        <v>218659.95</v>
      </c>
      <c r="CV256" s="114" t="n">
        <v>24000</v>
      </c>
      <c r="CW256" s="115" t="n">
        <v>1026111.02133333</v>
      </c>
      <c r="CZ256" s="117" t="s">
        <v>343</v>
      </c>
      <c r="DA256" s="189" t="n">
        <f aca="false" ca="true" dt2D="false" dtr="false" t="normal">SUBTOTAL(9, DB256:DP256)</f>
        <v>25543712.86</v>
      </c>
      <c r="DB256" s="114" t="n">
        <v>6875735.22</v>
      </c>
      <c r="DC256" s="114" t="n">
        <v>3918496.3</v>
      </c>
      <c r="DD256" s="114" t="n">
        <v>3290123.15</v>
      </c>
      <c r="DE256" s="114" t="n">
        <v>2154394.91</v>
      </c>
      <c r="DF256" s="114" t="n">
        <v>0</v>
      </c>
      <c r="DG256" s="114" t="n"/>
      <c r="DH256" s="114" t="n"/>
      <c r="DI256" s="114" t="n"/>
      <c r="DJ256" s="114" t="n">
        <v>9062303.33</v>
      </c>
      <c r="DK256" s="114" t="n">
        <v>0</v>
      </c>
      <c r="DL256" s="114" t="n">
        <v>0</v>
      </c>
      <c r="DM256" s="114" t="n">
        <v>0</v>
      </c>
      <c r="DN256" s="114" t="n">
        <v>218659.95</v>
      </c>
      <c r="DO256" s="114" t="n">
        <v>24000</v>
      </c>
      <c r="DP256" s="122" t="n"/>
      <c r="DQ256" s="3" t="n">
        <f aca="false" ca="false" dt2D="false" dtr="false" t="normal">N256-DA256</f>
        <v>0</v>
      </c>
      <c r="DS256" s="9" t="n"/>
    </row>
    <row customFormat="true" hidden="false" ht="15" outlineLevel="0" r="257" s="129">
      <c r="A257" s="183" t="n">
        <f aca="false" ca="false" dt2D="false" dtr="false" t="normal">+A256+1</f>
        <v>238</v>
      </c>
      <c r="B257" s="184" t="n">
        <f aca="false" ca="false" dt2D="false" dtr="false" t="normal">+B256+1</f>
        <v>50</v>
      </c>
      <c r="C257" s="117" t="s">
        <v>111</v>
      </c>
      <c r="D257" s="117" t="s">
        <v>344</v>
      </c>
      <c r="E257" s="105" t="s">
        <v>345</v>
      </c>
      <c r="F257" s="105" t="n"/>
      <c r="G257" s="105" t="s">
        <v>68</v>
      </c>
      <c r="H257" s="105" t="s">
        <v>187</v>
      </c>
      <c r="I257" s="105" t="s">
        <v>187</v>
      </c>
      <c r="J257" s="106" t="n">
        <v>3893.1</v>
      </c>
      <c r="K257" s="106" t="n">
        <v>3553.5</v>
      </c>
      <c r="L257" s="106" t="n">
        <v>0</v>
      </c>
      <c r="M257" s="107" t="n">
        <v>150</v>
      </c>
      <c r="N257" s="108" t="n">
        <f aca="false" ca="false" dt2D="false" dtr="false" t="normal">SUM(P257:T257)</f>
        <v>7988406.0600000005</v>
      </c>
      <c r="O257" s="114" t="n">
        <v>0</v>
      </c>
      <c r="P257" s="114" t="n">
        <v>5126386.37</v>
      </c>
      <c r="Q257" s="114" t="n">
        <v>0</v>
      </c>
      <c r="R257" s="114" t="n">
        <v>222417.47</v>
      </c>
      <c r="S257" s="114" t="n">
        <v>2639602.22</v>
      </c>
      <c r="T257" s="114" t="n"/>
      <c r="U257" s="114" t="n">
        <v>17913.0210460528</v>
      </c>
      <c r="V257" s="114" t="n">
        <v>1273.283020064</v>
      </c>
      <c r="W257" s="185" t="n">
        <v>2023</v>
      </c>
      <c r="X257" s="129" t="n">
        <v>609180.45</v>
      </c>
      <c r="Y257" s="129" t="n">
        <f aca="false" ca="false" dt2D="false" dtr="false" t="normal">+(K257*9.1+L257*18.19)*12</f>
        <v>388042.19999999995</v>
      </c>
      <c r="AA257" s="130" t="e">
        <f aca="false" ca="false" dt2D="false" dtr="false" t="normal">+N257-'[8]Приложение № 2'!E217</f>
        <v>#REF!</v>
      </c>
      <c r="AD257" s="130" t="e">
        <f aca="false" ca="false" dt2D="false" dtr="false" t="normal">+N257-'[8]Приложение № 2'!E217</f>
        <v>#REF!</v>
      </c>
      <c r="AP257" s="112" t="n">
        <f aca="false" ca="false" dt2D="false" dtr="false" t="normal">+N257-'Приложение №2'!E257</f>
        <v>0</v>
      </c>
      <c r="AQ257" s="121" t="n">
        <v>1198086.63</v>
      </c>
      <c r="AR257" s="3" t="n">
        <f aca="false" ca="false" dt2D="false" dtr="false" t="normal">+(K257*10.5+L257*21)*12*0.85</f>
        <v>380579.85</v>
      </c>
      <c r="AS257" s="3" t="n">
        <f aca="false" ca="false" dt2D="false" dtr="false" t="normal">+(K257*10.5+L257*21)*12*30</f>
        <v>13432230</v>
      </c>
      <c r="AT257" s="9" t="n">
        <f aca="false" ca="false" dt2D="false" dtr="false" t="normal">+S257-AS257</f>
        <v>-10792627.78</v>
      </c>
      <c r="AU257" s="9" t="e">
        <f aca="false" ca="false" dt2D="false" dtr="false" t="normal">+P257-'[5]Приложение №1'!$P252</f>
        <v>#REF!</v>
      </c>
      <c r="AV257" s="9" t="e">
        <f aca="false" ca="false" dt2D="false" dtr="false" t="normal">+Q257-'[5]Приложение №1'!$Q252</f>
        <v>#REF!</v>
      </c>
      <c r="AW257" s="186" t="n">
        <f aca="false" ca="true" dt2D="false" dtr="false" t="normal">SUBTOTAL(9, AX257:BL257)</f>
        <v>63653920.28714863</v>
      </c>
      <c r="AX257" s="106" t="n">
        <v>6426692.68633255</v>
      </c>
      <c r="AY257" s="106" t="n">
        <v>3800269.73767634</v>
      </c>
      <c r="AZ257" s="106" t="n">
        <v>4017145.72480266</v>
      </c>
      <c r="BA257" s="106" t="n">
        <v>3169959.57002912</v>
      </c>
      <c r="BB257" s="106" t="n"/>
      <c r="BC257" s="106" t="n"/>
      <c r="BD257" s="106" t="n">
        <v>296539.21750752</v>
      </c>
      <c r="BE257" s="106" t="n"/>
      <c r="BF257" s="106" t="n">
        <v>11567597.7275539</v>
      </c>
      <c r="BG257" s="106" t="n"/>
      <c r="BH257" s="106" t="n">
        <v>22710934.820188</v>
      </c>
      <c r="BI257" s="106" t="n">
        <v>8931908.6262432</v>
      </c>
      <c r="BJ257" s="106" t="n">
        <v>1439566.81218164</v>
      </c>
      <c r="BK257" s="114" t="n"/>
      <c r="BL257" s="187" t="n">
        <v>1293305.3646337</v>
      </c>
      <c r="BM257" s="186" t="n">
        <f aca="false" ca="true" dt2D="false" dtr="false" t="normal">SUBTOTAL(9, BN257:CB257)</f>
        <v>10457498.86681534</v>
      </c>
      <c r="BN257" s="106" t="n"/>
      <c r="BO257" s="106" t="n"/>
      <c r="BP257" s="106" t="n"/>
      <c r="BQ257" s="106" t="n"/>
      <c r="BR257" s="106" t="n"/>
      <c r="BS257" s="106" t="n"/>
      <c r="BT257" s="106" t="n"/>
      <c r="BU257" s="106" t="n"/>
      <c r="BV257" s="106" t="n">
        <v>7724626.69</v>
      </c>
      <c r="BW257" s="106" t="n"/>
      <c r="BX257" s="106" t="n"/>
      <c r="BY257" s="106" t="n"/>
      <c r="BZ257" s="106" t="n">
        <v>1439566.81218164</v>
      </c>
      <c r="CA257" s="114" t="n"/>
      <c r="CB257" s="115" t="n">
        <v>1293305.3646337</v>
      </c>
      <c r="CD257" s="116" t="n">
        <f aca="false" ca="false" dt2D="false" dtr="false" t="normal">+CD256+1</f>
        <v>238</v>
      </c>
      <c r="CE257" s="117" t="n">
        <f aca="false" ca="false" dt2D="false" dtr="false" t="normal">+CE256+1</f>
        <v>50</v>
      </c>
      <c r="CF257" s="104" t="s">
        <v>111</v>
      </c>
      <c r="CG257" s="117" t="s">
        <v>344</v>
      </c>
      <c r="CH257" s="188" t="n">
        <f aca="false" ca="true" dt2D="false" dtr="false" t="normal">SUBTOTAL(9, CI257:CW257)</f>
        <v>9281711.4246337</v>
      </c>
      <c r="CI257" s="114" t="n"/>
      <c r="CJ257" s="114" t="n"/>
      <c r="CK257" s="114" t="n"/>
      <c r="CL257" s="114" t="n"/>
      <c r="CM257" s="114" t="n"/>
      <c r="CN257" s="114" t="n"/>
      <c r="CO257" s="114" t="n"/>
      <c r="CP257" s="114" t="n"/>
      <c r="CQ257" s="114" t="n">
        <v>7724626.69</v>
      </c>
      <c r="CR257" s="114" t="n"/>
      <c r="CS257" s="114" t="n"/>
      <c r="CT257" s="114" t="n"/>
      <c r="CU257" s="114" t="n">
        <v>239779.37</v>
      </c>
      <c r="CV257" s="114" t="n">
        <v>24000</v>
      </c>
      <c r="CW257" s="115" t="n">
        <v>1293305.3646337</v>
      </c>
      <c r="CZ257" s="117" t="s">
        <v>344</v>
      </c>
      <c r="DA257" s="189" t="n">
        <f aca="false" ca="true" dt2D="false" dtr="false" t="normal">SUBTOTAL(9, DB257:DP257)</f>
        <v>7988406.0600000005</v>
      </c>
      <c r="DB257" s="114" t="n"/>
      <c r="DC257" s="114" t="n"/>
      <c r="DD257" s="114" t="n"/>
      <c r="DE257" s="114" t="n"/>
      <c r="DF257" s="114" t="n"/>
      <c r="DG257" s="114" t="n"/>
      <c r="DH257" s="114" t="n"/>
      <c r="DI257" s="114" t="n"/>
      <c r="DJ257" s="114" t="n">
        <v>7724626.69</v>
      </c>
      <c r="DK257" s="114" t="n"/>
      <c r="DL257" s="114" t="n"/>
      <c r="DM257" s="114" t="n"/>
      <c r="DN257" s="114" t="n">
        <v>239779.37</v>
      </c>
      <c r="DO257" s="114" t="n">
        <v>24000</v>
      </c>
      <c r="DP257" s="122" t="n"/>
      <c r="DQ257" s="3" t="n">
        <f aca="false" ca="false" dt2D="false" dtr="false" t="normal">N257-DA257</f>
        <v>0</v>
      </c>
      <c r="DS257" s="9" t="n"/>
    </row>
    <row customFormat="true" hidden="false" ht="15" outlineLevel="0" r="258" s="129">
      <c r="A258" s="183" t="n">
        <f aca="false" ca="false" dt2D="false" dtr="false" t="normal">+A257+1</f>
        <v>239</v>
      </c>
      <c r="B258" s="184" t="n">
        <f aca="false" ca="false" dt2D="false" dtr="false" t="normal">+B257+1</f>
        <v>51</v>
      </c>
      <c r="C258" s="117" t="s">
        <v>111</v>
      </c>
      <c r="D258" s="117" t="s">
        <v>346</v>
      </c>
      <c r="E258" s="105" t="s">
        <v>347</v>
      </c>
      <c r="F258" s="105" t="n"/>
      <c r="G258" s="105" t="s">
        <v>68</v>
      </c>
      <c r="H258" s="105" t="s">
        <v>104</v>
      </c>
      <c r="I258" s="105" t="s">
        <v>187</v>
      </c>
      <c r="J258" s="106" t="n">
        <v>4021.68</v>
      </c>
      <c r="K258" s="106" t="n">
        <v>3212.2</v>
      </c>
      <c r="L258" s="106" t="n">
        <v>201.5</v>
      </c>
      <c r="M258" s="107" t="n">
        <v>152</v>
      </c>
      <c r="N258" s="108" t="n">
        <f aca="false" ca="false" dt2D="false" dtr="false" t="normal">SUM(P258:T258)</f>
        <v>10694243.400000006</v>
      </c>
      <c r="O258" s="187" t="n">
        <v>0</v>
      </c>
      <c r="P258" s="137" t="n">
        <v>149071.000536125</v>
      </c>
      <c r="Q258" s="203" t="n">
        <v>0</v>
      </c>
      <c r="R258" s="114" t="n">
        <v>2328970.2974678</v>
      </c>
      <c r="S258" s="114" t="n">
        <v>8216202.10199608</v>
      </c>
      <c r="T258" s="114" t="n"/>
      <c r="U258" s="114" t="n">
        <v>10424.7416228185</v>
      </c>
      <c r="V258" s="114" t="n">
        <v>1274.283020064</v>
      </c>
      <c r="W258" s="185" t="n">
        <v>2023</v>
      </c>
      <c r="X258" s="129" t="n">
        <v>1358102.97</v>
      </c>
      <c r="Y258" s="129" t="n">
        <f aca="false" ca="false" dt2D="false" dtr="false" t="normal">+(K258*9.1+L258*18.19)*12</f>
        <v>394755.66000000003</v>
      </c>
      <c r="AA258" s="130" t="e">
        <f aca="false" ca="false" dt2D="false" dtr="false" t="normal">+N258-'[8]Приложение № 2'!E244</f>
        <v>#REF!</v>
      </c>
      <c r="AD258" s="130" t="e">
        <f aca="false" ca="false" dt2D="false" dtr="false" t="normal">+N258-'[8]Приложение № 2'!E244</f>
        <v>#REF!</v>
      </c>
      <c r="AP258" s="112" t="n">
        <f aca="false" ca="false" dt2D="false" dtr="false" t="normal">+N258-'Приложение №2'!E258</f>
        <v>0</v>
      </c>
      <c r="AQ258" s="121" t="n">
        <v>2065064.66</v>
      </c>
      <c r="AR258" s="3" t="n">
        <f aca="false" ca="false" dt2D="false" dtr="false" t="normal">+(K258*10.5+L258*21)*12*0.85</f>
        <v>387187.9199999999</v>
      </c>
      <c r="AS258" s="3" t="n">
        <f aca="false" ca="false" dt2D="false" dtr="false" t="normal">+(K258*10.5+L258*21)*12*30</f>
        <v>13665455.999999998</v>
      </c>
      <c r="AT258" s="9" t="n">
        <f aca="false" ca="false" dt2D="false" dtr="false" t="normal">+S258-AS258</f>
        <v>-5449253.898003918</v>
      </c>
      <c r="AU258" s="9" t="e">
        <f aca="false" ca="false" dt2D="false" dtr="false" t="normal">+P258-'[5]Приложение №1'!$P279</f>
        <v>#REF!</v>
      </c>
      <c r="AV258" s="9" t="e">
        <f aca="false" ca="false" dt2D="false" dtr="false" t="normal">+Q258-'[5]Приложение №1'!$Q279</f>
        <v>#REF!</v>
      </c>
      <c r="AW258" s="186" t="n">
        <f aca="false" ca="true" dt2D="false" dtr="false" t="normal">SUBTOTAL(9, AX258:BL258)</f>
        <v>33486355.040817678</v>
      </c>
      <c r="AX258" s="106" t="n">
        <v>8643306.52607179</v>
      </c>
      <c r="AY258" s="106" t="n">
        <v>3051788.91795956</v>
      </c>
      <c r="AZ258" s="106" t="n">
        <v>3312688.90080277</v>
      </c>
      <c r="BA258" s="106" t="n"/>
      <c r="BB258" s="106" t="n"/>
      <c r="BC258" s="106" t="n"/>
      <c r="BD258" s="106" t="n">
        <v>312733.521258714</v>
      </c>
      <c r="BE258" s="106" t="n">
        <v>0</v>
      </c>
      <c r="BF258" s="106" t="n">
        <v>16148584.3526203</v>
      </c>
      <c r="BG258" s="106" t="n">
        <v>0</v>
      </c>
      <c r="BH258" s="106" t="n">
        <v>0</v>
      </c>
      <c r="BI258" s="106" t="n">
        <v>0</v>
      </c>
      <c r="BJ258" s="106" t="n">
        <v>1231638.8674678</v>
      </c>
      <c r="BK258" s="114" t="n">
        <v>24000</v>
      </c>
      <c r="BL258" s="187" t="n">
        <v>761613.954636745</v>
      </c>
      <c r="BM258" s="186" t="n">
        <f aca="false" ca="true" dt2D="false" dtr="false" t="normal">SUBTOTAL(9, BN258:CB258)</f>
        <v>31887528.940014906</v>
      </c>
      <c r="BN258" s="106" t="n">
        <v>8643306.52607179</v>
      </c>
      <c r="BO258" s="106" t="n">
        <v>3051788.91795956</v>
      </c>
      <c r="BP258" s="192" t="n">
        <v>1713862.8</v>
      </c>
      <c r="BQ258" s="106" t="n"/>
      <c r="BR258" s="106" t="n"/>
      <c r="BS258" s="106" t="n"/>
      <c r="BT258" s="106" t="n">
        <v>312733.521258714</v>
      </c>
      <c r="BU258" s="106" t="n">
        <v>0</v>
      </c>
      <c r="BV258" s="106" t="n">
        <v>16148584.3526203</v>
      </c>
      <c r="BW258" s="106" t="n">
        <v>0</v>
      </c>
      <c r="BX258" s="106" t="n">
        <v>0</v>
      </c>
      <c r="BY258" s="106" t="n">
        <v>0</v>
      </c>
      <c r="BZ258" s="106" t="n">
        <v>1231638.8674678</v>
      </c>
      <c r="CA258" s="114" t="n">
        <v>24000</v>
      </c>
      <c r="CB258" s="115" t="n">
        <v>761613.954636745</v>
      </c>
      <c r="CD258" s="116" t="n">
        <f aca="false" ca="false" dt2D="false" dtr="false" t="normal">+CD257+1</f>
        <v>239</v>
      </c>
      <c r="CE258" s="117" t="n">
        <f aca="false" ca="false" dt2D="false" dtr="false" t="normal">+CE257+1</f>
        <v>51</v>
      </c>
      <c r="CF258" s="104" t="s">
        <v>111</v>
      </c>
      <c r="CG258" s="117" t="s">
        <v>346</v>
      </c>
      <c r="CH258" s="188" t="n">
        <f aca="false" ca="true" dt2D="false" dtr="false" t="normal">SUBTOTAL(9, CI258:CW258)</f>
        <v>11455857.354636747</v>
      </c>
      <c r="CI258" s="114" t="n"/>
      <c r="CJ258" s="114" t="n"/>
      <c r="CK258" s="114" t="n">
        <v>1713863.8</v>
      </c>
      <c r="CL258" s="114" t="n"/>
      <c r="CM258" s="114" t="n"/>
      <c r="CN258" s="114" t="n"/>
      <c r="CO258" s="114" t="n"/>
      <c r="CP258" s="114" t="n">
        <v>0</v>
      </c>
      <c r="CQ258" s="114" t="n">
        <v>8587544.47</v>
      </c>
      <c r="CR258" s="114" t="n">
        <v>0</v>
      </c>
      <c r="CS258" s="114" t="n">
        <v>0</v>
      </c>
      <c r="CT258" s="114" t="n">
        <v>0</v>
      </c>
      <c r="CU258" s="114" t="n">
        <v>384835.13</v>
      </c>
      <c r="CV258" s="114" t="n">
        <v>8000</v>
      </c>
      <c r="CW258" s="115" t="n">
        <v>761613.954636745</v>
      </c>
      <c r="CZ258" s="117" t="s">
        <v>346</v>
      </c>
      <c r="DA258" s="189" t="n">
        <f aca="false" ca="true" dt2D="false" dtr="false" t="normal">SUBTOTAL(9, DB258:DP258)</f>
        <v>10694243.400000002</v>
      </c>
      <c r="DB258" s="114" t="n"/>
      <c r="DC258" s="114" t="n"/>
      <c r="DD258" s="114" t="n">
        <v>1713863.8</v>
      </c>
      <c r="DE258" s="114" t="n"/>
      <c r="DF258" s="114" t="n"/>
      <c r="DG258" s="114" t="n"/>
      <c r="DH258" s="114" t="n"/>
      <c r="DI258" s="114" t="n">
        <v>0</v>
      </c>
      <c r="DJ258" s="114" t="n">
        <v>8587544.47</v>
      </c>
      <c r="DK258" s="114" t="n">
        <v>0</v>
      </c>
      <c r="DL258" s="114" t="n">
        <v>0</v>
      </c>
      <c r="DM258" s="114" t="n">
        <v>0</v>
      </c>
      <c r="DN258" s="114" t="n">
        <v>384835.13</v>
      </c>
      <c r="DO258" s="114" t="n">
        <v>8000</v>
      </c>
      <c r="DP258" s="122" t="n"/>
      <c r="DQ258" s="3" t="n">
        <f aca="false" ca="false" dt2D="false" dtr="false" t="normal">N258-DA258</f>
        <v>0</v>
      </c>
      <c r="DS258" s="9" t="n"/>
    </row>
    <row hidden="false" ht="15" outlineLevel="0" r="259">
      <c r="A259" s="183" t="n">
        <f aca="false" ca="false" dt2D="false" dtr="false" t="normal">+A258+1</f>
        <v>240</v>
      </c>
      <c r="B259" s="184" t="n">
        <f aca="false" ca="false" dt2D="false" dtr="false" t="normal">+B258+1</f>
        <v>52</v>
      </c>
      <c r="C259" s="117" t="s">
        <v>111</v>
      </c>
      <c r="D259" s="117" t="s">
        <v>348</v>
      </c>
      <c r="E259" s="105" t="n">
        <v>1974</v>
      </c>
      <c r="F259" s="105" t="n">
        <v>2012</v>
      </c>
      <c r="G259" s="105" t="s">
        <v>68</v>
      </c>
      <c r="H259" s="105" t="n">
        <v>4</v>
      </c>
      <c r="I259" s="105" t="n">
        <v>4</v>
      </c>
      <c r="J259" s="106" t="n">
        <v>3917</v>
      </c>
      <c r="K259" s="106" t="n">
        <v>3431.9</v>
      </c>
      <c r="L259" s="106" t="n">
        <v>0</v>
      </c>
      <c r="M259" s="107" t="n">
        <v>163</v>
      </c>
      <c r="N259" s="108" t="n">
        <f aca="false" ca="false" dt2D="false" dtr="false" t="normal">SUM(P259:T259)</f>
        <v>20897027.44</v>
      </c>
      <c r="O259" s="114" t="n"/>
      <c r="P259" s="197" t="n">
        <f aca="false" ca="false" dt2D="false" dtr="false" t="normal">12823381.3-1578018.06</f>
        <v>11245363.24</v>
      </c>
      <c r="Q259" s="114" t="n"/>
      <c r="R259" s="114" t="n">
        <v>2888397.14</v>
      </c>
      <c r="S259" s="114" t="n">
        <v>6763267.06</v>
      </c>
      <c r="T259" s="114" t="n"/>
      <c r="U259" s="106" t="n">
        <v>8137.32749745005</v>
      </c>
      <c r="V259" s="106" t="n">
        <v>8137.32749745005</v>
      </c>
      <c r="W259" s="185" t="n">
        <v>2023</v>
      </c>
      <c r="X259" s="9" t="e">
        <f aca="false" ca="false" dt2D="false" dtr="false" t="normal">+#REF!-'[9]Приложение №1'!$P397</f>
        <v>#REF!</v>
      </c>
      <c r="Z259" s="113" t="n">
        <f aca="false" ca="false" dt2D="false" dtr="false" t="normal">SUM(AA259:AO259)</f>
        <v>9641868.17</v>
      </c>
      <c r="AA259" s="106" t="n">
        <v>0</v>
      </c>
      <c r="AB259" s="106" t="n">
        <v>0</v>
      </c>
      <c r="AC259" s="106" t="n">
        <v>0</v>
      </c>
      <c r="AD259" s="106" t="n">
        <v>0</v>
      </c>
      <c r="AE259" s="106" t="n">
        <v>0</v>
      </c>
      <c r="AF259" s="106" t="n"/>
      <c r="AG259" s="106" t="n">
        <v>0</v>
      </c>
      <c r="AH259" s="106" t="n">
        <v>0</v>
      </c>
      <c r="AI259" s="106" t="n">
        <v>0</v>
      </c>
      <c r="AJ259" s="106" t="n">
        <v>0</v>
      </c>
      <c r="AK259" s="106" t="n">
        <v>0</v>
      </c>
      <c r="AL259" s="106" t="n">
        <v>8397623.65013418</v>
      </c>
      <c r="AM259" s="106" t="n">
        <v>964186.817</v>
      </c>
      <c r="AN259" s="114" t="n">
        <v>96418.6817</v>
      </c>
      <c r="AO259" s="115" t="n">
        <v>183639.02116582</v>
      </c>
      <c r="AP259" s="112" t="n">
        <f aca="false" ca="false" dt2D="false" dtr="false" t="normal">+N259-'Приложение №2'!E259</f>
        <v>0</v>
      </c>
      <c r="AQ259" s="129" t="n">
        <v>1639882.92</v>
      </c>
      <c r="AR259" s="3" t="n">
        <f aca="false" ca="false" dt2D="false" dtr="false" t="normal">+(K259*10+L259*20)*12*0.85</f>
        <v>350053.8</v>
      </c>
      <c r="AS259" s="3" t="n">
        <f aca="false" ca="false" dt2D="false" dtr="false" t="normal">+(K259*10+L259*20)*12*30</f>
        <v>12354840</v>
      </c>
      <c r="AT259" s="9" t="n">
        <f aca="false" ca="false" dt2D="false" dtr="false" t="normal">+S259-AS259</f>
        <v>-5591572.94</v>
      </c>
      <c r="AU259" s="9" t="e">
        <f aca="false" ca="false" dt2D="false" dtr="false" t="normal">+P259-'[5]Приложение №1'!$P276</f>
        <v>#REF!</v>
      </c>
      <c r="AV259" s="9" t="e">
        <f aca="false" ca="false" dt2D="false" dtr="false" t="normal">+Q259-'[5]Приложение №1'!$Q276</f>
        <v>#REF!</v>
      </c>
      <c r="AW259" s="113" t="n">
        <f aca="false" ca="true" dt2D="false" dtr="false" t="normal">SUBTOTAL(9, AX259:BL259)</f>
        <v>27926494.23849884</v>
      </c>
      <c r="AX259" s="106" t="n">
        <v>8202360.14091848</v>
      </c>
      <c r="AY259" s="106" t="n">
        <v>3191095.72</v>
      </c>
      <c r="AZ259" s="106" t="n">
        <v>3053714.15014692</v>
      </c>
      <c r="BA259" s="106" t="n">
        <v>2949494.6598</v>
      </c>
      <c r="BB259" s="106" t="n"/>
      <c r="BC259" s="106" t="n"/>
      <c r="BD259" s="106" t="n">
        <v>314730.647767616</v>
      </c>
      <c r="BE259" s="106" t="n">
        <v>0</v>
      </c>
      <c r="BF259" s="106" t="n">
        <v>0</v>
      </c>
      <c r="BG259" s="106" t="n">
        <v>0</v>
      </c>
      <c r="BH259" s="106" t="n">
        <v>0</v>
      </c>
      <c r="BI259" s="106" t="n">
        <v>8970854.4</v>
      </c>
      <c r="BJ259" s="106" t="n">
        <v>964186.817</v>
      </c>
      <c r="BK259" s="114" t="n">
        <v>96418.6817</v>
      </c>
      <c r="BL259" s="187" t="n">
        <v>183639.02116582</v>
      </c>
      <c r="BM259" s="113" t="n">
        <f aca="false" ca="true" dt2D="false" dtr="false" t="normal">SUBTOTAL(9, BN259:CB259)</f>
        <v>22973034.177433442</v>
      </c>
      <c r="BN259" s="192" t="n">
        <v>4390563.84</v>
      </c>
      <c r="BO259" s="106" t="n">
        <v>3191095.72</v>
      </c>
      <c r="BP259" s="192" t="n">
        <v>1727150.4</v>
      </c>
      <c r="BQ259" s="106" t="n">
        <v>2949494.6598</v>
      </c>
      <c r="BR259" s="106" t="n"/>
      <c r="BS259" s="106" t="n"/>
      <c r="BT259" s="106" t="n">
        <v>314730.647767616</v>
      </c>
      <c r="BU259" s="106" t="n">
        <v>0</v>
      </c>
      <c r="BV259" s="106" t="n">
        <v>0</v>
      </c>
      <c r="BW259" s="106" t="n">
        <v>0</v>
      </c>
      <c r="BX259" s="106" t="n">
        <v>0</v>
      </c>
      <c r="BY259" s="192" t="n">
        <v>9155754.39</v>
      </c>
      <c r="BZ259" s="106" t="n">
        <v>964186.817</v>
      </c>
      <c r="CA259" s="114" t="n">
        <v>96418.6817</v>
      </c>
      <c r="CB259" s="115" t="n">
        <v>183639.02116582</v>
      </c>
      <c r="CD259" s="116" t="n">
        <f aca="false" ca="false" dt2D="false" dtr="false" t="normal">+CD258+1</f>
        <v>240</v>
      </c>
      <c r="CE259" s="117" t="n">
        <f aca="false" ca="false" dt2D="false" dtr="false" t="normal">+CE258+1</f>
        <v>52</v>
      </c>
      <c r="CF259" s="104" t="s">
        <v>111</v>
      </c>
      <c r="CG259" s="117" t="s">
        <v>348</v>
      </c>
      <c r="CH259" s="118" t="n">
        <f aca="false" ca="true" dt2D="false" dtr="false" t="normal">SUBTOTAL(9, CI259:CW259)</f>
        <v>21080666.461165823</v>
      </c>
      <c r="CI259" s="114" t="n">
        <v>4390563.84</v>
      </c>
      <c r="CJ259" s="114" t="n">
        <v>3052029.01</v>
      </c>
      <c r="CK259" s="114" t="n">
        <v>1727150.4</v>
      </c>
      <c r="CL259" s="114" t="n">
        <v>1510543.31</v>
      </c>
      <c r="CM259" s="114" t="n"/>
      <c r="CN259" s="114" t="n"/>
      <c r="CO259" s="114" t="n"/>
      <c r="CP259" s="114" t="n">
        <v>0</v>
      </c>
      <c r="CQ259" s="114" t="n">
        <v>0</v>
      </c>
      <c r="CR259" s="114" t="n">
        <v>0</v>
      </c>
      <c r="CS259" s="114" t="n">
        <v>0</v>
      </c>
      <c r="CT259" s="114" t="n">
        <v>9155754.39</v>
      </c>
      <c r="CU259" s="114" t="n">
        <v>1031786.49</v>
      </c>
      <c r="CV259" s="114" t="n">
        <v>29200</v>
      </c>
      <c r="CW259" s="115" t="n">
        <v>183639.02116582</v>
      </c>
      <c r="CZ259" s="117" t="s">
        <v>348</v>
      </c>
      <c r="DA259" s="119" t="n">
        <f aca="false" ca="true" dt2D="false" dtr="false" t="normal">SUBTOTAL(9, DB259:DP259)</f>
        <v>20897027.44</v>
      </c>
      <c r="DB259" s="114" t="n">
        <v>4390563.84</v>
      </c>
      <c r="DC259" s="114" t="n">
        <v>3052029.01</v>
      </c>
      <c r="DD259" s="114" t="n">
        <v>1727150.4</v>
      </c>
      <c r="DE259" s="114" t="n">
        <v>1510543.31</v>
      </c>
      <c r="DF259" s="114" t="n"/>
      <c r="DG259" s="114" t="n"/>
      <c r="DH259" s="114" t="n"/>
      <c r="DI259" s="114" t="n">
        <v>0</v>
      </c>
      <c r="DJ259" s="114" t="n">
        <v>0</v>
      </c>
      <c r="DK259" s="114" t="n">
        <v>0</v>
      </c>
      <c r="DL259" s="114" t="n">
        <v>0</v>
      </c>
      <c r="DM259" s="114" t="n">
        <v>9155754.39</v>
      </c>
      <c r="DN259" s="114" t="n">
        <v>1031786.49</v>
      </c>
      <c r="DO259" s="114" t="n">
        <v>29200</v>
      </c>
      <c r="DP259" s="122" t="n"/>
      <c r="DQ259" s="3" t="n">
        <f aca="false" ca="false" dt2D="false" dtr="false" t="normal">N259-DA259</f>
        <v>0</v>
      </c>
      <c r="DS259" s="9" t="n"/>
    </row>
    <row hidden="false" ht="15" outlineLevel="0" r="260">
      <c r="A260" s="183" t="n">
        <f aca="false" ca="false" dt2D="false" dtr="false" t="normal">+A259+1</f>
        <v>241</v>
      </c>
      <c r="B260" s="184" t="n">
        <f aca="false" ca="false" dt2D="false" dtr="false" t="normal">+B259+1</f>
        <v>53</v>
      </c>
      <c r="C260" s="117" t="s">
        <v>111</v>
      </c>
      <c r="D260" s="117" t="s">
        <v>138</v>
      </c>
      <c r="E260" s="105" t="n">
        <v>1977</v>
      </c>
      <c r="F260" s="105" t="n">
        <v>1977</v>
      </c>
      <c r="G260" s="105" t="s">
        <v>68</v>
      </c>
      <c r="H260" s="105" t="n">
        <v>4</v>
      </c>
      <c r="I260" s="105" t="n">
        <v>6</v>
      </c>
      <c r="J260" s="106" t="n">
        <v>5672.9</v>
      </c>
      <c r="K260" s="106" t="n">
        <v>4964.7</v>
      </c>
      <c r="L260" s="106" t="n">
        <v>0</v>
      </c>
      <c r="M260" s="107" t="n">
        <v>207</v>
      </c>
      <c r="N260" s="108" t="n">
        <f aca="false" ca="false" dt2D="false" dtr="false" t="normal">SUM(P260:T260)</f>
        <v>15205863.19</v>
      </c>
      <c r="O260" s="114" t="n"/>
      <c r="P260" s="114" t="n">
        <v>4124901.9</v>
      </c>
      <c r="Q260" s="114" t="n"/>
      <c r="R260" s="114" t="n">
        <v>956163.06</v>
      </c>
      <c r="S260" s="114" t="n">
        <v>7066347.9404288</v>
      </c>
      <c r="T260" s="114" t="n">
        <v>3058450.2895712</v>
      </c>
      <c r="U260" s="114" t="n">
        <v>2446.75668226253</v>
      </c>
      <c r="V260" s="114" t="n">
        <v>2446.75668226253</v>
      </c>
      <c r="W260" s="185" t="n">
        <v>2023</v>
      </c>
      <c r="X260" s="9" t="e">
        <f aca="false" ca="false" dt2D="false" dtr="false" t="normal">+#REF!-'[9]Приложение №1'!$P1232</f>
        <v>#REF!</v>
      </c>
      <c r="Z260" s="113" t="n">
        <f aca="false" ca="false" dt2D="false" dtr="false" t="normal">SUM(AA260:AO260)</f>
        <v>40803772.099999994</v>
      </c>
      <c r="AA260" s="106" t="n">
        <v>8274934.64577234</v>
      </c>
      <c r="AB260" s="106" t="n">
        <v>4785620.927829</v>
      </c>
      <c r="AC260" s="106" t="n">
        <v>5058755.65572132</v>
      </c>
      <c r="AD260" s="106" t="n">
        <v>3857344.19215992</v>
      </c>
      <c r="AE260" s="106" t="n">
        <v>1540930.04571114</v>
      </c>
      <c r="AF260" s="106" t="n"/>
      <c r="AG260" s="106" t="n">
        <v>411179.3229852</v>
      </c>
      <c r="AH260" s="106" t="n">
        <v>0</v>
      </c>
      <c r="AI260" s="106" t="n">
        <v>0</v>
      </c>
      <c r="AJ260" s="106" t="n">
        <v>0</v>
      </c>
      <c r="AK260" s="106" t="n">
        <v>0</v>
      </c>
      <c r="AL260" s="106" t="n">
        <v>11247866.8889202</v>
      </c>
      <c r="AM260" s="106" t="n">
        <v>4449861.0098</v>
      </c>
      <c r="AN260" s="114" t="n">
        <v>408037.721</v>
      </c>
      <c r="AO260" s="115" t="n">
        <v>769241.69010088</v>
      </c>
      <c r="AP260" s="204" t="s">
        <v>349</v>
      </c>
      <c r="AQ260" s="9" t="n">
        <f aca="false" ca="false" dt2D="false" dtr="false" t="normal">2390424.58-114155.72-R78</f>
        <v>638041.8599999999</v>
      </c>
      <c r="AR260" s="3" t="n">
        <f aca="false" ca="false" dt2D="false" dtr="false" t="normal">+(K260*10+L260*20)*12*0.85</f>
        <v>506399.39999999997</v>
      </c>
      <c r="AS260" s="3" t="n">
        <f aca="false" ca="false" dt2D="false" dtr="false" t="normal">+(K260*10+L260*20)*12*30-S78</f>
        <v>6254675.2815712</v>
      </c>
      <c r="AT260" s="9" t="n">
        <f aca="false" ca="false" dt2D="false" dtr="false" t="normal">+S260-AS260</f>
        <v>811672.6588575998</v>
      </c>
      <c r="AW260" s="113" t="n">
        <f aca="false" ca="true" dt2D="false" dtr="false" t="normal">SUBTOTAL(9, AX260:BL260)</f>
        <v>12147412.900428798</v>
      </c>
      <c r="AX260" s="106" t="n"/>
      <c r="AY260" s="106" t="n">
        <v>5603246.21</v>
      </c>
      <c r="AZ260" s="106" t="n">
        <v>2551720.82</v>
      </c>
      <c r="BA260" s="106" t="n">
        <v>3180773.21</v>
      </c>
      <c r="BB260" s="106" t="n"/>
      <c r="BC260" s="106" t="n"/>
      <c r="BD260" s="106" t="n"/>
      <c r="BE260" s="106" t="n">
        <v>0</v>
      </c>
      <c r="BF260" s="106" t="n">
        <v>0</v>
      </c>
      <c r="BG260" s="106" t="n">
        <v>0</v>
      </c>
      <c r="BH260" s="106" t="n">
        <v>0</v>
      </c>
      <c r="BI260" s="106" t="n"/>
      <c r="BJ260" s="106" t="n"/>
      <c r="BK260" s="114" t="n"/>
      <c r="BL260" s="187" t="n">
        <v>811672.6604288</v>
      </c>
      <c r="BM260" s="113" t="n">
        <f aca="false" ca="true" dt2D="false" dtr="false" t="normal">SUBTOTAL(9, BN260:CB260)</f>
        <v>16017535.850428797</v>
      </c>
      <c r="BN260" s="106" t="n"/>
      <c r="BO260" s="106" t="n">
        <v>5603246.21</v>
      </c>
      <c r="BP260" s="106" t="n">
        <v>2551720.82</v>
      </c>
      <c r="BQ260" s="106" t="n">
        <v>3180773.21</v>
      </c>
      <c r="BR260" s="106" t="n"/>
      <c r="BS260" s="106" t="n"/>
      <c r="BT260" s="106" t="n"/>
      <c r="BU260" s="106" t="n">
        <v>0</v>
      </c>
      <c r="BV260" s="106" t="n">
        <v>0</v>
      </c>
      <c r="BW260" s="106" t="n">
        <v>0</v>
      </c>
      <c r="BX260" s="106" t="n">
        <v>0</v>
      </c>
      <c r="BY260" s="106" t="n">
        <v>3870122.95</v>
      </c>
      <c r="BZ260" s="106" t="n"/>
      <c r="CA260" s="114" t="n"/>
      <c r="CB260" s="115" t="n">
        <v>811672.6604288</v>
      </c>
      <c r="CD260" s="116" t="n">
        <f aca="false" ca="false" dt2D="false" dtr="false" t="normal">+CD259+1</f>
        <v>241</v>
      </c>
      <c r="CE260" s="117" t="n">
        <f aca="false" ca="false" dt2D="false" dtr="false" t="normal">+CE259+1</f>
        <v>53</v>
      </c>
      <c r="CF260" s="104" t="s">
        <v>111</v>
      </c>
      <c r="CG260" s="117" t="s">
        <v>138</v>
      </c>
      <c r="CH260" s="118" t="n">
        <f aca="false" ca="true" dt2D="false" dtr="false" t="normal">SUBTOTAL(9, CI260:CW260)</f>
        <v>16017535.850428797</v>
      </c>
      <c r="CI260" s="114" t="n"/>
      <c r="CJ260" s="114" t="n">
        <v>5603246.21</v>
      </c>
      <c r="CK260" s="114" t="n">
        <v>2551720.82</v>
      </c>
      <c r="CL260" s="114" t="n">
        <v>3180773.21</v>
      </c>
      <c r="CM260" s="114" t="n"/>
      <c r="CN260" s="114" t="n"/>
      <c r="CO260" s="114" t="n"/>
      <c r="CP260" s="114" t="n">
        <v>0</v>
      </c>
      <c r="CQ260" s="114" t="n">
        <v>0</v>
      </c>
      <c r="CR260" s="114" t="n">
        <v>0</v>
      </c>
      <c r="CS260" s="114" t="n">
        <v>0</v>
      </c>
      <c r="CT260" s="114" t="n">
        <v>3870122.95</v>
      </c>
      <c r="CU260" s="114" t="n"/>
      <c r="CV260" s="114" t="n"/>
      <c r="CW260" s="115" t="n">
        <v>811672.6604288</v>
      </c>
      <c r="CZ260" s="117" t="s">
        <v>138</v>
      </c>
      <c r="DA260" s="119" t="n">
        <f aca="false" ca="true" dt2D="false" dtr="false" t="normal">SUBTOTAL(9, DB260:DP260)</f>
        <v>15205863.189999998</v>
      </c>
      <c r="DB260" s="114" t="n"/>
      <c r="DC260" s="114" t="n">
        <v>5603246.21</v>
      </c>
      <c r="DD260" s="114" t="n">
        <v>2551720.82</v>
      </c>
      <c r="DE260" s="114" t="n">
        <v>3180773.21</v>
      </c>
      <c r="DF260" s="114" t="n"/>
      <c r="DG260" s="114" t="n"/>
      <c r="DH260" s="114" t="n"/>
      <c r="DI260" s="114" t="n">
        <v>0</v>
      </c>
      <c r="DJ260" s="114" t="n">
        <v>0</v>
      </c>
      <c r="DK260" s="114" t="n">
        <v>0</v>
      </c>
      <c r="DL260" s="114" t="n">
        <v>0</v>
      </c>
      <c r="DM260" s="114" t="n">
        <v>3870122.95</v>
      </c>
      <c r="DN260" s="114" t="n"/>
      <c r="DO260" s="114" t="n"/>
      <c r="DP260" s="122" t="n"/>
      <c r="DQ260" s="3" t="n">
        <f aca="false" ca="false" dt2D="false" dtr="false" t="normal">N260-DA260</f>
        <v>0</v>
      </c>
      <c r="DS260" s="9" t="n"/>
    </row>
    <row hidden="false" ht="15" outlineLevel="0" r="261">
      <c r="A261" s="183" t="n">
        <f aca="false" ca="false" dt2D="false" dtr="false" t="normal">+A260+1</f>
        <v>242</v>
      </c>
      <c r="B261" s="184" t="n">
        <f aca="false" ca="false" dt2D="false" dtr="false" t="normal">+B260+1</f>
        <v>54</v>
      </c>
      <c r="C261" s="104" t="s">
        <v>111</v>
      </c>
      <c r="D261" s="104" t="s">
        <v>350</v>
      </c>
      <c r="E261" s="105" t="n">
        <v>1977</v>
      </c>
      <c r="F261" s="105" t="n">
        <v>2013</v>
      </c>
      <c r="G261" s="105" t="s">
        <v>68</v>
      </c>
      <c r="H261" s="105" t="n">
        <v>4</v>
      </c>
      <c r="I261" s="105" t="n">
        <v>6</v>
      </c>
      <c r="J261" s="106" t="n">
        <v>5713.5</v>
      </c>
      <c r="K261" s="106" t="n">
        <v>5033.6</v>
      </c>
      <c r="L261" s="106" t="n">
        <v>0</v>
      </c>
      <c r="M261" s="107" t="n">
        <v>226</v>
      </c>
      <c r="N261" s="108" t="n">
        <f aca="false" ca="false" dt2D="false" dtr="false" t="normal">SUM(P261:T261)</f>
        <v>1990601.96</v>
      </c>
      <c r="O261" s="106" t="n"/>
      <c r="P261" s="114" t="n"/>
      <c r="Q261" s="114" t="n"/>
      <c r="R261" s="114" t="n">
        <v>1990601.96</v>
      </c>
      <c r="S261" s="114" t="n"/>
      <c r="T261" s="114" t="n"/>
      <c r="U261" s="106" t="n">
        <v>398.323521932613</v>
      </c>
      <c r="V261" s="106" t="n">
        <v>398.323521932613</v>
      </c>
      <c r="W261" s="185" t="n">
        <v>2023</v>
      </c>
      <c r="X261" s="9" t="e">
        <f aca="false" ca="false" dt2D="false" dtr="false" t="normal">+#REF!-'[9]Приложение №1'!$P658</f>
        <v>#REF!</v>
      </c>
      <c r="Z261" s="113" t="n">
        <f aca="false" ca="false" dt2D="false" dtr="false" t="normal">SUM(AA261:AO261)</f>
        <v>2266972.17</v>
      </c>
      <c r="AA261" s="106" t="n">
        <v>0</v>
      </c>
      <c r="AB261" s="106" t="n">
        <v>0</v>
      </c>
      <c r="AC261" s="106" t="n">
        <v>0</v>
      </c>
      <c r="AD261" s="106" t="n">
        <v>0</v>
      </c>
      <c r="AE261" s="106" t="n">
        <v>1990601.96</v>
      </c>
      <c r="AF261" s="106" t="n"/>
      <c r="AG261" s="106" t="n">
        <v>0</v>
      </c>
      <c r="AH261" s="106" t="n">
        <v>0</v>
      </c>
      <c r="AI261" s="106" t="n">
        <v>0</v>
      </c>
      <c r="AJ261" s="106" t="n">
        <v>0</v>
      </c>
      <c r="AK261" s="106" t="n">
        <v>0</v>
      </c>
      <c r="AL261" s="106" t="n">
        <v>0</v>
      </c>
      <c r="AM261" s="106" t="n">
        <v>251970.89</v>
      </c>
      <c r="AN261" s="114" t="n">
        <v>10000</v>
      </c>
      <c r="AO261" s="115" t="n">
        <v>14399.32</v>
      </c>
      <c r="AP261" s="112" t="n">
        <f aca="false" ca="false" dt2D="false" dtr="false" t="normal">+N261-'Приложение №2'!E261</f>
        <v>0</v>
      </c>
      <c r="AQ261" s="1" t="n">
        <v>2355088.06</v>
      </c>
      <c r="AR261" s="3" t="n">
        <f aca="false" ca="false" dt2D="false" dtr="false" t="normal">+(K261*10+L261*20)*12*0.85</f>
        <v>513427.2</v>
      </c>
      <c r="AS261" s="3" t="n">
        <f aca="false" ca="false" dt2D="false" dtr="false" t="normal">+(K261*10+L261*20)*12*30</f>
        <v>18120960</v>
      </c>
      <c r="AT261" s="9" t="n">
        <f aca="false" ca="false" dt2D="false" dtr="false" t="normal">+S261-AS261</f>
        <v>-18120960</v>
      </c>
      <c r="AU261" s="9" t="e">
        <f aca="false" ca="false" dt2D="false" dtr="false" t="normal">+P261-'[5]Приложение №1'!$P277</f>
        <v>#REF!</v>
      </c>
      <c r="AV261" s="9" t="e">
        <f aca="false" ca="false" dt2D="false" dtr="false" t="normal">+Q261-'[5]Приложение №1'!$Q277</f>
        <v>#REF!</v>
      </c>
      <c r="AW261" s="113" t="n">
        <f aca="false" ca="true" dt2D="false" dtr="false" t="normal">SUBTOTAL(9, AX261:BL261)</f>
        <v>2005001.28</v>
      </c>
      <c r="AX261" s="106" t="n">
        <v>0</v>
      </c>
      <c r="AY261" s="106" t="n">
        <v>0</v>
      </c>
      <c r="AZ261" s="106" t="n">
        <v>0</v>
      </c>
      <c r="BA261" s="106" t="n">
        <v>0</v>
      </c>
      <c r="BB261" s="106" t="n">
        <v>1990601.96</v>
      </c>
      <c r="BC261" s="106" t="n"/>
      <c r="BD261" s="106" t="n"/>
      <c r="BE261" s="106" t="n">
        <v>0</v>
      </c>
      <c r="BF261" s="106" t="n">
        <v>0</v>
      </c>
      <c r="BG261" s="106" t="n">
        <v>0</v>
      </c>
      <c r="BH261" s="106" t="n">
        <v>0</v>
      </c>
      <c r="BI261" s="106" t="n">
        <v>0</v>
      </c>
      <c r="BJ261" s="106" t="n"/>
      <c r="BK261" s="114" t="n"/>
      <c r="BL261" s="187" t="n">
        <v>14399.32</v>
      </c>
      <c r="BM261" s="113" t="n">
        <f aca="false" ca="true" dt2D="false" dtr="false" t="normal">SUBTOTAL(9, BN261:CB261)</f>
        <v>2005001.28</v>
      </c>
      <c r="BN261" s="106" t="n">
        <v>0</v>
      </c>
      <c r="BO261" s="106" t="n">
        <v>0</v>
      </c>
      <c r="BP261" s="106" t="n">
        <v>0</v>
      </c>
      <c r="BQ261" s="106" t="n">
        <v>0</v>
      </c>
      <c r="BR261" s="106" t="n">
        <v>1990601.96</v>
      </c>
      <c r="BS261" s="106" t="n"/>
      <c r="BT261" s="106" t="n"/>
      <c r="BU261" s="106" t="n">
        <v>0</v>
      </c>
      <c r="BV261" s="106" t="n">
        <v>0</v>
      </c>
      <c r="BW261" s="106" t="n">
        <v>0</v>
      </c>
      <c r="BX261" s="106" t="n">
        <v>0</v>
      </c>
      <c r="BY261" s="106" t="n">
        <v>0</v>
      </c>
      <c r="BZ261" s="106" t="n"/>
      <c r="CA261" s="114" t="n"/>
      <c r="CB261" s="115" t="n">
        <v>14399.32</v>
      </c>
      <c r="CD261" s="116" t="n">
        <f aca="false" ca="false" dt2D="false" dtr="false" t="normal">+CD260+1</f>
        <v>242</v>
      </c>
      <c r="CE261" s="117" t="n">
        <f aca="false" ca="false" dt2D="false" dtr="false" t="normal">+CE260+1</f>
        <v>54</v>
      </c>
      <c r="CF261" s="104" t="s">
        <v>111</v>
      </c>
      <c r="CG261" s="117" t="s">
        <v>350</v>
      </c>
      <c r="CH261" s="118" t="n">
        <f aca="false" ca="true" dt2D="false" dtr="false" t="normal">SUBTOTAL(9, CI261:CW261)</f>
        <v>2005001.28</v>
      </c>
      <c r="CI261" s="114" t="n">
        <v>0</v>
      </c>
      <c r="CJ261" s="114" t="n">
        <v>0</v>
      </c>
      <c r="CK261" s="114" t="n">
        <v>0</v>
      </c>
      <c r="CL261" s="114" t="n">
        <v>0</v>
      </c>
      <c r="CM261" s="114" t="n">
        <v>1990601.96</v>
      </c>
      <c r="CN261" s="114" t="n"/>
      <c r="CO261" s="114" t="n"/>
      <c r="CP261" s="114" t="n">
        <v>0</v>
      </c>
      <c r="CQ261" s="114" t="n">
        <v>0</v>
      </c>
      <c r="CR261" s="114" t="n">
        <v>0</v>
      </c>
      <c r="CS261" s="114" t="n">
        <v>0</v>
      </c>
      <c r="CT261" s="114" t="n">
        <v>0</v>
      </c>
      <c r="CU261" s="114" t="n"/>
      <c r="CV261" s="114" t="n"/>
      <c r="CW261" s="115" t="n">
        <v>14399.32</v>
      </c>
      <c r="CZ261" s="117" t="s">
        <v>350</v>
      </c>
      <c r="DA261" s="119" t="n">
        <f aca="false" ca="true" dt2D="false" dtr="false" t="normal">SUBTOTAL(9, DB261:DP261)</f>
        <v>1990601.96</v>
      </c>
      <c r="DB261" s="114" t="n">
        <v>0</v>
      </c>
      <c r="DC261" s="114" t="n">
        <v>0</v>
      </c>
      <c r="DD261" s="114" t="n">
        <v>0</v>
      </c>
      <c r="DE261" s="114" t="n">
        <v>0</v>
      </c>
      <c r="DF261" s="114" t="n">
        <v>1990601.96</v>
      </c>
      <c r="DG261" s="114" t="n"/>
      <c r="DH261" s="114" t="n"/>
      <c r="DI261" s="114" t="n">
        <v>0</v>
      </c>
      <c r="DJ261" s="114" t="n">
        <v>0</v>
      </c>
      <c r="DK261" s="114" t="n">
        <v>0</v>
      </c>
      <c r="DL261" s="114" t="n">
        <v>0</v>
      </c>
      <c r="DM261" s="114" t="n">
        <v>0</v>
      </c>
      <c r="DN261" s="114" t="n"/>
      <c r="DO261" s="114" t="n"/>
      <c r="DP261" s="122" t="n"/>
      <c r="DQ261" s="3" t="n">
        <f aca="false" ca="false" dt2D="false" dtr="false" t="normal">N261-DA261</f>
        <v>0</v>
      </c>
      <c r="DS261" s="9" t="n"/>
    </row>
    <row hidden="false" ht="15" outlineLevel="0" r="262">
      <c r="A262" s="183" t="n">
        <f aca="false" ca="false" dt2D="false" dtr="false" t="normal">+A261+1</f>
        <v>243</v>
      </c>
      <c r="B262" s="184" t="n">
        <f aca="false" ca="false" dt2D="false" dtr="false" t="normal">+B261+1</f>
        <v>55</v>
      </c>
      <c r="C262" s="117" t="s">
        <v>111</v>
      </c>
      <c r="D262" s="117" t="s">
        <v>351</v>
      </c>
      <c r="E262" s="105" t="n">
        <v>1979</v>
      </c>
      <c r="F262" s="105" t="n">
        <v>2013</v>
      </c>
      <c r="G262" s="105" t="s">
        <v>68</v>
      </c>
      <c r="H262" s="105" t="n">
        <v>5</v>
      </c>
      <c r="I262" s="105" t="n">
        <v>4</v>
      </c>
      <c r="J262" s="106" t="n">
        <v>3602.3</v>
      </c>
      <c r="K262" s="106" t="n">
        <v>3466.4</v>
      </c>
      <c r="L262" s="106" t="n">
        <v>0</v>
      </c>
      <c r="M262" s="107" t="n">
        <v>87</v>
      </c>
      <c r="N262" s="108" t="n">
        <f aca="false" ca="false" dt2D="false" dtr="false" t="normal">SUM(P262:T262)</f>
        <v>1808139.499999997</v>
      </c>
      <c r="O262" s="114" t="n"/>
      <c r="P262" s="114" t="n"/>
      <c r="Q262" s="114" t="n"/>
      <c r="R262" s="114" t="n">
        <v>382001.593335547</v>
      </c>
      <c r="S262" s="114" t="n">
        <v>1426137.90666445</v>
      </c>
      <c r="T262" s="114" t="n"/>
      <c r="U262" s="114" t="n">
        <v>5381.50136006837</v>
      </c>
      <c r="V262" s="114" t="n">
        <v>1278.283020064</v>
      </c>
      <c r="W262" s="185" t="n">
        <v>2023</v>
      </c>
      <c r="X262" s="9" t="e">
        <f aca="false" ca="false" dt2D="false" dtr="false" t="normal">+#REF!-'[9]Приложение №1'!$P1021</f>
        <v>#REF!</v>
      </c>
      <c r="Z262" s="113" t="n">
        <f aca="false" ca="false" dt2D="false" dtr="false" t="normal">SUM(AA262:AO262)</f>
        <v>20589034.119999997</v>
      </c>
      <c r="AA262" s="106" t="n">
        <v>9020010.469638</v>
      </c>
      <c r="AB262" s="106" t="n">
        <v>3231794.773788</v>
      </c>
      <c r="AC262" s="106" t="n">
        <v>3412556.667282</v>
      </c>
      <c r="AD262" s="106" t="n">
        <v>2178146.673738</v>
      </c>
      <c r="AE262" s="106" t="n">
        <v>1610487.098934</v>
      </c>
      <c r="AF262" s="106" t="n"/>
      <c r="AG262" s="106" t="n">
        <v>324068.03835</v>
      </c>
      <c r="AH262" s="106" t="n">
        <v>0</v>
      </c>
      <c r="AI262" s="106" t="n">
        <v>0</v>
      </c>
      <c r="AJ262" s="106" t="n">
        <v>0</v>
      </c>
      <c r="AK262" s="106" t="n">
        <v>0</v>
      </c>
      <c r="AL262" s="106" t="n">
        <v>0</v>
      </c>
      <c r="AM262" s="106" t="n">
        <v>334025.17</v>
      </c>
      <c r="AN262" s="106" t="n">
        <v>45460.9</v>
      </c>
      <c r="AO262" s="115" t="n">
        <v>432484.32827</v>
      </c>
      <c r="AP262" s="112" t="n">
        <f aca="false" ca="false" dt2D="false" dtr="false" t="normal">+N262-'Приложение №2'!E262</f>
        <v>0</v>
      </c>
      <c r="AQ262" s="121" t="n">
        <v>2119168.21</v>
      </c>
      <c r="AR262" s="3" t="n">
        <f aca="false" ca="false" dt2D="false" dtr="false" t="normal">+(K262*10.5+L262*21)*12*0.85</f>
        <v>371251.44</v>
      </c>
      <c r="AS262" s="3" t="n">
        <f aca="false" ca="false" dt2D="false" dtr="false" t="normal">+(K262*10.5+L262*21)*12*30</f>
        <v>13102992</v>
      </c>
      <c r="AT262" s="9" t="n">
        <f aca="false" ca="false" dt2D="false" dtr="false" t="normal">+S262-AS262</f>
        <v>-11676854.09333555</v>
      </c>
      <c r="AU262" s="9" t="e">
        <f aca="false" ca="false" dt2D="false" dtr="false" t="normal">+P262-'[5]Приложение №1'!$P561</f>
        <v>#REF!</v>
      </c>
      <c r="AV262" s="9" t="e">
        <f aca="false" ca="false" dt2D="false" dtr="false" t="normal">+Q262-'[5]Приложение №1'!$Q561</f>
        <v>#REF!</v>
      </c>
      <c r="AW262" s="186" t="n">
        <f aca="false" ca="true" dt2D="false" dtr="false" t="normal">SUBTOTAL(9, AX262:BL262)</f>
        <v>18654436.314541005</v>
      </c>
      <c r="AX262" s="106" t="n">
        <v>9020010.469638</v>
      </c>
      <c r="AY262" s="106" t="n">
        <v>3057898.49</v>
      </c>
      <c r="AZ262" s="106" t="n">
        <v>3412556.667282</v>
      </c>
      <c r="BA262" s="106" t="n">
        <v>2178472.49</v>
      </c>
      <c r="BB262" s="106" t="n"/>
      <c r="BC262" s="106" t="n"/>
      <c r="BD262" s="106" t="n">
        <v>324068.03835</v>
      </c>
      <c r="BE262" s="106" t="n">
        <v>0</v>
      </c>
      <c r="BF262" s="106" t="n">
        <v>0</v>
      </c>
      <c r="BG262" s="106" t="n">
        <v>0</v>
      </c>
      <c r="BH262" s="106" t="n">
        <v>0</v>
      </c>
      <c r="BI262" s="106" t="n">
        <v>0</v>
      </c>
      <c r="BJ262" s="106" t="n">
        <v>239862.8475</v>
      </c>
      <c r="BK262" s="106" t="n">
        <f aca="false" ca="false" dt2D="false" dtr="false" t="normal">24000</f>
        <v>24000</v>
      </c>
      <c r="BL262" s="187" t="n">
        <v>397567.311771</v>
      </c>
      <c r="BM262" s="186" t="n">
        <f aca="false" ca="true" dt2D="false" dtr="false" t="normal">SUBTOTAL(9, BN262:CB262)</f>
        <v>16991652.147259</v>
      </c>
      <c r="BN262" s="106" t="n">
        <v>9020010.469638</v>
      </c>
      <c r="BO262" s="106" t="n">
        <v>3057898.49</v>
      </c>
      <c r="BP262" s="106" t="n">
        <v>1749772.5</v>
      </c>
      <c r="BQ262" s="106" t="n">
        <v>2178472.49</v>
      </c>
      <c r="BR262" s="106" t="n"/>
      <c r="BS262" s="106" t="n"/>
      <c r="BT262" s="106" t="n">
        <v>324068.03835</v>
      </c>
      <c r="BU262" s="106" t="n">
        <v>0</v>
      </c>
      <c r="BV262" s="106" t="n">
        <v>0</v>
      </c>
      <c r="BW262" s="106" t="n">
        <v>0</v>
      </c>
      <c r="BX262" s="106" t="n">
        <v>0</v>
      </c>
      <c r="BY262" s="106" t="n">
        <v>0</v>
      </c>
      <c r="BZ262" s="106" t="n">
        <v>239862.8475</v>
      </c>
      <c r="CA262" s="106" t="n">
        <f aca="false" ca="false" dt2D="false" dtr="false" t="normal">24000</f>
        <v>24000</v>
      </c>
      <c r="CB262" s="115" t="n">
        <v>397567.311771</v>
      </c>
      <c r="CD262" s="116" t="n">
        <f aca="false" ca="false" dt2D="false" dtr="false" t="normal">+CD261+1</f>
        <v>243</v>
      </c>
      <c r="CE262" s="117" t="n">
        <f aca="false" ca="false" dt2D="false" dtr="false" t="normal">+CE261+1</f>
        <v>55</v>
      </c>
      <c r="CF262" s="104" t="s">
        <v>111</v>
      </c>
      <c r="CG262" s="117" t="s">
        <v>351</v>
      </c>
      <c r="CH262" s="188" t="n">
        <f aca="false" ca="true" dt2D="false" dtr="false" t="normal">SUBTOTAL(9, CI262:CW262)</f>
        <v>2193790.351771</v>
      </c>
      <c r="CI262" s="114" t="n"/>
      <c r="CJ262" s="114" t="n"/>
      <c r="CK262" s="114" t="n">
        <v>1749772.5</v>
      </c>
      <c r="CL262" s="114" t="n"/>
      <c r="CM262" s="114" t="n"/>
      <c r="CN262" s="114" t="n"/>
      <c r="CO262" s="114" t="n"/>
      <c r="CP262" s="114" t="n">
        <v>0</v>
      </c>
      <c r="CQ262" s="114" t="n">
        <v>0</v>
      </c>
      <c r="CR262" s="114" t="n">
        <v>0</v>
      </c>
      <c r="CS262" s="114" t="n">
        <v>0</v>
      </c>
      <c r="CT262" s="114" t="n">
        <v>0</v>
      </c>
      <c r="CU262" s="114" t="n">
        <v>40450.54</v>
      </c>
      <c r="CV262" s="114" t="n">
        <v>6000</v>
      </c>
      <c r="CW262" s="115" t="n">
        <v>397567.311771</v>
      </c>
      <c r="CZ262" s="117" t="s">
        <v>351</v>
      </c>
      <c r="DA262" s="189" t="n">
        <f aca="false" ca="true" dt2D="false" dtr="false" t="normal">SUBTOTAL(9, DB262:DP262)</f>
        <v>1808139.5</v>
      </c>
      <c r="DB262" s="114" t="n"/>
      <c r="DC262" s="114" t="n"/>
      <c r="DD262" s="114" t="n">
        <v>1749772.5</v>
      </c>
      <c r="DE262" s="114" t="n"/>
      <c r="DF262" s="114" t="n"/>
      <c r="DG262" s="114" t="n"/>
      <c r="DH262" s="114" t="n"/>
      <c r="DI262" s="114" t="n">
        <v>0</v>
      </c>
      <c r="DJ262" s="114" t="n">
        <v>0</v>
      </c>
      <c r="DK262" s="114" t="n">
        <v>0</v>
      </c>
      <c r="DL262" s="114" t="n">
        <v>0</v>
      </c>
      <c r="DM262" s="114" t="n">
        <v>0</v>
      </c>
      <c r="DN262" s="114" t="n">
        <v>40450.54</v>
      </c>
      <c r="DO262" s="114" t="n">
        <v>6000</v>
      </c>
      <c r="DP262" s="120" t="n">
        <v>11916.46</v>
      </c>
      <c r="DQ262" s="3" t="n">
        <f aca="false" ca="false" dt2D="false" dtr="false" t="normal">N262-DA262</f>
        <v>0</v>
      </c>
      <c r="DS262" s="9" t="n"/>
    </row>
    <row hidden="false" ht="15" outlineLevel="0" r="263">
      <c r="A263" s="183" t="n">
        <f aca="false" ca="false" dt2D="false" dtr="false" t="normal">+A262+1</f>
        <v>244</v>
      </c>
      <c r="B263" s="184" t="n">
        <f aca="false" ca="false" dt2D="false" dtr="false" t="normal">+B262+1</f>
        <v>56</v>
      </c>
      <c r="C263" s="104" t="s">
        <v>111</v>
      </c>
      <c r="D263" s="104" t="s">
        <v>143</v>
      </c>
      <c r="E263" s="105" t="n">
        <v>1977</v>
      </c>
      <c r="F263" s="105" t="n">
        <v>2013</v>
      </c>
      <c r="G263" s="105" t="s">
        <v>68</v>
      </c>
      <c r="H263" s="105" t="n">
        <v>5</v>
      </c>
      <c r="I263" s="105" t="n">
        <v>4</v>
      </c>
      <c r="J263" s="106" t="n">
        <v>3776.9</v>
      </c>
      <c r="K263" s="106" t="n">
        <v>3428.1</v>
      </c>
      <c r="L263" s="106" t="n">
        <v>0</v>
      </c>
      <c r="M263" s="107" t="n">
        <v>165</v>
      </c>
      <c r="N263" s="108" t="n">
        <f aca="false" ca="false" dt2D="false" dtr="false" t="normal">SUM(P263:T263)</f>
        <v>15271354.73</v>
      </c>
      <c r="O263" s="106" t="n"/>
      <c r="P263" s="114" t="n"/>
      <c r="Q263" s="114" t="n"/>
      <c r="R263" s="114" t="n">
        <v>2501614.39</v>
      </c>
      <c r="S263" s="114" t="n">
        <v>12769740.34</v>
      </c>
      <c r="T263" s="114" t="n"/>
      <c r="U263" s="114" t="n">
        <v>5902.55154321636</v>
      </c>
      <c r="V263" s="114" t="n">
        <v>1279.283020064</v>
      </c>
      <c r="W263" s="185" t="n">
        <v>2023</v>
      </c>
      <c r="X263" s="9" t="e">
        <f aca="false" ca="false" dt2D="false" dtr="false" t="normal">+#REF!-'[9]Приложение №1'!$P455</f>
        <v>#REF!</v>
      </c>
      <c r="Z263" s="113" t="n">
        <f aca="false" ca="false" dt2D="false" dtr="false" t="normal">SUM(AA263:AO263)</f>
        <v>11360184.469999999</v>
      </c>
      <c r="AA263" s="106" t="n">
        <v>3337702.32</v>
      </c>
      <c r="AB263" s="106" t="n">
        <v>1996791.36</v>
      </c>
      <c r="AC263" s="106" t="n">
        <v>1053038.83</v>
      </c>
      <c r="AD263" s="106" t="n">
        <v>1225903.62</v>
      </c>
      <c r="AE263" s="106" t="n"/>
      <c r="AF263" s="106" t="n"/>
      <c r="AG263" s="106" t="n"/>
      <c r="AH263" s="106" t="n">
        <v>0</v>
      </c>
      <c r="AI263" s="106" t="n">
        <v>3746748.34</v>
      </c>
      <c r="AJ263" s="106" t="n">
        <v>0</v>
      </c>
      <c r="AK263" s="106" t="n"/>
      <c r="AL263" s="106" t="n"/>
      <c r="AM263" s="106" t="n"/>
      <c r="AN263" s="114" t="n"/>
      <c r="AO263" s="115" t="n"/>
      <c r="AP263" s="112" t="n">
        <f aca="false" ca="false" dt2D="false" dtr="false" t="normal">+N263-'Приложение №2'!E263</f>
        <v>0</v>
      </c>
      <c r="AQ263" s="121" t="n">
        <v>2134464.88</v>
      </c>
      <c r="AR263" s="3" t="n">
        <f aca="false" ca="false" dt2D="false" dtr="false" t="normal">+(K263*10.5+L263*21)*12*0.85</f>
        <v>367149.50999999995</v>
      </c>
      <c r="AS263" s="3" t="n">
        <f aca="false" ca="false" dt2D="false" dtr="false" t="normal">+(K263*10.5+L263*21)*12*30</f>
        <v>12958218</v>
      </c>
      <c r="AT263" s="9" t="n">
        <f aca="false" ca="false" dt2D="false" dtr="false" t="normal">+S263-AS263</f>
        <v>-188477.66000000015</v>
      </c>
      <c r="AU263" s="9" t="e">
        <f aca="false" ca="false" dt2D="false" dtr="false" t="normal">+P263-'[5]Приложение №1'!$P562</f>
        <v>#REF!</v>
      </c>
      <c r="AV263" s="9" t="e">
        <f aca="false" ca="false" dt2D="false" dtr="false" t="normal">+Q263-'[5]Приложение №1'!$Q562</f>
        <v>#REF!</v>
      </c>
      <c r="AW263" s="186" t="n">
        <f aca="false" ca="true" dt2D="false" dtr="false" t="normal">SUBTOTAL(9, AX263:BL263)</f>
        <v>20234536.94530002</v>
      </c>
      <c r="AX263" s="106" t="n"/>
      <c r="AY263" s="106" t="n"/>
      <c r="AZ263" s="106" t="n"/>
      <c r="BA263" s="106" t="n"/>
      <c r="BB263" s="106" t="n"/>
      <c r="BC263" s="106" t="n"/>
      <c r="BD263" s="106" t="n"/>
      <c r="BE263" s="106" t="n"/>
      <c r="BF263" s="106" t="n"/>
      <c r="BG263" s="106" t="n"/>
      <c r="BH263" s="106" t="n">
        <v>19801517.8546706</v>
      </c>
      <c r="BI263" s="106" t="n">
        <v>0</v>
      </c>
      <c r="BJ263" s="106" t="n"/>
      <c r="BK263" s="106" t="n"/>
      <c r="BL263" s="187" t="n">
        <v>433019.09062942</v>
      </c>
      <c r="BM263" s="186" t="n">
        <f aca="false" ca="true" dt2D="false" dtr="false" t="normal">SUBTOTAL(9, BN263:CB263)</f>
        <v>20234536.94530002</v>
      </c>
      <c r="BN263" s="106" t="n"/>
      <c r="BO263" s="106" t="n"/>
      <c r="BP263" s="106" t="n"/>
      <c r="BQ263" s="106" t="n"/>
      <c r="BR263" s="106" t="n"/>
      <c r="BS263" s="106" t="n"/>
      <c r="BT263" s="106" t="n"/>
      <c r="BU263" s="106" t="n"/>
      <c r="BV263" s="106" t="n"/>
      <c r="BW263" s="106" t="n"/>
      <c r="BX263" s="106" t="n">
        <v>19801517.8546706</v>
      </c>
      <c r="BY263" s="106" t="n">
        <v>0</v>
      </c>
      <c r="BZ263" s="106" t="n"/>
      <c r="CA263" s="106" t="n"/>
      <c r="CB263" s="115" t="n">
        <v>433019.09062942</v>
      </c>
      <c r="CD263" s="116" t="n">
        <f aca="false" ca="false" dt2D="false" dtr="false" t="normal">+CD262+1</f>
        <v>244</v>
      </c>
      <c r="CE263" s="117" t="n">
        <f aca="false" ca="false" dt2D="false" dtr="false" t="normal">+CE262+1</f>
        <v>56</v>
      </c>
      <c r="CF263" s="104" t="s">
        <v>111</v>
      </c>
      <c r="CG263" s="117" t="s">
        <v>143</v>
      </c>
      <c r="CH263" s="188" t="n">
        <f aca="false" ca="true" dt2D="false" dtr="false" t="normal">SUBTOTAL(9, CI263:CW263)</f>
        <v>15704373.82062942</v>
      </c>
      <c r="CI263" s="114" t="n"/>
      <c r="CJ263" s="114" t="n"/>
      <c r="CK263" s="114" t="n"/>
      <c r="CL263" s="114" t="n"/>
      <c r="CM263" s="114" t="n"/>
      <c r="CN263" s="114" t="n"/>
      <c r="CO263" s="114" t="n"/>
      <c r="CP263" s="114" t="n"/>
      <c r="CQ263" s="114" t="n"/>
      <c r="CR263" s="114" t="n"/>
      <c r="CS263" s="114" t="n">
        <v>15271354.73</v>
      </c>
      <c r="CT263" s="114" t="n">
        <v>0</v>
      </c>
      <c r="CU263" s="114" t="n"/>
      <c r="CV263" s="114" t="n"/>
      <c r="CW263" s="115" t="n">
        <v>433019.09062942</v>
      </c>
      <c r="CZ263" s="117" t="s">
        <v>143</v>
      </c>
      <c r="DA263" s="189" t="n">
        <f aca="false" ca="true" dt2D="false" dtr="false" t="normal">SUBTOTAL(9, DB263:DP263)</f>
        <v>15271354.73</v>
      </c>
      <c r="DB263" s="114" t="n"/>
      <c r="DC263" s="114" t="n"/>
      <c r="DD263" s="114" t="n"/>
      <c r="DE263" s="114" t="n"/>
      <c r="DF263" s="114" t="n"/>
      <c r="DG263" s="114" t="n"/>
      <c r="DH263" s="114" t="n"/>
      <c r="DI263" s="114" t="n"/>
      <c r="DJ263" s="114" t="n"/>
      <c r="DK263" s="114" t="n"/>
      <c r="DL263" s="114" t="n">
        <v>15271354.73</v>
      </c>
      <c r="DM263" s="114" t="n">
        <v>0</v>
      </c>
      <c r="DN263" s="114" t="n"/>
      <c r="DO263" s="114" t="n"/>
      <c r="DP263" s="122" t="n"/>
      <c r="DQ263" s="3" t="n">
        <f aca="false" ca="false" dt2D="false" dtr="false" t="normal">N263-DA263</f>
        <v>0</v>
      </c>
      <c r="DS263" s="9" t="n"/>
    </row>
    <row hidden="false" ht="15" outlineLevel="0" r="264">
      <c r="A264" s="183" t="n">
        <f aca="false" ca="false" dt2D="false" dtr="false" t="normal">+A263+1</f>
        <v>245</v>
      </c>
      <c r="B264" s="184" t="n">
        <f aca="false" ca="false" dt2D="false" dtr="false" t="normal">+B263+1</f>
        <v>57</v>
      </c>
      <c r="C264" s="104" t="s">
        <v>111</v>
      </c>
      <c r="D264" s="104" t="s">
        <v>352</v>
      </c>
      <c r="E264" s="105" t="n">
        <v>1978</v>
      </c>
      <c r="F264" s="105" t="n">
        <v>2013</v>
      </c>
      <c r="G264" s="105" t="s">
        <v>68</v>
      </c>
      <c r="H264" s="105" t="n">
        <v>5</v>
      </c>
      <c r="I264" s="105" t="n">
        <v>4</v>
      </c>
      <c r="J264" s="106" t="n">
        <v>4846.8</v>
      </c>
      <c r="K264" s="106" t="n">
        <v>4276.4</v>
      </c>
      <c r="L264" s="106" t="n">
        <v>0</v>
      </c>
      <c r="M264" s="107" t="n">
        <v>174</v>
      </c>
      <c r="N264" s="108" t="n">
        <f aca="false" ca="false" dt2D="false" dtr="false" t="normal">SUM(P264:T264)</f>
        <v>4629807.880000001</v>
      </c>
      <c r="O264" s="106" t="n"/>
      <c r="P264" s="114" t="n"/>
      <c r="Q264" s="114" t="n"/>
      <c r="R264" s="114" t="n">
        <v>2340702.74</v>
      </c>
      <c r="S264" s="114" t="n">
        <v>2289105.14</v>
      </c>
      <c r="T264" s="106" t="n"/>
      <c r="U264" s="114" t="n">
        <v>1705.70125970693</v>
      </c>
      <c r="V264" s="114" t="n">
        <v>1705.70125970693</v>
      </c>
      <c r="W264" s="185" t="n">
        <v>2023</v>
      </c>
      <c r="X264" s="9" t="e">
        <f aca="false" ca="false" dt2D="false" dtr="false" t="normal">+#REF!-'[9]Приложение №1'!$P1033</f>
        <v>#REF!</v>
      </c>
      <c r="Z264" s="113" t="n">
        <f aca="false" ca="false" dt2D="false" dtr="false" t="normal">SUM(AA264:AO264)</f>
        <v>10000151.41</v>
      </c>
      <c r="AA264" s="106" t="n">
        <v>7149539.52857508</v>
      </c>
      <c r="AB264" s="106" t="n">
        <v>0</v>
      </c>
      <c r="AC264" s="106" t="n">
        <v>0</v>
      </c>
      <c r="AD264" s="106" t="n">
        <v>0</v>
      </c>
      <c r="AE264" s="106" t="n">
        <v>1331362.81441422</v>
      </c>
      <c r="AF264" s="106" t="n"/>
      <c r="AG264" s="106" t="n">
        <v>0</v>
      </c>
      <c r="AH264" s="106" t="n">
        <v>0</v>
      </c>
      <c r="AI264" s="106" t="n">
        <v>0</v>
      </c>
      <c r="AJ264" s="106" t="n">
        <v>0</v>
      </c>
      <c r="AK264" s="106" t="n">
        <v>0</v>
      </c>
      <c r="AL264" s="106" t="n">
        <v>0</v>
      </c>
      <c r="AM264" s="106" t="n">
        <v>1233787.3954</v>
      </c>
      <c r="AN264" s="114" t="n">
        <v>100001.5141</v>
      </c>
      <c r="AO264" s="115" t="n">
        <v>185460.1575107</v>
      </c>
      <c r="AP264" s="112" t="n">
        <f aca="false" ca="false" dt2D="false" dtr="false" t="normal">+N264-'Приложение №2'!E264</f>
        <v>0</v>
      </c>
      <c r="AQ264" s="1" t="n">
        <f aca="false" ca="false" dt2D="false" dtr="false" t="normal">2003447.04-122937.1</f>
        <v>1880509.94</v>
      </c>
      <c r="AR264" s="3" t="n">
        <f aca="false" ca="false" dt2D="false" dtr="false" t="normal">+(K264*10+L264*20)*12*0.85</f>
        <v>436192.8</v>
      </c>
      <c r="AS264" s="3" t="n">
        <f aca="false" ca="false" dt2D="false" dtr="false" t="normal">+(K264*10+L264*20)*12*30</f>
        <v>15395040</v>
      </c>
      <c r="AT264" s="9" t="n">
        <f aca="false" ca="false" dt2D="false" dtr="false" t="normal">+S264-AS264</f>
        <v>-13105934.86</v>
      </c>
      <c r="AW264" s="113" t="n">
        <f aca="false" ca="true" dt2D="false" dtr="false" t="normal">SUBTOTAL(9, AX264:BL264)</f>
        <v>7294260.8670107</v>
      </c>
      <c r="AX264" s="106" t="n">
        <v>5775011.8</v>
      </c>
      <c r="AY264" s="106" t="n">
        <v>0</v>
      </c>
      <c r="AZ264" s="106" t="n">
        <v>0</v>
      </c>
      <c r="BA264" s="106" t="n">
        <v>0</v>
      </c>
      <c r="BB264" s="106" t="n"/>
      <c r="BC264" s="106" t="n"/>
      <c r="BD264" s="106" t="n"/>
      <c r="BE264" s="106" t="n">
        <v>0</v>
      </c>
      <c r="BF264" s="106" t="n">
        <v>0</v>
      </c>
      <c r="BG264" s="106" t="n">
        <v>0</v>
      </c>
      <c r="BH264" s="106" t="n">
        <v>0</v>
      </c>
      <c r="BI264" s="106" t="n">
        <v>0</v>
      </c>
      <c r="BJ264" s="106" t="n">
        <v>1233787.3954</v>
      </c>
      <c r="BK264" s="114" t="n">
        <v>100001.5141</v>
      </c>
      <c r="BL264" s="187" t="n">
        <v>185460.1575107</v>
      </c>
      <c r="BM264" s="113" t="n">
        <f aca="false" ca="true" dt2D="false" dtr="false" t="normal">SUBTOTAL(9, BN264:CB264)</f>
        <v>6084756.0270107</v>
      </c>
      <c r="BN264" s="106" t="n">
        <v>4565506.96</v>
      </c>
      <c r="BO264" s="106" t="n">
        <v>0</v>
      </c>
      <c r="BP264" s="106" t="n">
        <v>0</v>
      </c>
      <c r="BQ264" s="106" t="n">
        <v>0</v>
      </c>
      <c r="BR264" s="106" t="n"/>
      <c r="BS264" s="106" t="n"/>
      <c r="BT264" s="106" t="n"/>
      <c r="BU264" s="106" t="n">
        <v>0</v>
      </c>
      <c r="BV264" s="106" t="n">
        <v>0</v>
      </c>
      <c r="BW264" s="106" t="n">
        <v>0</v>
      </c>
      <c r="BX264" s="106" t="n">
        <v>0</v>
      </c>
      <c r="BY264" s="106" t="n">
        <v>0</v>
      </c>
      <c r="BZ264" s="106" t="n">
        <v>1233787.3954</v>
      </c>
      <c r="CA264" s="114" t="n">
        <v>100001.5141</v>
      </c>
      <c r="CB264" s="115" t="n">
        <v>185460.1575107</v>
      </c>
      <c r="CD264" s="116" t="n">
        <f aca="false" ca="false" dt2D="false" dtr="false" t="normal">+CD263+1</f>
        <v>245</v>
      </c>
      <c r="CE264" s="117" t="n">
        <f aca="false" ca="false" dt2D="false" dtr="false" t="normal">+CE263+1</f>
        <v>57</v>
      </c>
      <c r="CF264" s="104" t="s">
        <v>111</v>
      </c>
      <c r="CG264" s="117" t="s">
        <v>352</v>
      </c>
      <c r="CH264" s="118" t="n">
        <f aca="false" ca="true" dt2D="false" dtr="false" t="normal">SUBTOTAL(9, CI264:CW264)</f>
        <v>4815268.0375107</v>
      </c>
      <c r="CI264" s="114" t="n">
        <v>4565506.96</v>
      </c>
      <c r="CJ264" s="114" t="n">
        <v>0</v>
      </c>
      <c r="CK264" s="114" t="n">
        <v>0</v>
      </c>
      <c r="CL264" s="114" t="n">
        <v>0</v>
      </c>
      <c r="CM264" s="114" t="n"/>
      <c r="CN264" s="114" t="n"/>
      <c r="CO264" s="114" t="n"/>
      <c r="CP264" s="114" t="n">
        <v>0</v>
      </c>
      <c r="CQ264" s="114" t="n">
        <v>0</v>
      </c>
      <c r="CR264" s="114" t="n">
        <v>0</v>
      </c>
      <c r="CS264" s="114" t="n">
        <v>0</v>
      </c>
      <c r="CT264" s="114" t="n">
        <v>0</v>
      </c>
      <c r="CU264" s="114" t="n">
        <v>40300.92</v>
      </c>
      <c r="CV264" s="114" t="n">
        <v>24000</v>
      </c>
      <c r="CW264" s="115" t="n">
        <v>185460.1575107</v>
      </c>
      <c r="CZ264" s="117" t="s">
        <v>352</v>
      </c>
      <c r="DA264" s="119" t="n">
        <f aca="false" ca="true" dt2D="false" dtr="false" t="normal">SUBTOTAL(9, DB264:DP264)</f>
        <v>4629807.88</v>
      </c>
      <c r="DB264" s="114" t="n">
        <v>4565506.96</v>
      </c>
      <c r="DC264" s="114" t="n">
        <v>0</v>
      </c>
      <c r="DD264" s="114" t="n">
        <v>0</v>
      </c>
      <c r="DE264" s="114" t="n">
        <v>0</v>
      </c>
      <c r="DF264" s="114" t="n"/>
      <c r="DG264" s="114" t="n"/>
      <c r="DH264" s="114" t="n"/>
      <c r="DI264" s="114" t="n">
        <v>0</v>
      </c>
      <c r="DJ264" s="114" t="n">
        <v>0</v>
      </c>
      <c r="DK264" s="114" t="n">
        <v>0</v>
      </c>
      <c r="DL264" s="114" t="n">
        <v>0</v>
      </c>
      <c r="DM264" s="114" t="n">
        <v>0</v>
      </c>
      <c r="DN264" s="114" t="n">
        <v>40300.92</v>
      </c>
      <c r="DO264" s="114" t="n">
        <v>24000</v>
      </c>
      <c r="DP264" s="122" t="n"/>
      <c r="DQ264" s="3" t="n">
        <f aca="false" ca="false" dt2D="false" dtr="false" t="normal">N264-DA264</f>
        <v>0</v>
      </c>
      <c r="DS264" s="9" t="n"/>
    </row>
    <row hidden="false" ht="15" outlineLevel="0" r="265">
      <c r="A265" s="183" t="n">
        <f aca="false" ca="false" dt2D="false" dtr="false" t="normal">+A264+1</f>
        <v>246</v>
      </c>
      <c r="B265" s="184" t="n">
        <f aca="false" ca="false" dt2D="false" dtr="false" t="normal">+B264+1</f>
        <v>58</v>
      </c>
      <c r="C265" s="117" t="s">
        <v>111</v>
      </c>
      <c r="D265" s="117" t="s">
        <v>353</v>
      </c>
      <c r="E265" s="105" t="n">
        <v>1978</v>
      </c>
      <c r="F265" s="105" t="n">
        <v>2008</v>
      </c>
      <c r="G265" s="105" t="s">
        <v>68</v>
      </c>
      <c r="H265" s="105" t="n">
        <v>5</v>
      </c>
      <c r="I265" s="105" t="n">
        <v>4</v>
      </c>
      <c r="J265" s="106" t="n">
        <v>4929.7</v>
      </c>
      <c r="K265" s="106" t="n">
        <v>4335.1</v>
      </c>
      <c r="L265" s="106" t="n">
        <v>0</v>
      </c>
      <c r="M265" s="107" t="n">
        <v>213</v>
      </c>
      <c r="N265" s="108" t="n">
        <f aca="false" ca="false" dt2D="false" dtr="false" t="normal">SUM(P265:T265)</f>
        <v>1142099.19</v>
      </c>
      <c r="O265" s="114" t="n"/>
      <c r="P265" s="114" t="n"/>
      <c r="Q265" s="114" t="n"/>
      <c r="R265" s="114" t="n">
        <v>450000</v>
      </c>
      <c r="S265" s="114" t="n">
        <v>692099.19</v>
      </c>
      <c r="T265" s="190" t="n"/>
      <c r="U265" s="106" t="n">
        <v>2164.31923369703</v>
      </c>
      <c r="V265" s="106" t="n">
        <v>2164.31923369703</v>
      </c>
      <c r="W265" s="185" t="n">
        <v>2023</v>
      </c>
      <c r="X265" s="9" t="e">
        <f aca="false" ca="false" dt2D="false" dtr="false" t="normal">+#REF!-'[9]Приложение №1'!$P988</f>
        <v>#REF!</v>
      </c>
      <c r="Z265" s="113" t="n">
        <f aca="false" ca="false" dt2D="false" dtr="false" t="normal">SUM(AA265:AO265)</f>
        <v>44837101.50992996</v>
      </c>
      <c r="AA265" s="106" t="n">
        <v>0</v>
      </c>
      <c r="AB265" s="106" t="n">
        <v>4199173.3275891</v>
      </c>
      <c r="AC265" s="106" t="n">
        <v>4438837.12778016</v>
      </c>
      <c r="AD265" s="106" t="n">
        <v>3384651.04316304</v>
      </c>
      <c r="AE265" s="106" t="n">
        <v>1471946.54</v>
      </c>
      <c r="AF265" s="106" t="n"/>
      <c r="AG265" s="106" t="n">
        <v>360791.8959624</v>
      </c>
      <c r="AH265" s="106" t="n">
        <v>0</v>
      </c>
      <c r="AI265" s="106" t="n">
        <v>0</v>
      </c>
      <c r="AJ265" s="106" t="n">
        <v>0</v>
      </c>
      <c r="AK265" s="106" t="n">
        <v>25094924.3780642</v>
      </c>
      <c r="AL265" s="106" t="n">
        <v>0</v>
      </c>
      <c r="AM265" s="106" t="n">
        <v>4627048.3442</v>
      </c>
      <c r="AN265" s="114" t="n">
        <v>433511.5079</v>
      </c>
      <c r="AO265" s="115" t="n">
        <v>826217.34527106</v>
      </c>
      <c r="AP265" s="112" t="n"/>
      <c r="AQ265" s="9" t="n">
        <f aca="false" ca="false" dt2D="false" dtr="false" t="normal">2077071.68</f>
        <v>2077071.68</v>
      </c>
      <c r="AR265" s="3" t="n">
        <f aca="false" ca="false" dt2D="false" dtr="false" t="normal">+(K265*10+L265*20)*12*0.85</f>
        <v>442180.2</v>
      </c>
      <c r="AS265" s="3" t="n">
        <f aca="false" ca="false" dt2D="false" dtr="false" t="normal">+(K265*10+L265*20)*12*30</f>
        <v>15606360</v>
      </c>
      <c r="AT265" s="9" t="n">
        <f aca="false" ca="false" dt2D="false" dtr="false" t="normal">+S265-AS265</f>
        <v>-14914260.81</v>
      </c>
      <c r="AU265" s="9" t="e">
        <f aca="false" ca="false" dt2D="false" dtr="false" t="normal">+P265-'[5]Приложение №1'!$P279</f>
        <v>#REF!</v>
      </c>
      <c r="AV265" s="9" t="e">
        <f aca="false" ca="false" dt2D="false" dtr="false" t="normal">+Q265-'[5]Приложение №1'!$Q279</f>
        <v>#REF!</v>
      </c>
      <c r="AW265" s="113" t="n">
        <f aca="false" ca="true" dt2D="false" dtr="false" t="normal">SUBTOTAL(9, AX265:BL265)</f>
        <v>9382540.31265751</v>
      </c>
      <c r="AX265" s="106" t="n">
        <v>0</v>
      </c>
      <c r="AY265" s="106" t="n">
        <v>2812958.67870069</v>
      </c>
      <c r="AZ265" s="106" t="n">
        <v>4438837.12778016</v>
      </c>
      <c r="BA265" s="106" t="n"/>
      <c r="BB265" s="106" t="n">
        <v>1471946.54</v>
      </c>
      <c r="BC265" s="106" t="n"/>
      <c r="BD265" s="106" t="n"/>
      <c r="BE265" s="106" t="n">
        <v>0</v>
      </c>
      <c r="BF265" s="106" t="n">
        <v>0</v>
      </c>
      <c r="BG265" s="106" t="n">
        <v>0</v>
      </c>
      <c r="BH265" s="106" t="n"/>
      <c r="BI265" s="106" t="n">
        <v>0</v>
      </c>
      <c r="BJ265" s="106" t="n"/>
      <c r="BK265" s="114" t="n"/>
      <c r="BL265" s="187" t="n">
        <f aca="false" ca="false" dt2D="false" dtr="false" t="normal">555416.30026576+103381.6659109</f>
        <v>658797.96617666</v>
      </c>
      <c r="BM265" s="113" t="n">
        <f aca="false" ca="true" dt2D="false" dtr="false" t="normal">SUBTOTAL(9, BN265:CB265)</f>
        <v>7669806.39395682</v>
      </c>
      <c r="BN265" s="106" t="n">
        <v>0</v>
      </c>
      <c r="BO265" s="106" t="n">
        <v>1100224.76</v>
      </c>
      <c r="BP265" s="106" t="n">
        <v>4438837.12778016</v>
      </c>
      <c r="BQ265" s="106" t="n"/>
      <c r="BR265" s="106" t="n">
        <v>1471946.54</v>
      </c>
      <c r="BS265" s="106" t="n"/>
      <c r="BT265" s="106" t="n"/>
      <c r="BU265" s="106" t="n">
        <v>0</v>
      </c>
      <c r="BV265" s="106" t="n">
        <v>0</v>
      </c>
      <c r="BW265" s="106" t="n">
        <v>0</v>
      </c>
      <c r="BX265" s="106" t="n"/>
      <c r="BY265" s="106" t="n">
        <v>0</v>
      </c>
      <c r="BZ265" s="106" t="n"/>
      <c r="CA265" s="114" t="n"/>
      <c r="CB265" s="115" t="n">
        <f aca="false" ca="false" dt2D="false" dtr="false" t="normal">555416.30026576+103381.6659109</f>
        <v>658797.96617666</v>
      </c>
      <c r="CD265" s="116" t="n">
        <f aca="false" ca="false" dt2D="false" dtr="false" t="normal">+CD264+1</f>
        <v>246</v>
      </c>
      <c r="CE265" s="117" t="n">
        <f aca="false" ca="false" dt2D="false" dtr="false" t="normal">+CE264+1</f>
        <v>58</v>
      </c>
      <c r="CF265" s="104" t="s">
        <v>111</v>
      </c>
      <c r="CG265" s="117" t="s">
        <v>353</v>
      </c>
      <c r="CH265" s="118" t="n">
        <f aca="false" ca="true" dt2D="false" dtr="false" t="normal">SUBTOTAL(9, CI265:CW265)</f>
        <v>1759022.72617666</v>
      </c>
      <c r="CI265" s="114" t="n">
        <v>0</v>
      </c>
      <c r="CJ265" s="114" t="n">
        <v>1100224.76</v>
      </c>
      <c r="CK265" s="114" t="n"/>
      <c r="CL265" s="114" t="n"/>
      <c r="CM265" s="114" t="n"/>
      <c r="CN265" s="114" t="n"/>
      <c r="CO265" s="114" t="n"/>
      <c r="CP265" s="114" t="n">
        <v>0</v>
      </c>
      <c r="CQ265" s="114" t="n">
        <v>0</v>
      </c>
      <c r="CR265" s="114" t="n">
        <v>0</v>
      </c>
      <c r="CS265" s="114" t="n"/>
      <c r="CT265" s="114" t="n">
        <v>0</v>
      </c>
      <c r="CU265" s="114" t="n"/>
      <c r="CV265" s="114" t="n"/>
      <c r="CW265" s="115" t="n">
        <f aca="false" ca="false" dt2D="false" dtr="false" t="normal">555416.30026576+103381.6659109</f>
        <v>658797.96617666</v>
      </c>
      <c r="CZ265" s="117" t="s">
        <v>353</v>
      </c>
      <c r="DA265" s="119" t="n">
        <f aca="false" ca="true" dt2D="false" dtr="false" t="normal">SUBTOTAL(9, DB265:DP265)</f>
        <v>1142099.19</v>
      </c>
      <c r="DB265" s="114" t="n">
        <v>0</v>
      </c>
      <c r="DC265" s="114" t="n">
        <v>1100224.76</v>
      </c>
      <c r="DD265" s="114" t="n"/>
      <c r="DE265" s="114" t="n"/>
      <c r="DF265" s="114" t="n"/>
      <c r="DG265" s="114" t="n"/>
      <c r="DH265" s="114" t="n"/>
      <c r="DI265" s="114" t="n">
        <v>0</v>
      </c>
      <c r="DJ265" s="114" t="n">
        <v>0</v>
      </c>
      <c r="DK265" s="114" t="n">
        <v>0</v>
      </c>
      <c r="DL265" s="114" t="n"/>
      <c r="DM265" s="114" t="n">
        <v>0</v>
      </c>
      <c r="DN265" s="114" t="n"/>
      <c r="DO265" s="114" t="n"/>
      <c r="DP265" s="120" t="n">
        <v>41874.43</v>
      </c>
      <c r="DQ265" s="3" t="n">
        <f aca="false" ca="false" dt2D="false" dtr="false" t="normal">N265-DA265</f>
        <v>0</v>
      </c>
      <c r="DS265" s="9" t="n"/>
    </row>
    <row hidden="false" ht="15" outlineLevel="0" r="266">
      <c r="A266" s="183" t="n">
        <f aca="false" ca="false" dt2D="false" dtr="false" t="normal">+A265+1</f>
        <v>247</v>
      </c>
      <c r="B266" s="184" t="n">
        <f aca="false" ca="false" dt2D="false" dtr="false" t="normal">+B265+1</f>
        <v>59</v>
      </c>
      <c r="C266" s="117" t="s">
        <v>111</v>
      </c>
      <c r="D266" s="117" t="s">
        <v>145</v>
      </c>
      <c r="E266" s="105" t="n">
        <v>1978</v>
      </c>
      <c r="F266" s="105" t="n">
        <v>2013</v>
      </c>
      <c r="G266" s="105" t="s">
        <v>68</v>
      </c>
      <c r="H266" s="105" t="n">
        <v>5</v>
      </c>
      <c r="I266" s="105" t="n">
        <v>4</v>
      </c>
      <c r="J266" s="106" t="n">
        <v>4866.6</v>
      </c>
      <c r="K266" s="106" t="n">
        <v>4226.8</v>
      </c>
      <c r="L266" s="106" t="n">
        <v>67</v>
      </c>
      <c r="M266" s="107" t="n">
        <v>317</v>
      </c>
      <c r="N266" s="108" t="n">
        <f aca="false" ca="false" dt2D="false" dtr="false" t="normal">SUM(P266:T266)</f>
        <v>22799005.560000002</v>
      </c>
      <c r="O266" s="114" t="n"/>
      <c r="P266" s="114" t="n">
        <v>13957122.72</v>
      </c>
      <c r="Q266" s="114" t="n"/>
      <c r="R266" s="114" t="n">
        <v>2041212.9535001</v>
      </c>
      <c r="S266" s="114" t="n">
        <v>6800669.8864999</v>
      </c>
      <c r="T266" s="114" t="n"/>
      <c r="U266" s="114" t="n">
        <v>5995.92684579351</v>
      </c>
      <c r="V266" s="114" t="n">
        <v>1281.283020064</v>
      </c>
      <c r="W266" s="185" t="n">
        <v>2023</v>
      </c>
      <c r="X266" s="9" t="e">
        <f aca="false" ca="false" dt2D="false" dtr="false" t="normal">+#REF!-'[9]Приложение №1'!$P455</f>
        <v>#REF!</v>
      </c>
      <c r="Z266" s="113" t="n">
        <f aca="false" ca="false" dt2D="false" dtr="false" t="normal">SUM(AA266:AO266)</f>
        <v>13545152.12</v>
      </c>
      <c r="AA266" s="106" t="n">
        <v>4053995.74</v>
      </c>
      <c r="AB266" s="106" t="n">
        <v>2307213.9</v>
      </c>
      <c r="AC266" s="106" t="n">
        <v>1224462.97</v>
      </c>
      <c r="AD266" s="106" t="n">
        <v>1111568.24</v>
      </c>
      <c r="AE266" s="106" t="n"/>
      <c r="AF266" s="106" t="n"/>
      <c r="AG266" s="106" t="n"/>
      <c r="AH266" s="106" t="n">
        <v>0</v>
      </c>
      <c r="AI266" s="106" t="n">
        <v>4847911.27</v>
      </c>
      <c r="AJ266" s="106" t="n">
        <v>0</v>
      </c>
      <c r="AK266" s="106" t="n"/>
      <c r="AL266" s="106" t="n"/>
      <c r="AM266" s="106" t="n"/>
      <c r="AN266" s="114" t="n"/>
      <c r="AO266" s="115" t="n"/>
      <c r="AP266" s="112" t="n">
        <f aca="false" ca="false" dt2D="false" dtr="false" t="normal">+N266-'Приложение №2'!E266</f>
        <v>0</v>
      </c>
      <c r="AQ266" s="9" t="n">
        <f aca="false" ca="false" dt2D="false" dtr="false" t="normal">2617689.67-682951.44-R85</f>
        <v>1574171.2735001</v>
      </c>
      <c r="AR266" s="3" t="n">
        <f aca="false" ca="false" dt2D="false" dtr="false" t="normal">+(K266*10.5+L266*21)*12*0.85</f>
        <v>467041.68000000005</v>
      </c>
      <c r="AS266" s="3" t="n">
        <f aca="false" ca="false" dt2D="false" dtr="false" t="normal">+(K266*10.5+L266*21)*12*30-4953727.17-S85</f>
        <v>7880945.237099912</v>
      </c>
      <c r="AT266" s="9" t="n">
        <f aca="false" ca="false" dt2D="false" dtr="false" t="normal">+S266-AS266</f>
        <v>-1080275.3506000116</v>
      </c>
      <c r="AU266" s="9" t="e">
        <f aca="false" ca="false" dt2D="false" dtr="false" t="normal">+P266-'[5]Приложение №1'!$P564</f>
        <v>#REF!</v>
      </c>
      <c r="AV266" s="9" t="e">
        <f aca="false" ca="false" dt2D="false" dtr="false" t="normal">+Q266-'[5]Приложение №1'!$Q564</f>
        <v>#REF!</v>
      </c>
      <c r="AW266" s="186" t="n">
        <f aca="false" ca="true" dt2D="false" dtr="false" t="normal">SUBTOTAL(9, AX266:BL266)</f>
        <v>25343583.591800023</v>
      </c>
      <c r="AX266" s="106" t="n"/>
      <c r="AY266" s="106" t="n"/>
      <c r="AZ266" s="106" t="n"/>
      <c r="BA266" s="106" t="n"/>
      <c r="BB266" s="106" t="n"/>
      <c r="BC266" s="106" t="n"/>
      <c r="BD266" s="106" t="n"/>
      <c r="BE266" s="106" t="n">
        <v>0</v>
      </c>
      <c r="BF266" s="106" t="n"/>
      <c r="BG266" s="106" t="n">
        <v>0</v>
      </c>
      <c r="BH266" s="106" t="n">
        <v>24801230.9029355</v>
      </c>
      <c r="BI266" s="106" t="n"/>
      <c r="BJ266" s="106" t="n"/>
      <c r="BK266" s="114" t="n"/>
      <c r="BL266" s="187" t="n">
        <v>542352.68886452</v>
      </c>
      <c r="BM266" s="186" t="n">
        <f aca="false" ca="true" dt2D="false" dtr="false" t="normal">SUBTOTAL(9, BN266:CB266)</f>
        <v>25343583.591800023</v>
      </c>
      <c r="BN266" s="106" t="n"/>
      <c r="BO266" s="106" t="n"/>
      <c r="BP266" s="106" t="n"/>
      <c r="BQ266" s="106" t="n"/>
      <c r="BR266" s="106" t="n"/>
      <c r="BS266" s="106" t="n"/>
      <c r="BT266" s="106" t="n"/>
      <c r="BU266" s="106" t="n">
        <v>0</v>
      </c>
      <c r="BV266" s="106" t="n"/>
      <c r="BW266" s="106" t="n">
        <v>0</v>
      </c>
      <c r="BX266" s="106" t="n">
        <v>24801230.9029355</v>
      </c>
      <c r="BY266" s="106" t="n"/>
      <c r="BZ266" s="106" t="n"/>
      <c r="CA266" s="114" t="n"/>
      <c r="CB266" s="115" t="n">
        <v>542352.68886452</v>
      </c>
      <c r="CD266" s="116" t="n">
        <f aca="false" ca="false" dt2D="false" dtr="false" t="normal">+CD265+1</f>
        <v>247</v>
      </c>
      <c r="CE266" s="117" t="n">
        <f aca="false" ca="false" dt2D="false" dtr="false" t="normal">+CE265+1</f>
        <v>59</v>
      </c>
      <c r="CF266" s="104" t="s">
        <v>111</v>
      </c>
      <c r="CG266" s="117" t="s">
        <v>145</v>
      </c>
      <c r="CH266" s="188" t="n">
        <f aca="false" ca="true" dt2D="false" dtr="false" t="normal">SUBTOTAL(9, CI266:CW266)</f>
        <v>23341358.24886452</v>
      </c>
      <c r="CI266" s="114" t="n"/>
      <c r="CJ266" s="114" t="n"/>
      <c r="CK266" s="114" t="n"/>
      <c r="CL266" s="114" t="n"/>
      <c r="CM266" s="114" t="n"/>
      <c r="CN266" s="114" t="n"/>
      <c r="CO266" s="114" t="n"/>
      <c r="CP266" s="114" t="n">
        <v>0</v>
      </c>
      <c r="CQ266" s="114" t="n"/>
      <c r="CR266" s="114" t="n">
        <v>0</v>
      </c>
      <c r="CS266" s="114" t="n">
        <v>22799005.56</v>
      </c>
      <c r="CT266" s="114" t="n"/>
      <c r="CU266" s="114" t="n"/>
      <c r="CV266" s="114" t="n"/>
      <c r="CW266" s="115" t="n">
        <v>542352.68886452</v>
      </c>
      <c r="CZ266" s="117" t="s">
        <v>145</v>
      </c>
      <c r="DA266" s="189" t="n">
        <f aca="false" ca="true" dt2D="false" dtr="false" t="normal">SUBTOTAL(9, DB266:DP266)</f>
        <v>22799005.56</v>
      </c>
      <c r="DB266" s="114" t="n"/>
      <c r="DC266" s="114" t="n"/>
      <c r="DD266" s="114" t="n"/>
      <c r="DE266" s="114" t="n"/>
      <c r="DF266" s="114" t="n"/>
      <c r="DG266" s="114" t="n"/>
      <c r="DH266" s="114" t="n"/>
      <c r="DI266" s="114" t="n">
        <v>0</v>
      </c>
      <c r="DJ266" s="114" t="n"/>
      <c r="DK266" s="114" t="n">
        <v>0</v>
      </c>
      <c r="DL266" s="114" t="n">
        <v>22799005.56</v>
      </c>
      <c r="DM266" s="114" t="n"/>
      <c r="DN266" s="114" t="n"/>
      <c r="DO266" s="114" t="n"/>
      <c r="DP266" s="122" t="n"/>
      <c r="DQ266" s="3" t="n">
        <f aca="false" ca="false" dt2D="false" dtr="false" t="normal">N266-DA266</f>
        <v>0</v>
      </c>
      <c r="DS266" s="9" t="n"/>
    </row>
    <row hidden="false" ht="15" outlineLevel="0" r="267">
      <c r="A267" s="183" t="n">
        <f aca="false" ca="false" dt2D="false" dtr="false" t="normal">+A266+1</f>
        <v>248</v>
      </c>
      <c r="B267" s="184" t="n">
        <f aca="false" ca="false" dt2D="false" dtr="false" t="normal">+B266+1</f>
        <v>60</v>
      </c>
      <c r="C267" s="117" t="s">
        <v>111</v>
      </c>
      <c r="D267" s="117" t="s">
        <v>146</v>
      </c>
      <c r="E267" s="105" t="n">
        <v>1981</v>
      </c>
      <c r="F267" s="105" t="n">
        <v>2009</v>
      </c>
      <c r="G267" s="105" t="s">
        <v>68</v>
      </c>
      <c r="H267" s="105" t="n">
        <v>5</v>
      </c>
      <c r="I267" s="105" t="n">
        <v>4</v>
      </c>
      <c r="J267" s="106" t="n">
        <v>6938.7</v>
      </c>
      <c r="K267" s="106" t="n">
        <v>6182.6</v>
      </c>
      <c r="L267" s="106" t="n">
        <v>0</v>
      </c>
      <c r="M267" s="107" t="n">
        <v>194</v>
      </c>
      <c r="N267" s="108" t="n">
        <f aca="false" ca="false" dt2D="false" dtr="false" t="normal">SUM(P267:T267)</f>
        <v>17774350.73</v>
      </c>
      <c r="O267" s="114" t="n"/>
      <c r="P267" s="114" t="n">
        <v>2076617.87</v>
      </c>
      <c r="Q267" s="114" t="n"/>
      <c r="R267" s="114" t="n">
        <v>3054172.49</v>
      </c>
      <c r="S267" s="114" t="n">
        <v>6919671.1767738</v>
      </c>
      <c r="T267" s="114" t="n">
        <v>5723889.1932262</v>
      </c>
      <c r="U267" s="106" t="n">
        <v>8696.48241719611</v>
      </c>
      <c r="V267" s="106" t="n">
        <v>8696.48241719611</v>
      </c>
      <c r="W267" s="185" t="n">
        <v>2023</v>
      </c>
      <c r="X267" s="9" t="e">
        <f aca="false" ca="false" dt2D="false" dtr="false" t="normal">+#REF!-'[9]Приложение №1'!$P1213</f>
        <v>#REF!</v>
      </c>
      <c r="Z267" s="113" t="n">
        <f aca="false" ca="false" dt2D="false" dtr="false" t="normal">SUM(AA267:AO267)</f>
        <v>112490116.45000003</v>
      </c>
      <c r="AA267" s="106" t="n">
        <v>10300846.1912374</v>
      </c>
      <c r="AB267" s="106" t="n">
        <v>5957260.96166124</v>
      </c>
      <c r="AC267" s="106" t="n">
        <v>6297265.91769912</v>
      </c>
      <c r="AD267" s="106" t="n">
        <v>4801718.79918612</v>
      </c>
      <c r="AE267" s="106" t="n">
        <v>1918188.36602316</v>
      </c>
      <c r="AF267" s="106" t="n"/>
      <c r="AG267" s="106" t="n">
        <v>511846.3343322</v>
      </c>
      <c r="AH267" s="106" t="n">
        <v>0</v>
      </c>
      <c r="AI267" s="106" t="n">
        <v>18337074.5641356</v>
      </c>
      <c r="AJ267" s="106" t="n">
        <v>0</v>
      </c>
      <c r="AK267" s="106" t="n">
        <v>35601534.2757829</v>
      </c>
      <c r="AL267" s="106" t="n">
        <v>14001626.8190547</v>
      </c>
      <c r="AM267" s="106" t="n">
        <v>11500753.5758</v>
      </c>
      <c r="AN267" s="114" t="n">
        <v>1124901.1645</v>
      </c>
      <c r="AO267" s="115" t="n">
        <v>2137099.48058758</v>
      </c>
      <c r="AP267" s="112" t="n">
        <f aca="false" ca="false" dt2D="false" dtr="false" t="normal">+N267-'Приложение №2'!E267</f>
        <v>0</v>
      </c>
      <c r="AQ267" s="9" t="n">
        <f aca="false" ca="false" dt2D="false" dtr="false" t="normal">2933225.6-137130.98-R86</f>
        <v>616710.8400000003</v>
      </c>
      <c r="AR267" s="3" t="n">
        <f aca="false" ca="false" dt2D="false" dtr="false" t="normal">+(K267*10+L267*20)*12*0.85</f>
        <v>630625.2</v>
      </c>
      <c r="AS267" s="3" t="n">
        <f aca="false" ca="false" dt2D="false" dtr="false" t="normal">+(K267*10+L267*20)*12*30-S86</f>
        <v>5807839.783226199</v>
      </c>
      <c r="AT267" s="9" t="n">
        <f aca="false" ca="false" dt2D="false" dtr="false" t="normal">+S267-AS267</f>
        <v>1111831.3935476001</v>
      </c>
      <c r="AU267" s="9" t="e">
        <f aca="false" ca="false" dt2D="false" dtr="false" t="normal">+P267-'[5]Приложение №1'!$P280</f>
        <v>#REF!</v>
      </c>
      <c r="AV267" s="9" t="e">
        <f aca="false" ca="false" dt2D="false" dtr="false" t="normal">+Q267-'[5]Приложение №1'!$Q280</f>
        <v>#REF!</v>
      </c>
      <c r="AW267" s="113" t="n">
        <f aca="false" ca="true" dt2D="false" dtr="false" t="normal">SUBTOTAL(9, AX267:BL267)</f>
        <v>53766872.192556694</v>
      </c>
      <c r="AX267" s="106" t="n"/>
      <c r="AY267" s="106" t="n"/>
      <c r="AZ267" s="1" t="n">
        <v>4113294.16</v>
      </c>
      <c r="BA267" s="106" t="n"/>
      <c r="BB267" s="106" t="n"/>
      <c r="BC267" s="106" t="n"/>
      <c r="BD267" s="106" t="n"/>
      <c r="BE267" s="106" t="n">
        <v>0</v>
      </c>
      <c r="BF267" s="106" t="n"/>
      <c r="BG267" s="106" t="n">
        <v>0</v>
      </c>
      <c r="BH267" s="106" t="n">
        <v>35601534.2757829</v>
      </c>
      <c r="BI267" s="106" t="n">
        <v>13661056.57</v>
      </c>
      <c r="BJ267" s="106" t="n"/>
      <c r="BK267" s="114" t="n"/>
      <c r="BL267" s="187" t="n">
        <v>390987.1867738</v>
      </c>
      <c r="BM267" s="113" t="n">
        <f aca="false" ca="true" dt2D="false" dtr="false" t="normal">SUBTOTAL(9, BN267:CB267)</f>
        <v>53766872.192556694</v>
      </c>
      <c r="BN267" s="106" t="n"/>
      <c r="BO267" s="106" t="n"/>
      <c r="BP267" s="3" t="n">
        <v>4113294.16</v>
      </c>
      <c r="BQ267" s="106" t="n"/>
      <c r="BR267" s="106" t="n"/>
      <c r="BS267" s="106" t="n"/>
      <c r="BT267" s="106" t="n"/>
      <c r="BU267" s="106" t="n">
        <v>0</v>
      </c>
      <c r="BV267" s="106" t="n"/>
      <c r="BW267" s="106" t="n">
        <v>0</v>
      </c>
      <c r="BX267" s="106" t="n">
        <v>35601534.2757829</v>
      </c>
      <c r="BY267" s="106" t="n">
        <v>13661056.57</v>
      </c>
      <c r="BZ267" s="106" t="n"/>
      <c r="CA267" s="114" t="n"/>
      <c r="CB267" s="115" t="n">
        <v>390987.1867738</v>
      </c>
      <c r="CD267" s="116" t="n">
        <f aca="false" ca="false" dt2D="false" dtr="false" t="normal">+CD266+1</f>
        <v>248</v>
      </c>
      <c r="CE267" s="117" t="n">
        <f aca="false" ca="false" dt2D="false" dtr="false" t="normal">+CE266+1</f>
        <v>60</v>
      </c>
      <c r="CF267" s="104" t="s">
        <v>111</v>
      </c>
      <c r="CG267" s="117" t="s">
        <v>146</v>
      </c>
      <c r="CH267" s="118" t="n">
        <f aca="false" ca="true" dt2D="false" dtr="false" t="normal">SUBTOTAL(9, CI267:CW267)</f>
        <v>18165337.9167738</v>
      </c>
      <c r="CI267" s="114" t="n"/>
      <c r="CJ267" s="114" t="n"/>
      <c r="CK267" s="114" t="n">
        <v>4113294.16</v>
      </c>
      <c r="CL267" s="114" t="n"/>
      <c r="CM267" s="114" t="n"/>
      <c r="CN267" s="114" t="n"/>
      <c r="CO267" s="114" t="n"/>
      <c r="CP267" s="114" t="n">
        <v>0</v>
      </c>
      <c r="CQ267" s="114" t="n"/>
      <c r="CR267" s="114" t="n">
        <v>0</v>
      </c>
      <c r="CS267" s="114" t="n"/>
      <c r="CT267" s="114" t="n">
        <v>13661056.57</v>
      </c>
      <c r="CU267" s="114" t="n"/>
      <c r="CV267" s="114" t="n"/>
      <c r="CW267" s="115" t="n">
        <v>390987.1867738</v>
      </c>
      <c r="CZ267" s="117" t="s">
        <v>146</v>
      </c>
      <c r="DA267" s="119" t="n">
        <f aca="false" ca="true" dt2D="false" dtr="false" t="normal">SUBTOTAL(9, DB267:DP267)</f>
        <v>17774350.73</v>
      </c>
      <c r="DB267" s="114" t="n"/>
      <c r="DC267" s="114" t="n"/>
      <c r="DD267" s="114" t="n">
        <v>4113294.16</v>
      </c>
      <c r="DE267" s="114" t="n"/>
      <c r="DF267" s="114" t="n"/>
      <c r="DG267" s="114" t="n"/>
      <c r="DH267" s="114" t="n"/>
      <c r="DI267" s="114" t="n">
        <v>0</v>
      </c>
      <c r="DJ267" s="114" t="n"/>
      <c r="DK267" s="114" t="n">
        <v>0</v>
      </c>
      <c r="DL267" s="114" t="n"/>
      <c r="DM267" s="114" t="n">
        <v>13661056.57</v>
      </c>
      <c r="DN267" s="114" t="n"/>
      <c r="DO267" s="114" t="n"/>
      <c r="DP267" s="122" t="n"/>
      <c r="DQ267" s="3" t="n">
        <f aca="false" ca="false" dt2D="false" dtr="false" t="normal">N267-DA267</f>
        <v>0</v>
      </c>
      <c r="DS267" s="9" t="n"/>
    </row>
    <row hidden="false" ht="15" outlineLevel="0" r="268">
      <c r="A268" s="183" t="n">
        <f aca="false" ca="false" dt2D="false" dtr="false" t="normal">+A267+1</f>
        <v>249</v>
      </c>
      <c r="B268" s="184" t="n">
        <f aca="false" ca="false" dt2D="false" dtr="false" t="normal">+B267+1</f>
        <v>61</v>
      </c>
      <c r="C268" s="104" t="s">
        <v>111</v>
      </c>
      <c r="D268" s="104" t="s">
        <v>354</v>
      </c>
      <c r="E268" s="105" t="n">
        <v>1990</v>
      </c>
      <c r="F268" s="105" t="n">
        <v>2009</v>
      </c>
      <c r="G268" s="105" t="s">
        <v>68</v>
      </c>
      <c r="H268" s="105" t="n">
        <v>5</v>
      </c>
      <c r="I268" s="105" t="n">
        <v>6</v>
      </c>
      <c r="J268" s="106" t="n">
        <v>5593.2</v>
      </c>
      <c r="K268" s="106" t="n">
        <v>4942</v>
      </c>
      <c r="L268" s="106" t="n">
        <v>0</v>
      </c>
      <c r="M268" s="107" t="n">
        <v>206</v>
      </c>
      <c r="N268" s="108" t="n">
        <f aca="false" ca="false" dt2D="false" dtr="false" t="normal">SUM(P268:T268)</f>
        <v>5195032.82</v>
      </c>
      <c r="O268" s="106" t="n"/>
      <c r="P268" s="114" t="n"/>
      <c r="Q268" s="114" t="n"/>
      <c r="R268" s="114" t="n">
        <v>2725708.02</v>
      </c>
      <c r="S268" s="114" t="n">
        <v>2469324.8</v>
      </c>
      <c r="T268" s="114" t="n"/>
      <c r="U268" s="106" t="n">
        <v>1102.99421196115</v>
      </c>
      <c r="V268" s="106" t="n">
        <v>1102.99421196115</v>
      </c>
      <c r="W268" s="185" t="n">
        <v>2023</v>
      </c>
      <c r="X268" s="9" t="e">
        <f aca="false" ca="false" dt2D="false" dtr="false" t="normal">+#REF!-'[9]Приложение №1'!$P1036</f>
        <v>#REF!</v>
      </c>
      <c r="Z268" s="113" t="n">
        <f aca="false" ca="false" dt2D="false" dtr="false" t="normal">SUM(AA268:AO268)</f>
        <v>12818538.900000025</v>
      </c>
      <c r="AA268" s="106" t="n">
        <v>0</v>
      </c>
      <c r="AB268" s="106" t="n">
        <v>0</v>
      </c>
      <c r="AC268" s="106" t="n">
        <v>0</v>
      </c>
      <c r="AD268" s="106" t="n">
        <v>0</v>
      </c>
      <c r="AE268" s="106" t="n">
        <v>0</v>
      </c>
      <c r="AF268" s="106" t="n"/>
      <c r="AG268" s="106" t="n">
        <v>0</v>
      </c>
      <c r="AH268" s="106" t="n">
        <v>0</v>
      </c>
      <c r="AI268" s="106" t="n">
        <v>0</v>
      </c>
      <c r="AJ268" s="106" t="n">
        <v>0</v>
      </c>
      <c r="AK268" s="106" t="n">
        <v>0</v>
      </c>
      <c r="AL268" s="106" t="n">
        <v>12317589.3489445</v>
      </c>
      <c r="AM268" s="106" t="n">
        <v>155875.03</v>
      </c>
      <c r="AN268" s="106" t="n">
        <v>75713.78932917</v>
      </c>
      <c r="AO268" s="115" t="n">
        <v>269360.731726356</v>
      </c>
      <c r="AP268" s="112" t="n">
        <f aca="false" ca="false" dt2D="false" dtr="false" t="normal">+N268-'Приложение №2'!E268</f>
        <v>0</v>
      </c>
      <c r="AQ268" s="1" t="n">
        <v>2223888.42</v>
      </c>
      <c r="AR268" s="3" t="n">
        <f aca="false" ca="false" dt2D="false" dtr="false" t="normal">+(K268*10+L268*20)*12*0.85</f>
        <v>504084</v>
      </c>
      <c r="AS268" s="3" t="n">
        <f aca="false" ca="false" dt2D="false" dtr="false" t="normal">+(K268*10+L268*20)*12*30</f>
        <v>17791200</v>
      </c>
      <c r="AT268" s="9" t="n">
        <f aca="false" ca="false" dt2D="false" dtr="false" t="normal">+S268-AS268</f>
        <v>-15321875.2</v>
      </c>
      <c r="AU268" s="9" t="e">
        <f aca="false" ca="false" dt2D="false" dtr="false" t="normal">+P268-'[5]Приложение №1'!$P281</f>
        <v>#REF!</v>
      </c>
      <c r="AV268" s="9" t="e">
        <f aca="false" ca="false" dt2D="false" dtr="false" t="normal">+Q268-'[5]Приложение №1'!$Q281</f>
        <v>#REF!</v>
      </c>
      <c r="AW268" s="113" t="n">
        <f aca="false" ca="true" dt2D="false" dtr="false" t="normal">SUBTOTAL(9, AX268:BL268)</f>
        <v>5450997.395512001</v>
      </c>
      <c r="AX268" s="106" t="n">
        <v>0</v>
      </c>
      <c r="AY268" s="106" t="n">
        <v>0</v>
      </c>
      <c r="AZ268" s="106" t="n">
        <v>0</v>
      </c>
      <c r="BA268" s="106" t="n">
        <v>0</v>
      </c>
      <c r="BB268" s="106" t="n">
        <v>0</v>
      </c>
      <c r="BC268" s="106" t="n"/>
      <c r="BD268" s="106" t="n"/>
      <c r="BE268" s="106" t="n">
        <v>0</v>
      </c>
      <c r="BF268" s="106" t="n">
        <v>0</v>
      </c>
      <c r="BG268" s="106" t="n">
        <v>0</v>
      </c>
      <c r="BH268" s="106" t="n">
        <v>0</v>
      </c>
      <c r="BI268" s="106" t="n">
        <v>4977661</v>
      </c>
      <c r="BJ268" s="106" t="n">
        <v>155875.03</v>
      </c>
      <c r="BK268" s="106" t="n">
        <f aca="false" ca="false" dt2D="false" dtr="false" t="normal">47496.79</f>
        <v>47496.79</v>
      </c>
      <c r="BL268" s="187" t="n">
        <v>269964.575512</v>
      </c>
      <c r="BM268" s="113" t="n">
        <f aca="false" ca="true" dt2D="false" dtr="false" t="normal">SUBTOTAL(9, BN268:CB268)</f>
        <v>5450997.395512001</v>
      </c>
      <c r="BN268" s="106" t="n">
        <v>0</v>
      </c>
      <c r="BO268" s="106" t="n">
        <v>0</v>
      </c>
      <c r="BP268" s="106" t="n">
        <v>0</v>
      </c>
      <c r="BQ268" s="106" t="n">
        <v>0</v>
      </c>
      <c r="BR268" s="106" t="n">
        <v>0</v>
      </c>
      <c r="BS268" s="106" t="n"/>
      <c r="BT268" s="106" t="n"/>
      <c r="BU268" s="106" t="n">
        <v>0</v>
      </c>
      <c r="BV268" s="106" t="n">
        <v>0</v>
      </c>
      <c r="BW268" s="106" t="n">
        <v>0</v>
      </c>
      <c r="BX268" s="106" t="n">
        <v>0</v>
      </c>
      <c r="BY268" s="106" t="n">
        <v>4977661</v>
      </c>
      <c r="BZ268" s="106" t="n">
        <v>155875.03</v>
      </c>
      <c r="CA268" s="106" t="n">
        <f aca="false" ca="false" dt2D="false" dtr="false" t="normal">47496.79</f>
        <v>47496.79</v>
      </c>
      <c r="CB268" s="115" t="n">
        <v>269964.575512</v>
      </c>
      <c r="CD268" s="116" t="n">
        <f aca="false" ca="false" dt2D="false" dtr="false" t="normal">+CD267+1</f>
        <v>249</v>
      </c>
      <c r="CE268" s="117" t="n">
        <f aca="false" ca="false" dt2D="false" dtr="false" t="normal">+CE267+1</f>
        <v>61</v>
      </c>
      <c r="CF268" s="104" t="s">
        <v>111</v>
      </c>
      <c r="CG268" s="117" t="s">
        <v>354</v>
      </c>
      <c r="CH268" s="118" t="n">
        <f aca="false" ca="true" dt2D="false" dtr="false" t="normal">SUBTOTAL(9, CI268:CW268)</f>
        <v>5464997.395512001</v>
      </c>
      <c r="CI268" s="114" t="n">
        <v>0</v>
      </c>
      <c r="CJ268" s="114" t="n">
        <v>0</v>
      </c>
      <c r="CK268" s="114" t="n">
        <v>0</v>
      </c>
      <c r="CL268" s="114" t="n">
        <v>0</v>
      </c>
      <c r="CM268" s="114" t="n">
        <v>0</v>
      </c>
      <c r="CN268" s="114" t="n"/>
      <c r="CO268" s="114" t="n"/>
      <c r="CP268" s="114" t="n">
        <v>0</v>
      </c>
      <c r="CQ268" s="114" t="n">
        <v>0</v>
      </c>
      <c r="CR268" s="114" t="n">
        <v>0</v>
      </c>
      <c r="CS268" s="114" t="n">
        <v>0</v>
      </c>
      <c r="CT268" s="114" t="n">
        <v>4977661</v>
      </c>
      <c r="CU268" s="114" t="n">
        <v>193371.82</v>
      </c>
      <c r="CV268" s="114" t="n">
        <v>24000</v>
      </c>
      <c r="CW268" s="115" t="n">
        <v>269964.575512</v>
      </c>
      <c r="CZ268" s="117" t="s">
        <v>354</v>
      </c>
      <c r="DA268" s="119" t="n">
        <f aca="false" ca="true" dt2D="false" dtr="false" t="normal">SUBTOTAL(9, DB268:DP268)</f>
        <v>5195032.82</v>
      </c>
      <c r="DB268" s="114" t="n">
        <v>0</v>
      </c>
      <c r="DC268" s="114" t="n">
        <v>0</v>
      </c>
      <c r="DD268" s="114" t="n">
        <v>0</v>
      </c>
      <c r="DE268" s="114" t="n">
        <v>0</v>
      </c>
      <c r="DF268" s="114" t="n">
        <v>0</v>
      </c>
      <c r="DG268" s="114" t="n"/>
      <c r="DH268" s="114" t="n"/>
      <c r="DI268" s="114" t="n">
        <v>0</v>
      </c>
      <c r="DJ268" s="114" t="n">
        <v>0</v>
      </c>
      <c r="DK268" s="114" t="n">
        <v>0</v>
      </c>
      <c r="DL268" s="114" t="n">
        <v>0</v>
      </c>
      <c r="DM268" s="114" t="n">
        <v>4977661</v>
      </c>
      <c r="DN268" s="114" t="n">
        <v>193371.82</v>
      </c>
      <c r="DO268" s="114" t="n">
        <v>24000</v>
      </c>
      <c r="DP268" s="122" t="n"/>
      <c r="DQ268" s="3" t="n">
        <f aca="false" ca="false" dt2D="false" dtr="false" t="normal">N268-DA268</f>
        <v>0</v>
      </c>
      <c r="DS268" s="9" t="n"/>
    </row>
    <row hidden="false" ht="15" outlineLevel="0" r="269">
      <c r="A269" s="183" t="n">
        <f aca="false" ca="false" dt2D="false" dtr="false" t="normal">+A268+1</f>
        <v>250</v>
      </c>
      <c r="B269" s="184" t="n">
        <f aca="false" ca="false" dt2D="false" dtr="false" t="normal">+B268+1</f>
        <v>62</v>
      </c>
      <c r="C269" s="117" t="s">
        <v>111</v>
      </c>
      <c r="D269" s="117" t="s">
        <v>355</v>
      </c>
      <c r="E269" s="105" t="n">
        <v>1969</v>
      </c>
      <c r="F269" s="105" t="n">
        <v>2013</v>
      </c>
      <c r="G269" s="105" t="s">
        <v>68</v>
      </c>
      <c r="H269" s="105" t="n">
        <v>5</v>
      </c>
      <c r="I269" s="105" t="n">
        <v>1</v>
      </c>
      <c r="J269" s="106" t="n">
        <v>4537.3</v>
      </c>
      <c r="K269" s="106" t="n">
        <v>1650.2</v>
      </c>
      <c r="L269" s="106" t="n">
        <v>2887.1</v>
      </c>
      <c r="M269" s="107" t="n">
        <v>209</v>
      </c>
      <c r="N269" s="108" t="n">
        <f aca="false" ca="false" dt2D="false" dtr="false" t="normal">SUM(P269:T269)</f>
        <v>32945367.95502542</v>
      </c>
      <c r="O269" s="114" t="n"/>
      <c r="P269" s="114" t="n">
        <v>3487044.1172583</v>
      </c>
      <c r="Q269" s="114" t="n"/>
      <c r="R269" s="114" t="n">
        <v>5122527.85335582</v>
      </c>
      <c r="S269" s="114" t="n">
        <v>24335795.9844113</v>
      </c>
      <c r="T269" s="114" t="n"/>
      <c r="U269" s="114" t="n">
        <v>31220.8095647646</v>
      </c>
      <c r="V269" s="114" t="n">
        <v>1283.283020064</v>
      </c>
      <c r="W269" s="185" t="n">
        <v>2023</v>
      </c>
      <c r="X269" s="9" t="e">
        <f aca="false" ca="false" dt2D="false" dtr="false" t="normal">+#REF!-'[9]Приложение №1'!$P414</f>
        <v>#REF!</v>
      </c>
      <c r="Z269" s="113" t="n">
        <f aca="false" ca="false" dt2D="false" dtr="false" t="normal">SUM(AA269:AO269)</f>
        <v>18609674.18474108</v>
      </c>
      <c r="AA269" s="106" t="n">
        <v>3688251.58520364</v>
      </c>
      <c r="AB269" s="106" t="n"/>
      <c r="AC269" s="106" t="n">
        <v>1373125.64381916</v>
      </c>
      <c r="AD269" s="106" t="n">
        <v>859663.4670876</v>
      </c>
      <c r="AE269" s="106" t="n">
        <v>0</v>
      </c>
      <c r="AF269" s="106" t="n"/>
      <c r="AG269" s="106" t="n">
        <v>0</v>
      </c>
      <c r="AH269" s="106" t="n">
        <v>0</v>
      </c>
      <c r="AI269" s="106" t="n">
        <v>6742685.0844486</v>
      </c>
      <c r="AJ269" s="106" t="n">
        <v>0</v>
      </c>
      <c r="AK269" s="106" t="n">
        <v>3500833.3089198</v>
      </c>
      <c r="AL269" s="106" t="n">
        <v>0</v>
      </c>
      <c r="AM269" s="106" t="n">
        <v>1863648.8813</v>
      </c>
      <c r="AN269" s="114" t="n">
        <v>199239.4985</v>
      </c>
      <c r="AO269" s="115" t="n">
        <v>382226.71546228</v>
      </c>
      <c r="AP269" s="112" t="n">
        <f aca="false" ca="false" dt2D="false" dtr="false" t="normal">+N269-'Приложение №2'!E269</f>
        <v>0</v>
      </c>
      <c r="AQ269" s="121" t="n">
        <v>4743042.6</v>
      </c>
      <c r="AR269" s="3" t="n">
        <f aca="false" ca="false" dt2D="false" dtr="false" t="normal">+(K269*10.5+L269*21)*12*0.85</f>
        <v>795153.2399999999</v>
      </c>
      <c r="AS269" s="3" t="n">
        <f aca="false" ca="false" dt2D="false" dtr="false" t="normal">+(K269*10.5+L269*21)*12*30</f>
        <v>28064231.999999996</v>
      </c>
      <c r="AT269" s="9" t="n">
        <f aca="false" ca="false" dt2D="false" dtr="false" t="normal">+S269-AS269</f>
        <v>-3728436.015588697</v>
      </c>
      <c r="AU269" s="9" t="e">
        <f aca="false" ca="false" dt2D="false" dtr="false" t="normal">+P269-'[5]Приложение №1'!$P566</f>
        <v>#REF!</v>
      </c>
      <c r="AV269" s="9" t="e">
        <f aca="false" ca="false" dt2D="false" dtr="false" t="normal">+Q269-'[5]Приложение №1'!$Q566</f>
        <v>#REF!</v>
      </c>
      <c r="AW269" s="186" t="n">
        <f aca="false" ca="true" dt2D="false" dtr="false" t="normal">SUBTOTAL(9, AX269:BL269)</f>
        <v>51520579.94377453</v>
      </c>
      <c r="AX269" s="106" t="n">
        <v>10832940.959799</v>
      </c>
      <c r="AY269" s="106" t="n">
        <v>0</v>
      </c>
      <c r="AZ269" s="106" t="n">
        <v>4033071.52189248</v>
      </c>
      <c r="BA269" s="106" t="n">
        <v>0</v>
      </c>
      <c r="BB269" s="106" t="n">
        <v>0</v>
      </c>
      <c r="BC269" s="106" t="n"/>
      <c r="BD269" s="106" t="n">
        <v>415667.986644158</v>
      </c>
      <c r="BE269" s="106" t="n">
        <v>0</v>
      </c>
      <c r="BF269" s="106" t="n">
        <v>19804228.847171</v>
      </c>
      <c r="BG269" s="106" t="n">
        <v>0</v>
      </c>
      <c r="BH269" s="106" t="n">
        <v>10282453.0611456</v>
      </c>
      <c r="BI269" s="106" t="n">
        <v>0</v>
      </c>
      <c r="BJ269" s="106" t="n">
        <v>4644897.56897173</v>
      </c>
      <c r="BK269" s="114" t="n">
        <v>515205.799437746</v>
      </c>
      <c r="BL269" s="187" t="n">
        <v>992114.198712813</v>
      </c>
      <c r="BM269" s="186" t="n">
        <f aca="false" ca="true" dt2D="false" dtr="false" t="normal">SUBTOTAL(9, BN269:CB269)</f>
        <v>46546825.06859084</v>
      </c>
      <c r="BN269" s="106" t="n">
        <v>10832940.959799</v>
      </c>
      <c r="BO269" s="106" t="n">
        <v>0</v>
      </c>
      <c r="BP269" s="106" t="n">
        <v>1549799.6</v>
      </c>
      <c r="BQ269" s="106" t="n">
        <v>0</v>
      </c>
      <c r="BR269" s="106" t="n">
        <v>0</v>
      </c>
      <c r="BS269" s="106" t="n"/>
      <c r="BT269" s="106" t="n">
        <v>415667.986644158</v>
      </c>
      <c r="BU269" s="106" t="n">
        <v>0</v>
      </c>
      <c r="BV269" s="106" t="n">
        <v>13493182.9250254</v>
      </c>
      <c r="BW269" s="106" t="n">
        <v>0</v>
      </c>
      <c r="BX269" s="106" t="n">
        <v>14103016.03</v>
      </c>
      <c r="BY269" s="106" t="n">
        <v>0</v>
      </c>
      <c r="BZ269" s="106" t="n">
        <v>4644897.56897173</v>
      </c>
      <c r="CA269" s="114" t="n">
        <v>515205.799437746</v>
      </c>
      <c r="CB269" s="115" t="n">
        <v>992114.198712813</v>
      </c>
      <c r="CD269" s="116" t="n">
        <f aca="false" ca="false" dt2D="false" dtr="false" t="normal">+CD268+1</f>
        <v>250</v>
      </c>
      <c r="CE269" s="117" t="n">
        <f aca="false" ca="false" dt2D="false" dtr="false" t="normal">+CE268+1</f>
        <v>62</v>
      </c>
      <c r="CF269" s="104" t="s">
        <v>111</v>
      </c>
      <c r="CG269" s="117" t="s">
        <v>355</v>
      </c>
      <c r="CH269" s="188" t="n">
        <f aca="false" ca="true" dt2D="false" dtr="false" t="normal">SUBTOTAL(9, CI269:CW269)</f>
        <v>33937482.153738216</v>
      </c>
      <c r="CI269" s="114" t="n">
        <v>3333540.05</v>
      </c>
      <c r="CJ269" s="114" t="n">
        <v>0</v>
      </c>
      <c r="CK269" s="114" t="n">
        <v>1549799.6</v>
      </c>
      <c r="CL269" s="114" t="n">
        <v>0</v>
      </c>
      <c r="CM269" s="114" t="n">
        <v>0</v>
      </c>
      <c r="CN269" s="114" t="n"/>
      <c r="CO269" s="114" t="n"/>
      <c r="CP269" s="114" t="n">
        <v>0</v>
      </c>
      <c r="CQ269" s="114" t="n">
        <v>13493182.9250254</v>
      </c>
      <c r="CR269" s="114" t="n">
        <v>0</v>
      </c>
      <c r="CS269" s="114" t="n">
        <v>14103016.03</v>
      </c>
      <c r="CT269" s="114" t="n">
        <v>0</v>
      </c>
      <c r="CU269" s="114" t="n">
        <v>456271.36</v>
      </c>
      <c r="CV269" s="114" t="n">
        <v>9557.99</v>
      </c>
      <c r="CW269" s="115" t="n">
        <v>992114.198712813</v>
      </c>
      <c r="CZ269" s="117" t="s">
        <v>355</v>
      </c>
      <c r="DA269" s="189" t="n">
        <f aca="false" ca="true" dt2D="false" dtr="false" t="normal">SUBTOTAL(9, DB269:DP269)</f>
        <v>32945367.9550254</v>
      </c>
      <c r="DB269" s="114" t="n">
        <v>3333540.05</v>
      </c>
      <c r="DC269" s="114" t="n">
        <v>0</v>
      </c>
      <c r="DD269" s="114" t="n">
        <v>1549799.6</v>
      </c>
      <c r="DE269" s="114" t="n">
        <v>0</v>
      </c>
      <c r="DF269" s="114" t="n">
        <v>0</v>
      </c>
      <c r="DG269" s="114" t="n"/>
      <c r="DH269" s="114" t="n"/>
      <c r="DI269" s="114" t="n">
        <v>0</v>
      </c>
      <c r="DJ269" s="114" t="n">
        <v>13493182.9250254</v>
      </c>
      <c r="DK269" s="114" t="n">
        <v>0</v>
      </c>
      <c r="DL269" s="114" t="n">
        <v>14103016.03</v>
      </c>
      <c r="DM269" s="114" t="n">
        <v>0</v>
      </c>
      <c r="DN269" s="114" t="n">
        <v>456271.36</v>
      </c>
      <c r="DO269" s="114" t="n">
        <v>9557.99</v>
      </c>
      <c r="DP269" s="122" t="n"/>
      <c r="DQ269" s="3" t="n">
        <f aca="false" ca="false" dt2D="false" dtr="false" t="normal">N269-DA269</f>
        <v>0</v>
      </c>
      <c r="DS269" s="9" t="n"/>
    </row>
    <row hidden="false" ht="15" outlineLevel="0" r="270">
      <c r="A270" s="183" t="n">
        <f aca="false" ca="false" dt2D="false" dtr="false" t="normal">+A269+1</f>
        <v>251</v>
      </c>
      <c r="B270" s="184" t="n">
        <f aca="false" ca="false" dt2D="false" dtr="false" t="normal">+B269+1</f>
        <v>63</v>
      </c>
      <c r="C270" s="117" t="s">
        <v>111</v>
      </c>
      <c r="D270" s="117" t="s">
        <v>150</v>
      </c>
      <c r="E270" s="105" t="n">
        <v>1970</v>
      </c>
      <c r="F270" s="105" t="n">
        <v>2013</v>
      </c>
      <c r="G270" s="105" t="s">
        <v>68</v>
      </c>
      <c r="H270" s="105" t="n">
        <v>5</v>
      </c>
      <c r="I270" s="105" t="n">
        <v>4</v>
      </c>
      <c r="J270" s="106" t="n">
        <v>3068</v>
      </c>
      <c r="K270" s="106" t="n">
        <v>2483.8</v>
      </c>
      <c r="L270" s="106" t="n">
        <v>584.2</v>
      </c>
      <c r="M270" s="107" t="n">
        <v>142</v>
      </c>
      <c r="N270" s="108" t="n">
        <f aca="false" ca="false" dt2D="false" dtr="false" t="normal">SUM(P270:T270)</f>
        <v>5621995.85</v>
      </c>
      <c r="O270" s="114" t="n"/>
      <c r="P270" s="114" t="n">
        <v>3218407.59</v>
      </c>
      <c r="Q270" s="114" t="n"/>
      <c r="R270" s="114" t="n">
        <v>318641.85</v>
      </c>
      <c r="S270" s="114" t="n">
        <v>2084946.41</v>
      </c>
      <c r="T270" s="114" t="n"/>
      <c r="U270" s="114" t="n">
        <v>4744.83322534724</v>
      </c>
      <c r="V270" s="114" t="n">
        <v>4744.83322534724</v>
      </c>
      <c r="W270" s="185" t="n">
        <v>2023</v>
      </c>
      <c r="X270" s="9" t="e">
        <f aca="false" ca="false" dt2D="false" dtr="false" t="normal">+#REF!-'[9]Приложение №1'!$P1641</f>
        <v>#REF!</v>
      </c>
      <c r="Z270" s="113" t="n">
        <f aca="false" ca="false" dt2D="false" dtr="false" t="normal">SUM(AA270:AO270)</f>
        <v>25875618.41</v>
      </c>
      <c r="AA270" s="106" t="n">
        <v>5945419.54417866</v>
      </c>
      <c r="AB270" s="106" t="n">
        <v>2118597.40787478</v>
      </c>
      <c r="AC270" s="106" t="n">
        <v>2213462.88463314</v>
      </c>
      <c r="AD270" s="106" t="n">
        <v>1385767.7235402</v>
      </c>
      <c r="AE270" s="106" t="n">
        <v>0</v>
      </c>
      <c r="AF270" s="106" t="n"/>
      <c r="AG270" s="106" t="n">
        <v>228142.02967668</v>
      </c>
      <c r="AH270" s="106" t="n">
        <v>0</v>
      </c>
      <c r="AI270" s="106" t="n">
        <v>10869131.5409124</v>
      </c>
      <c r="AJ270" s="106" t="n">
        <v>0</v>
      </c>
      <c r="AK270" s="106" t="n">
        <v>0</v>
      </c>
      <c r="AL270" s="106" t="n">
        <v>0</v>
      </c>
      <c r="AM270" s="106" t="n">
        <v>2358614.5958</v>
      </c>
      <c r="AN270" s="114" t="n">
        <v>258756.1841</v>
      </c>
      <c r="AO270" s="115" t="n">
        <v>497726.49928414</v>
      </c>
      <c r="AP270" s="112" t="n">
        <f aca="false" ca="false" dt2D="false" dtr="false" t="normal">+N270-'Приложение №2'!E270</f>
        <v>0</v>
      </c>
      <c r="AQ270" s="9" t="n">
        <f aca="false" ca="false" dt2D="false" dtr="false" t="normal">504168.77-R89</f>
        <v>365922.02463468</v>
      </c>
      <c r="AR270" s="3" t="n">
        <f aca="false" ca="false" dt2D="false" dtr="false" t="normal">+(K270*10+L270*20)*12*0.85</f>
        <v>372524.39999999997</v>
      </c>
      <c r="AS270" s="3" t="n">
        <f aca="false" ca="false" dt2D="false" dtr="false" t="normal">+(K270*10+L270*20)*12*30-S89</f>
        <v>12219507.67536532</v>
      </c>
      <c r="AT270" s="9" t="n">
        <f aca="false" ca="false" dt2D="false" dtr="false" t="normal">+S270-AS270</f>
        <v>-10134561.26536532</v>
      </c>
      <c r="AU270" s="9" t="e">
        <f aca="false" ca="false" dt2D="false" dtr="false" t="normal">+P270-'[5]Приложение №1'!$P282</f>
        <v>#REF!</v>
      </c>
      <c r="AV270" s="9" t="e">
        <f aca="false" ca="false" dt2D="false" dtr="false" t="normal">+Q270-'[5]Приложение №1'!$Q282</f>
        <v>#REF!</v>
      </c>
      <c r="AW270" s="113" t="n">
        <f aca="false" ca="true" dt2D="false" dtr="false" t="normal">SUBTOTAL(9, AX270:BL270)</f>
        <v>14557148.33536532</v>
      </c>
      <c r="AX270" s="106" t="n">
        <v>6546503.21</v>
      </c>
      <c r="AY270" s="106" t="n">
        <v>2315850.26</v>
      </c>
      <c r="AZ270" s="106" t="n"/>
      <c r="BA270" s="106" t="n"/>
      <c r="BB270" s="106" t="n"/>
      <c r="BC270" s="106" t="n"/>
      <c r="BD270" s="106" t="n"/>
      <c r="BE270" s="106" t="n"/>
      <c r="BF270" s="106" t="n">
        <v>5556548.12</v>
      </c>
      <c r="BG270" s="106" t="n">
        <v>0</v>
      </c>
      <c r="BH270" s="106" t="n">
        <v>0</v>
      </c>
      <c r="BI270" s="106" t="n">
        <v>0</v>
      </c>
      <c r="BJ270" s="106" t="n"/>
      <c r="BK270" s="114" t="n"/>
      <c r="BL270" s="187" t="n">
        <v>138246.74536532</v>
      </c>
      <c r="BM270" s="113" t="n">
        <f aca="false" ca="true" dt2D="false" dtr="false" t="normal">SUBTOTAL(9, BN270:CB270)</f>
        <v>14557148.33536532</v>
      </c>
      <c r="BN270" s="106" t="n">
        <v>6546503.21</v>
      </c>
      <c r="BO270" s="106" t="n">
        <v>2315850.26</v>
      </c>
      <c r="BP270" s="106" t="n"/>
      <c r="BQ270" s="106" t="n"/>
      <c r="BR270" s="106" t="n"/>
      <c r="BS270" s="106" t="n"/>
      <c r="BT270" s="106" t="n"/>
      <c r="BU270" s="106" t="n"/>
      <c r="BV270" s="106" t="n">
        <v>5556548.12</v>
      </c>
      <c r="BW270" s="106" t="n">
        <v>0</v>
      </c>
      <c r="BX270" s="106" t="n">
        <v>0</v>
      </c>
      <c r="BY270" s="106" t="n">
        <v>0</v>
      </c>
      <c r="BZ270" s="106" t="n"/>
      <c r="CA270" s="114" t="n"/>
      <c r="CB270" s="115" t="n">
        <v>138246.74536532</v>
      </c>
      <c r="CD270" s="116" t="n">
        <f aca="false" ca="false" dt2D="false" dtr="false" t="normal">+CD269+1</f>
        <v>251</v>
      </c>
      <c r="CE270" s="117" t="n">
        <f aca="false" ca="false" dt2D="false" dtr="false" t="normal">+CE269+1</f>
        <v>63</v>
      </c>
      <c r="CF270" s="104" t="s">
        <v>111</v>
      </c>
      <c r="CG270" s="117" t="s">
        <v>150</v>
      </c>
      <c r="CH270" s="118" t="n">
        <f aca="false" ca="true" dt2D="false" dtr="false" t="normal">SUBTOTAL(9, CI270:CW270)</f>
        <v>5694794.86536532</v>
      </c>
      <c r="CI270" s="114" t="n"/>
      <c r="CJ270" s="114" t="n"/>
      <c r="CK270" s="114" t="n"/>
      <c r="CL270" s="114" t="n"/>
      <c r="CM270" s="114" t="n"/>
      <c r="CN270" s="114" t="n"/>
      <c r="CO270" s="114" t="n"/>
      <c r="CP270" s="114" t="n"/>
      <c r="CQ270" s="114" t="n">
        <v>5556548.12</v>
      </c>
      <c r="CR270" s="114" t="n">
        <v>0</v>
      </c>
      <c r="CS270" s="114" t="n">
        <v>0</v>
      </c>
      <c r="CT270" s="114" t="n">
        <v>0</v>
      </c>
      <c r="CU270" s="114" t="n"/>
      <c r="CV270" s="114" t="n"/>
      <c r="CW270" s="115" t="n">
        <v>138246.74536532</v>
      </c>
      <c r="CZ270" s="117" t="s">
        <v>150</v>
      </c>
      <c r="DA270" s="119" t="n">
        <f aca="false" ca="true" dt2D="false" dtr="false" t="normal">SUBTOTAL(9, DB270:DP270)</f>
        <v>5621995.850000001</v>
      </c>
      <c r="DB270" s="114" t="n"/>
      <c r="DC270" s="114" t="n"/>
      <c r="DD270" s="114" t="n"/>
      <c r="DE270" s="114" t="n"/>
      <c r="DF270" s="114" t="n"/>
      <c r="DG270" s="114" t="n"/>
      <c r="DH270" s="114" t="n"/>
      <c r="DI270" s="114" t="n"/>
      <c r="DJ270" s="114" t="n">
        <v>5556548.12</v>
      </c>
      <c r="DK270" s="114" t="n">
        <v>0</v>
      </c>
      <c r="DL270" s="114" t="n">
        <v>0</v>
      </c>
      <c r="DM270" s="114" t="n">
        <v>0</v>
      </c>
      <c r="DN270" s="114" t="n"/>
      <c r="DO270" s="114" t="n"/>
      <c r="DP270" s="120" t="n">
        <v>65447.73</v>
      </c>
      <c r="DQ270" s="3" t="n">
        <f aca="false" ca="false" dt2D="false" dtr="false" t="normal">N270-DA270</f>
        <v>0</v>
      </c>
      <c r="DS270" s="9" t="n"/>
    </row>
    <row hidden="false" ht="15" outlineLevel="0" r="271">
      <c r="A271" s="183" t="n">
        <f aca="false" ca="false" dt2D="false" dtr="false" t="normal">+A270+1</f>
        <v>252</v>
      </c>
      <c r="B271" s="184" t="n">
        <f aca="false" ca="false" dt2D="false" dtr="false" t="normal">+B270+1</f>
        <v>64</v>
      </c>
      <c r="C271" s="104" t="s">
        <v>111</v>
      </c>
      <c r="D271" s="104" t="s">
        <v>356</v>
      </c>
      <c r="E271" s="105" t="n">
        <v>1987</v>
      </c>
      <c r="F271" s="105" t="n">
        <v>2013</v>
      </c>
      <c r="G271" s="105" t="s">
        <v>68</v>
      </c>
      <c r="H271" s="105" t="n">
        <v>5</v>
      </c>
      <c r="I271" s="105" t="n">
        <v>6</v>
      </c>
      <c r="J271" s="106" t="n">
        <v>6859.9</v>
      </c>
      <c r="K271" s="106" t="n">
        <v>6097.04</v>
      </c>
      <c r="L271" s="106" t="n">
        <v>117.7</v>
      </c>
      <c r="M271" s="107" t="n">
        <v>283</v>
      </c>
      <c r="N271" s="108" t="n">
        <f aca="false" ca="false" dt2D="false" dtr="false" t="normal">SUM(P271:T271)</f>
        <v>17091814.77</v>
      </c>
      <c r="O271" s="106" t="n"/>
      <c r="P271" s="114" t="n"/>
      <c r="Q271" s="114" t="n"/>
      <c r="R271" s="114" t="n">
        <v>7102572.94</v>
      </c>
      <c r="S271" s="114" t="n">
        <v>9989241.83</v>
      </c>
      <c r="T271" s="114" t="n"/>
      <c r="U271" s="106" t="n">
        <v>2792.65445730634</v>
      </c>
      <c r="V271" s="106" t="n">
        <v>2792.65445730634</v>
      </c>
      <c r="W271" s="185" t="n">
        <v>2023</v>
      </c>
      <c r="X271" s="9" t="e">
        <f aca="false" ca="false" dt2D="false" dtr="false" t="normal">+#REF!-'[9]Приложение №1'!$P760</f>
        <v>#REF!</v>
      </c>
      <c r="Z271" s="113" t="n">
        <f aca="false" ca="false" dt2D="false" dtr="false" t="normal">SUM(AA271:AO271)</f>
        <v>34989133.45000003</v>
      </c>
      <c r="AA271" s="106" t="n">
        <v>10381481.9758432</v>
      </c>
      <c r="AB271" s="106" t="n">
        <v>6003894.834903</v>
      </c>
      <c r="AC271" s="106" t="n">
        <v>6346561.38281718</v>
      </c>
      <c r="AD271" s="106" t="n">
        <v>4839307.00975008</v>
      </c>
      <c r="AE271" s="106" t="n">
        <v>1933204.08466836</v>
      </c>
      <c r="AF271" s="106" t="n"/>
      <c r="AG271" s="106" t="n">
        <v>515853.1053648</v>
      </c>
      <c r="AH271" s="106" t="n">
        <v>0</v>
      </c>
      <c r="AI271" s="106" t="n">
        <v>0</v>
      </c>
      <c r="AJ271" s="106" t="n">
        <v>0</v>
      </c>
      <c r="AK271" s="106" t="n">
        <v>0</v>
      </c>
      <c r="AL271" s="106" t="n">
        <v>0</v>
      </c>
      <c r="AM271" s="106" t="n">
        <v>3962456.5102</v>
      </c>
      <c r="AN271" s="114" t="n">
        <v>349891.3345</v>
      </c>
      <c r="AO271" s="115" t="n">
        <v>656483.21195342</v>
      </c>
      <c r="AP271" s="112" t="n">
        <f aca="false" ca="false" dt2D="false" dtr="false" t="normal">+N271-'Приложение №2'!E271</f>
        <v>0</v>
      </c>
      <c r="AQ271" s="135" t="n">
        <v>3444629.27</v>
      </c>
      <c r="AR271" s="3" t="n">
        <f aca="false" ca="false" dt2D="false" dtr="false" t="normal">+(K271*10+L271*20)*12*0.85</f>
        <v>645908.88</v>
      </c>
      <c r="AS271" s="3" t="n">
        <f aca="false" ca="false" dt2D="false" dtr="false" t="normal">+(K271*10+L271*20)*12*30</f>
        <v>22796784</v>
      </c>
      <c r="AT271" s="9" t="n">
        <f aca="false" ca="false" dt2D="false" dtr="false" t="normal">+S271-AS271</f>
        <v>-12807542.17</v>
      </c>
      <c r="AU271" s="9" t="n"/>
      <c r="AV271" s="9" t="n"/>
      <c r="AW271" s="113" t="n">
        <f aca="false" ca="true" dt2D="false" dtr="false" t="normal">SUBTOTAL(9, AX271:BL271)</f>
        <v>22137159.737416</v>
      </c>
      <c r="AX271" s="106" t="n">
        <v>8773415.94</v>
      </c>
      <c r="AY271" s="106" t="n"/>
      <c r="AZ271" s="106" t="n">
        <v>7093798.132218</v>
      </c>
      <c r="BA271" s="106" t="n">
        <v>5581283.073198</v>
      </c>
      <c r="BB271" s="106" t="n"/>
      <c r="BC271" s="106" t="n"/>
      <c r="BD271" s="106" t="n"/>
      <c r="BE271" s="106" t="n"/>
      <c r="BF271" s="106" t="n"/>
      <c r="BG271" s="106" t="n"/>
      <c r="BH271" s="106" t="n"/>
      <c r="BI271" s="106" t="n"/>
      <c r="BJ271" s="106" t="n">
        <v>128556.376</v>
      </c>
      <c r="BK271" s="114" t="n">
        <v>23378.916</v>
      </c>
      <c r="BL271" s="187" t="n">
        <v>536727.3</v>
      </c>
      <c r="BM271" s="113" t="n">
        <f aca="false" ca="true" dt2D="false" dtr="false" t="normal">SUBTOTAL(9, BN271:CB271)</f>
        <v>17467234.882</v>
      </c>
      <c r="BN271" s="106" t="n">
        <v>8885029.46</v>
      </c>
      <c r="BO271" s="106" t="n"/>
      <c r="BP271" s="106" t="n">
        <v>3892363.59</v>
      </c>
      <c r="BQ271" s="106" t="n">
        <v>4001179.24</v>
      </c>
      <c r="BR271" s="106" t="n"/>
      <c r="BS271" s="106" t="n"/>
      <c r="BT271" s="106" t="n"/>
      <c r="BU271" s="106" t="n"/>
      <c r="BV271" s="106" t="n"/>
      <c r="BW271" s="106" t="n"/>
      <c r="BX271" s="106" t="n"/>
      <c r="BY271" s="106" t="n"/>
      <c r="BZ271" s="106" t="n">
        <v>128556.376</v>
      </c>
      <c r="CA271" s="114" t="n">
        <v>23378.916</v>
      </c>
      <c r="CB271" s="115" t="n">
        <v>536727.3</v>
      </c>
      <c r="CD271" s="116" t="n">
        <f aca="false" ca="false" dt2D="false" dtr="false" t="normal">+CD270+1</f>
        <v>252</v>
      </c>
      <c r="CE271" s="117" t="n">
        <f aca="false" ca="false" dt2D="false" dtr="false" t="normal">+CE270+1</f>
        <v>64</v>
      </c>
      <c r="CF271" s="104" t="s">
        <v>111</v>
      </c>
      <c r="CG271" s="117" t="s">
        <v>356</v>
      </c>
      <c r="CH271" s="118" t="n">
        <f aca="false" ca="true" dt2D="false" dtr="false" t="normal">SUBTOTAL(9, CI271:CW271)</f>
        <v>17456477.05</v>
      </c>
      <c r="CI271" s="114" t="n">
        <v>8885029.46</v>
      </c>
      <c r="CJ271" s="114" t="n"/>
      <c r="CK271" s="114" t="n">
        <v>3892363.59</v>
      </c>
      <c r="CL271" s="114" t="n">
        <v>4001179.24</v>
      </c>
      <c r="CM271" s="114" t="n"/>
      <c r="CN271" s="114" t="n"/>
      <c r="CO271" s="114" t="n"/>
      <c r="CP271" s="114" t="n"/>
      <c r="CQ271" s="114" t="n"/>
      <c r="CR271" s="114" t="n"/>
      <c r="CS271" s="114" t="n"/>
      <c r="CT271" s="114" t="n"/>
      <c r="CU271" s="114" t="n">
        <v>123177.46</v>
      </c>
      <c r="CV271" s="114" t="n">
        <v>18000</v>
      </c>
      <c r="CW271" s="115" t="n">
        <v>536727.3</v>
      </c>
      <c r="CZ271" s="117" t="s">
        <v>356</v>
      </c>
      <c r="DA271" s="119" t="n">
        <f aca="false" ca="true" dt2D="false" dtr="false" t="normal">SUBTOTAL(9, DB271:DP271)</f>
        <v>17091814.77</v>
      </c>
      <c r="DB271" s="114" t="n">
        <v>8885029.46</v>
      </c>
      <c r="DC271" s="114" t="n"/>
      <c r="DD271" s="114" t="n">
        <v>3892363.59</v>
      </c>
      <c r="DE271" s="114" t="n">
        <v>4001179.24</v>
      </c>
      <c r="DF271" s="114" t="n"/>
      <c r="DG271" s="114" t="n"/>
      <c r="DH271" s="114" t="n"/>
      <c r="DI271" s="114" t="n"/>
      <c r="DJ271" s="114" t="n"/>
      <c r="DK271" s="114" t="n"/>
      <c r="DL271" s="114" t="n"/>
      <c r="DM271" s="114" t="n"/>
      <c r="DN271" s="114" t="n">
        <v>123177.46</v>
      </c>
      <c r="DO271" s="114" t="n">
        <v>18000</v>
      </c>
      <c r="DP271" s="120" t="n">
        <f aca="false" ca="false" dt2D="false" dtr="false" t="normal">88883.94+41863.41+41317.67</f>
        <v>172065.02000000002</v>
      </c>
      <c r="DQ271" s="3" t="n">
        <f aca="false" ca="false" dt2D="false" dtr="false" t="normal">N271-DA271</f>
        <v>0</v>
      </c>
      <c r="DS271" s="9" t="n"/>
    </row>
    <row hidden="false" ht="15" outlineLevel="0" r="272">
      <c r="A272" s="183" t="n">
        <f aca="false" ca="false" dt2D="false" dtr="false" t="normal">+A271+1</f>
        <v>253</v>
      </c>
      <c r="B272" s="184" t="n">
        <f aca="false" ca="false" dt2D="false" dtr="false" t="normal">+B271+1</f>
        <v>65</v>
      </c>
      <c r="C272" s="117" t="s">
        <v>111</v>
      </c>
      <c r="D272" s="117" t="s">
        <v>357</v>
      </c>
      <c r="E272" s="105" t="n">
        <v>1972</v>
      </c>
      <c r="F272" s="105" t="n">
        <v>2013</v>
      </c>
      <c r="G272" s="105" t="s">
        <v>68</v>
      </c>
      <c r="H272" s="105" t="n">
        <v>4</v>
      </c>
      <c r="I272" s="105" t="n">
        <v>4</v>
      </c>
      <c r="J272" s="106" t="n">
        <v>3047.8</v>
      </c>
      <c r="K272" s="106" t="n">
        <v>2789.4</v>
      </c>
      <c r="L272" s="106" t="n">
        <v>0</v>
      </c>
      <c r="M272" s="107" t="n">
        <v>107</v>
      </c>
      <c r="N272" s="108" t="n">
        <f aca="false" ca="false" dt2D="false" dtr="false" t="normal">SUM(P272:T272)</f>
        <v>17417470.407950558</v>
      </c>
      <c r="O272" s="114" t="n"/>
      <c r="P272" s="114" t="n">
        <v>1630754.51546667</v>
      </c>
      <c r="Q272" s="114" t="n"/>
      <c r="R272" s="114" t="n">
        <v>823386.0636</v>
      </c>
      <c r="S272" s="114" t="n">
        <v>1213116.06888389</v>
      </c>
      <c r="T272" s="114" t="n">
        <v>13750213.76</v>
      </c>
      <c r="U272" s="106" t="n">
        <v>7373.27830083381</v>
      </c>
      <c r="V272" s="106" t="n">
        <v>7373.27830083381</v>
      </c>
      <c r="W272" s="185" t="n">
        <v>2023</v>
      </c>
      <c r="X272" s="9" t="n"/>
      <c r="Z272" s="113" t="n"/>
      <c r="AA272" s="106" t="n"/>
      <c r="AB272" s="106" t="n"/>
      <c r="AC272" s="106" t="n"/>
      <c r="AD272" s="106" t="n"/>
      <c r="AE272" s="106" t="n"/>
      <c r="AF272" s="106" t="n"/>
      <c r="AG272" s="106" t="n"/>
      <c r="AH272" s="106" t="n"/>
      <c r="AI272" s="106" t="n"/>
      <c r="AJ272" s="106" t="n"/>
      <c r="AK272" s="106" t="n"/>
      <c r="AL272" s="106" t="n"/>
      <c r="AM272" s="106" t="n"/>
      <c r="AN272" s="106" t="n"/>
      <c r="AO272" s="115" t="n"/>
      <c r="AP272" s="112" t="n">
        <f aca="false" ca="false" dt2D="false" dtr="false" t="normal">+N272-'Приложение №2'!E272</f>
        <v>0</v>
      </c>
      <c r="AQ272" s="1" t="n">
        <f aca="false" ca="false" dt2D="false" dtr="false" t="normal">1184908.35-361522.2864</f>
        <v>823386.0636000001</v>
      </c>
      <c r="AT272" s="9" t="n">
        <f aca="false" ca="false" dt2D="false" dtr="false" t="normal">+S272-AS272</f>
        <v>1213116.06888389</v>
      </c>
      <c r="AU272" s="9" t="e">
        <f aca="false" ca="false" dt2D="false" dtr="false" t="normal">+P272-'[5]Приложение №1'!$P283</f>
        <v>#REF!</v>
      </c>
      <c r="AV272" s="9" t="e">
        <f aca="false" ca="false" dt2D="false" dtr="false" t="normal">+Q272-'[5]Приложение №1'!$Q28</f>
        <v>#REF!</v>
      </c>
      <c r="AW272" s="113" t="n">
        <f aca="false" ca="true" dt2D="false" dtr="false" t="normal">SUBTOTAL(9, AX272:BL272)</f>
        <v>20567022.49234584</v>
      </c>
      <c r="AX272" s="106" t="n"/>
      <c r="AY272" s="106" t="n"/>
      <c r="AZ272" s="106" t="n"/>
      <c r="BA272" s="106" t="n"/>
      <c r="BB272" s="106" t="n"/>
      <c r="BC272" s="106" t="n"/>
      <c r="BD272" s="106" t="n">
        <v>0</v>
      </c>
      <c r="BE272" s="106" t="n">
        <v>0</v>
      </c>
      <c r="BF272" s="106" t="n">
        <v>12209113.6236846</v>
      </c>
      <c r="BG272" s="106" t="n">
        <v>0</v>
      </c>
      <c r="BH272" s="106" t="n"/>
      <c r="BI272" s="106" t="n">
        <v>6818312.13071068</v>
      </c>
      <c r="BJ272" s="106" t="n">
        <v>684163.08</v>
      </c>
      <c r="BK272" s="106" t="n"/>
      <c r="BL272" s="187" t="n">
        <v>855433.657950562</v>
      </c>
      <c r="BM272" s="113" t="n">
        <f aca="false" ca="true" dt2D="false" dtr="false" t="normal">SUBTOTAL(9, BN272:CB272)</f>
        <v>20567022.49234584</v>
      </c>
      <c r="BN272" s="106" t="n"/>
      <c r="BO272" s="106" t="n"/>
      <c r="BP272" s="106" t="n"/>
      <c r="BQ272" s="106" t="n"/>
      <c r="BR272" s="106" t="n"/>
      <c r="BS272" s="106" t="n"/>
      <c r="BT272" s="106" t="n">
        <v>0</v>
      </c>
      <c r="BU272" s="106" t="n">
        <v>0</v>
      </c>
      <c r="BV272" s="106" t="n">
        <v>12209113.6236846</v>
      </c>
      <c r="BW272" s="106" t="n">
        <v>0</v>
      </c>
      <c r="BX272" s="106" t="n"/>
      <c r="BY272" s="106" t="n">
        <v>6818312.13071068</v>
      </c>
      <c r="BZ272" s="106" t="n">
        <v>684163.08</v>
      </c>
      <c r="CA272" s="106" t="n"/>
      <c r="CB272" s="115" t="n">
        <v>855433.657950562</v>
      </c>
      <c r="CD272" s="116" t="n">
        <f aca="false" ca="false" dt2D="false" dtr="false" t="normal">+CD271+1</f>
        <v>253</v>
      </c>
      <c r="CE272" s="117" t="n">
        <f aca="false" ca="false" dt2D="false" dtr="false" t="normal">+CE271+1</f>
        <v>65</v>
      </c>
      <c r="CF272" s="104" t="s">
        <v>111</v>
      </c>
      <c r="CG272" s="117" t="s">
        <v>357</v>
      </c>
      <c r="CH272" s="118" t="n">
        <f aca="false" ca="true" dt2D="false" dtr="false" t="normal">SUBTOTAL(9, CI272:CW272)</f>
        <v>17417470.40795056</v>
      </c>
      <c r="CI272" s="114" t="n"/>
      <c r="CJ272" s="114" t="n"/>
      <c r="CK272" s="114" t="n"/>
      <c r="CL272" s="114" t="n"/>
      <c r="CM272" s="114" t="n"/>
      <c r="CN272" s="114" t="n"/>
      <c r="CO272" s="114" t="n"/>
      <c r="CP272" s="114" t="n">
        <v>0</v>
      </c>
      <c r="CQ272" s="114" t="n">
        <v>9298128.97</v>
      </c>
      <c r="CR272" s="114" t="n">
        <v>0</v>
      </c>
      <c r="CS272" s="114" t="n"/>
      <c r="CT272" s="114" t="n">
        <v>6906225.37</v>
      </c>
      <c r="CU272" s="114" t="n">
        <v>332847.41</v>
      </c>
      <c r="CV272" s="114" t="n">
        <v>24835</v>
      </c>
      <c r="CW272" s="115" t="n">
        <v>855433.657950562</v>
      </c>
      <c r="CZ272" s="117" t="s">
        <v>357</v>
      </c>
      <c r="DA272" s="119" t="n">
        <f aca="false" ca="true" dt2D="false" dtr="false" t="normal">SUBTOTAL(9, DB272:DP272)</f>
        <v>17417470.40795056</v>
      </c>
      <c r="DB272" s="114" t="n"/>
      <c r="DC272" s="114" t="n"/>
      <c r="DD272" s="114" t="n"/>
      <c r="DE272" s="114" t="n"/>
      <c r="DF272" s="114" t="n"/>
      <c r="DG272" s="114" t="n"/>
      <c r="DH272" s="114" t="n"/>
      <c r="DI272" s="114" t="n">
        <v>0</v>
      </c>
      <c r="DJ272" s="114" t="n">
        <v>9298128.97</v>
      </c>
      <c r="DK272" s="114" t="n">
        <v>0</v>
      </c>
      <c r="DL272" s="114" t="n"/>
      <c r="DM272" s="114" t="n">
        <v>6906225.37</v>
      </c>
      <c r="DN272" s="114" t="n">
        <v>332847.41</v>
      </c>
      <c r="DO272" s="114" t="n">
        <v>24835</v>
      </c>
      <c r="DP272" s="122" t="n">
        <v>855433.657950562</v>
      </c>
      <c r="DQ272" s="3" t="n">
        <f aca="false" ca="false" dt2D="false" dtr="false" t="normal">N272-DA272</f>
        <v>0</v>
      </c>
      <c r="DS272" s="9" t="n"/>
    </row>
    <row hidden="false" ht="15" outlineLevel="0" r="273">
      <c r="A273" s="183" t="n">
        <f aca="false" ca="false" dt2D="false" dtr="false" t="normal">+A272+1</f>
        <v>254</v>
      </c>
      <c r="B273" s="184" t="n">
        <f aca="false" ca="false" dt2D="false" dtr="false" t="normal">+B272+1</f>
        <v>66</v>
      </c>
      <c r="C273" s="117" t="s">
        <v>111</v>
      </c>
      <c r="D273" s="117" t="s">
        <v>358</v>
      </c>
      <c r="E273" s="105" t="n">
        <v>1974</v>
      </c>
      <c r="F273" s="105" t="n">
        <v>2013</v>
      </c>
      <c r="G273" s="105" t="s">
        <v>68</v>
      </c>
      <c r="H273" s="105" t="n">
        <v>4</v>
      </c>
      <c r="I273" s="105" t="n">
        <v>4</v>
      </c>
      <c r="J273" s="106" t="n">
        <v>2989.2</v>
      </c>
      <c r="K273" s="106" t="n">
        <v>2536.9</v>
      </c>
      <c r="L273" s="106" t="n">
        <v>230.9</v>
      </c>
      <c r="M273" s="107" t="n">
        <v>90</v>
      </c>
      <c r="N273" s="108" t="n">
        <f aca="false" ca="false" dt2D="false" dtr="false" t="normal">SUM(P273:T273)</f>
        <v>17197808.294846922</v>
      </c>
      <c r="O273" s="114" t="n"/>
      <c r="P273" s="114" t="n">
        <f aca="false" ca="false" dt2D="false" dtr="false" t="normal">3239609.19+4955044.69+545300.86</f>
        <v>8739954.74</v>
      </c>
      <c r="Q273" s="114" t="n"/>
      <c r="R273" s="114" t="n">
        <v>177663.02</v>
      </c>
      <c r="S273" s="114" t="n">
        <v>967205.524846921</v>
      </c>
      <c r="T273" s="114" t="n">
        <v>7312985.01</v>
      </c>
      <c r="U273" s="106" t="n">
        <v>7160.14084289287</v>
      </c>
      <c r="V273" s="106" t="n">
        <v>7160.14084289287</v>
      </c>
      <c r="W273" s="185" t="n">
        <v>2023</v>
      </c>
      <c r="X273" s="9" t="n"/>
      <c r="Z273" s="113" t="n"/>
      <c r="AA273" s="106" t="n"/>
      <c r="AB273" s="106" t="n"/>
      <c r="AC273" s="106" t="n"/>
      <c r="AD273" s="106" t="n"/>
      <c r="AE273" s="106" t="n"/>
      <c r="AF273" s="106" t="n"/>
      <c r="AG273" s="106" t="n"/>
      <c r="AH273" s="106" t="n"/>
      <c r="AI273" s="106" t="n"/>
      <c r="AJ273" s="106" t="n"/>
      <c r="AK273" s="106" t="n"/>
      <c r="AL273" s="106" t="n"/>
      <c r="AM273" s="106" t="n"/>
      <c r="AN273" s="106" t="n"/>
      <c r="AO273" s="115" t="n"/>
      <c r="AP273" s="112" t="n">
        <f aca="false" ca="false" dt2D="false" dtr="false" t="normal">+N273-'Приложение №2'!E273</f>
        <v>0</v>
      </c>
      <c r="AQ273" s="1" t="n">
        <f aca="false" ca="false" dt2D="false" dtr="false" t="normal">1292399.14-848241.5751</f>
        <v>444157.5648999999</v>
      </c>
      <c r="AT273" s="9" t="n">
        <f aca="false" ca="false" dt2D="false" dtr="false" t="normal">+S273-AS273</f>
        <v>967205.524846921</v>
      </c>
      <c r="AU273" s="9" t="e">
        <f aca="false" ca="false" dt2D="false" dtr="false" t="normal">+P273-'[5]Приложение №1'!$P284</f>
        <v>#REF!</v>
      </c>
      <c r="AV273" s="9" t="e">
        <f aca="false" ca="false" dt2D="false" dtr="false" t="normal">+Q273-'[5]Приложение №1'!$Q29</f>
        <v>#REF!</v>
      </c>
      <c r="AW273" s="113" t="n">
        <f aca="false" ca="true" dt2D="false" dtr="false" t="normal">SUBTOTAL(9, AX273:BL273)</f>
        <v>19823053.82495889</v>
      </c>
      <c r="AX273" s="106" t="n"/>
      <c r="AY273" s="106" t="n"/>
      <c r="AZ273" s="106" t="n"/>
      <c r="BA273" s="106" t="n"/>
      <c r="BB273" s="106" t="n"/>
      <c r="BC273" s="106" t="n"/>
      <c r="BD273" s="106" t="n">
        <v>0</v>
      </c>
      <c r="BE273" s="106" t="n">
        <v>0</v>
      </c>
      <c r="BF273" s="106" t="n">
        <v>12089519.1280836</v>
      </c>
      <c r="BG273" s="106" t="n">
        <v>0</v>
      </c>
      <c r="BH273" s="106" t="n"/>
      <c r="BI273" s="106" t="n">
        <v>6201109.93202837</v>
      </c>
      <c r="BJ273" s="106" t="n">
        <v>684163.08</v>
      </c>
      <c r="BK273" s="106" t="n"/>
      <c r="BL273" s="187" t="n">
        <v>848261.684846923</v>
      </c>
      <c r="BM273" s="113" t="n">
        <f aca="false" ca="true" dt2D="false" dtr="false" t="normal">SUBTOTAL(9, BN273:CB273)</f>
        <v>19817837.82495889</v>
      </c>
      <c r="BN273" s="106" t="n"/>
      <c r="BO273" s="106" t="n"/>
      <c r="BP273" s="106" t="n"/>
      <c r="BQ273" s="106" t="n"/>
      <c r="BR273" s="106" t="n"/>
      <c r="BS273" s="106" t="n"/>
      <c r="BT273" s="106" t="n">
        <v>0</v>
      </c>
      <c r="BU273" s="106" t="n">
        <v>0</v>
      </c>
      <c r="BV273" s="106" t="n">
        <v>12089519.1280836</v>
      </c>
      <c r="BW273" s="106" t="n">
        <v>0</v>
      </c>
      <c r="BX273" s="106" t="n"/>
      <c r="BY273" s="106" t="n">
        <v>6201109.93202837</v>
      </c>
      <c r="BZ273" s="106" t="n">
        <v>678947.08</v>
      </c>
      <c r="CA273" s="106" t="n"/>
      <c r="CB273" s="115" t="n">
        <v>848261.684846923</v>
      </c>
      <c r="CD273" s="116" t="n">
        <f aca="false" ca="false" dt2D="false" dtr="false" t="normal">+CD272+1</f>
        <v>254</v>
      </c>
      <c r="CE273" s="117" t="n">
        <f aca="false" ca="false" dt2D="false" dtr="false" t="normal">+CE272+1</f>
        <v>66</v>
      </c>
      <c r="CF273" s="104" t="s">
        <v>111</v>
      </c>
      <c r="CG273" s="117" t="s">
        <v>358</v>
      </c>
      <c r="CH273" s="118" t="n">
        <f aca="false" ca="true" dt2D="false" dtr="false" t="normal">SUBTOTAL(9, CI273:CW273)</f>
        <v>17197808.294846922</v>
      </c>
      <c r="CI273" s="114" t="n"/>
      <c r="CJ273" s="114" t="n"/>
      <c r="CK273" s="114" t="n"/>
      <c r="CL273" s="114" t="n"/>
      <c r="CM273" s="114" t="n"/>
      <c r="CN273" s="114" t="n"/>
      <c r="CO273" s="114" t="n"/>
      <c r="CP273" s="114" t="n">
        <v>0</v>
      </c>
      <c r="CQ273" s="114" t="n">
        <v>9298128.97</v>
      </c>
      <c r="CR273" s="114" t="n">
        <v>0</v>
      </c>
      <c r="CS273" s="114" t="n"/>
      <c r="CT273" s="114" t="n">
        <v>6697684.28</v>
      </c>
      <c r="CU273" s="114" t="n">
        <v>328986.36</v>
      </c>
      <c r="CV273" s="114" t="n">
        <v>24747</v>
      </c>
      <c r="CW273" s="115" t="n">
        <v>848261.684846923</v>
      </c>
      <c r="CZ273" s="117" t="s">
        <v>358</v>
      </c>
      <c r="DA273" s="119" t="n">
        <f aca="false" ca="true" dt2D="false" dtr="false" t="normal">SUBTOTAL(9, DB273:DP273)</f>
        <v>17197808.294846922</v>
      </c>
      <c r="DB273" s="114" t="n"/>
      <c r="DC273" s="114" t="n"/>
      <c r="DD273" s="114" t="n"/>
      <c r="DE273" s="114" t="n"/>
      <c r="DF273" s="114" t="n"/>
      <c r="DG273" s="114" t="n"/>
      <c r="DH273" s="114" t="n"/>
      <c r="DI273" s="114" t="n">
        <v>0</v>
      </c>
      <c r="DJ273" s="114" t="n">
        <v>9298128.97</v>
      </c>
      <c r="DK273" s="114" t="n">
        <v>0</v>
      </c>
      <c r="DL273" s="114" t="n"/>
      <c r="DM273" s="114" t="n">
        <v>6697684.28</v>
      </c>
      <c r="DN273" s="114" t="n">
        <v>328986.36</v>
      </c>
      <c r="DO273" s="114" t="n">
        <v>24747</v>
      </c>
      <c r="DP273" s="122" t="n">
        <v>848261.684846923</v>
      </c>
      <c r="DQ273" s="3" t="n">
        <f aca="false" ca="false" dt2D="false" dtr="false" t="normal">N273-DA273</f>
        <v>0</v>
      </c>
      <c r="DS273" s="9" t="n"/>
    </row>
    <row hidden="false" ht="15" outlineLevel="0" r="274">
      <c r="A274" s="183" t="n">
        <f aca="false" ca="false" dt2D="false" dtr="false" t="normal">+A273+1</f>
        <v>255</v>
      </c>
      <c r="B274" s="184" t="n">
        <f aca="false" ca="false" dt2D="false" dtr="false" t="normal">+B273+1</f>
        <v>67</v>
      </c>
      <c r="C274" s="104" t="s">
        <v>111</v>
      </c>
      <c r="D274" s="104" t="s">
        <v>359</v>
      </c>
      <c r="E274" s="105" t="n">
        <v>1973</v>
      </c>
      <c r="F274" s="105" t="n">
        <v>2013</v>
      </c>
      <c r="G274" s="105" t="s">
        <v>68</v>
      </c>
      <c r="H274" s="105" t="n">
        <v>4</v>
      </c>
      <c r="I274" s="105" t="n">
        <v>4</v>
      </c>
      <c r="J274" s="106" t="n">
        <v>3935.6</v>
      </c>
      <c r="K274" s="106" t="n">
        <v>3459.2</v>
      </c>
      <c r="L274" s="106" t="n">
        <v>0</v>
      </c>
      <c r="M274" s="107" t="n">
        <v>162</v>
      </c>
      <c r="N274" s="108" t="n">
        <f aca="false" ca="false" dt2D="false" dtr="false" t="normal">SUM(P274:T274)</f>
        <v>6942751.840499401</v>
      </c>
      <c r="O274" s="106" t="n"/>
      <c r="P274" s="114" t="n"/>
      <c r="Q274" s="114" t="n"/>
      <c r="R274" s="114" t="n">
        <v>2620703.43</v>
      </c>
      <c r="S274" s="114" t="n">
        <v>4322048.4104994</v>
      </c>
      <c r="T274" s="114" t="n">
        <v>0</v>
      </c>
      <c r="U274" s="114" t="n">
        <v>3026.55549577937</v>
      </c>
      <c r="V274" s="114" t="n">
        <v>1291.283020064</v>
      </c>
      <c r="W274" s="185" t="n">
        <v>2023</v>
      </c>
      <c r="X274" s="9" t="e">
        <f aca="false" ca="false" dt2D="false" dtr="false" t="normal">+#REF!-'[9]Приложение №1'!$P1455</f>
        <v>#REF!</v>
      </c>
      <c r="Z274" s="113" t="n">
        <f aca="false" ca="false" dt2D="false" dtr="false" t="normal">SUM(AA274:AO274)</f>
        <v>11632734.19</v>
      </c>
      <c r="AA274" s="106" t="n">
        <v>0</v>
      </c>
      <c r="AB274" s="106" t="n">
        <v>0</v>
      </c>
      <c r="AC274" s="106" t="n">
        <v>0</v>
      </c>
      <c r="AD274" s="106" t="n">
        <v>0</v>
      </c>
      <c r="AE274" s="106" t="n">
        <v>0</v>
      </c>
      <c r="AF274" s="106" t="n"/>
      <c r="AG274" s="106" t="n">
        <v>0</v>
      </c>
      <c r="AH274" s="106" t="n">
        <v>0</v>
      </c>
      <c r="AI274" s="106" t="n">
        <v>10245414.3105006</v>
      </c>
      <c r="AJ274" s="106" t="n">
        <v>0</v>
      </c>
      <c r="AK274" s="106" t="n">
        <v>0</v>
      </c>
      <c r="AL274" s="106" t="n">
        <v>0</v>
      </c>
      <c r="AM274" s="106" t="n">
        <v>1046946.0771</v>
      </c>
      <c r="AN274" s="114" t="n">
        <v>116327.3419</v>
      </c>
      <c r="AO274" s="115" t="n">
        <v>224046.4604994</v>
      </c>
      <c r="AP274" s="112" t="e">
        <f aca="false" ca="false" dt2D="false" dtr="false" t="normal">+N274-#REF!</f>
        <v>#REF!</v>
      </c>
      <c r="AQ274" s="121" t="n">
        <v>2093115.17</v>
      </c>
      <c r="AR274" s="3" t="n">
        <f aca="false" ca="false" dt2D="false" dtr="false" t="normal">+(K274*10.5+L274*21)*12*0.85</f>
        <v>370480.31999999995</v>
      </c>
      <c r="AS274" s="3" t="n">
        <f aca="false" ca="false" dt2D="false" dtr="false" t="normal">+(K274*10.5+L274*21)*12*30</f>
        <v>13075775.999999998</v>
      </c>
      <c r="AT274" s="9" t="n">
        <f aca="false" ca="false" dt2D="false" dtr="false" t="normal">+S274-AS274</f>
        <v>-8753727.589500599</v>
      </c>
      <c r="AU274" s="9" t="e">
        <f aca="false" ca="false" dt2D="false" dtr="false" t="normal">+P274-'[5]Приложение №1'!$P574</f>
        <v>#REF!</v>
      </c>
      <c r="AV274" s="9" t="e">
        <f aca="false" ca="false" dt2D="false" dtr="false" t="normal">+Q274-'[5]Приложение №1'!$Q574</f>
        <v>#REF!</v>
      </c>
      <c r="AW274" s="186" t="n">
        <f aca="false" ca="true" dt2D="false" dtr="false" t="normal">SUBTOTAL(9, AX274:BL274)</f>
        <v>10469460.771</v>
      </c>
      <c r="AX274" s="106" t="n">
        <v>0</v>
      </c>
      <c r="AY274" s="106" t="n">
        <v>0</v>
      </c>
      <c r="AZ274" s="106" t="n">
        <v>0</v>
      </c>
      <c r="BA274" s="106" t="n">
        <v>0</v>
      </c>
      <c r="BB274" s="106" t="n">
        <v>0</v>
      </c>
      <c r="BC274" s="106" t="n"/>
      <c r="BD274" s="106" t="n"/>
      <c r="BE274" s="106" t="n">
        <v>0</v>
      </c>
      <c r="BF274" s="106" t="n">
        <v>10245414.3105006</v>
      </c>
      <c r="BG274" s="106" t="n">
        <v>0</v>
      </c>
      <c r="BH274" s="106" t="n">
        <v>0</v>
      </c>
      <c r="BI274" s="106" t="n">
        <v>0</v>
      </c>
      <c r="BJ274" s="106" t="n"/>
      <c r="BK274" s="114" t="n"/>
      <c r="BL274" s="115" t="n">
        <v>224046.4604994</v>
      </c>
      <c r="BM274" s="186" t="n">
        <f aca="false" ca="true" dt2D="false" dtr="false" t="normal">SUBTOTAL(9, BN274:CB274)</f>
        <v>10469460.771</v>
      </c>
      <c r="BN274" s="106" t="n">
        <v>0</v>
      </c>
      <c r="BO274" s="106" t="n">
        <v>0</v>
      </c>
      <c r="BP274" s="106" t="n">
        <v>0</v>
      </c>
      <c r="BQ274" s="106" t="n">
        <v>0</v>
      </c>
      <c r="BR274" s="106" t="n">
        <v>0</v>
      </c>
      <c r="BS274" s="106" t="n"/>
      <c r="BT274" s="106" t="n"/>
      <c r="BU274" s="106" t="n">
        <v>0</v>
      </c>
      <c r="BV274" s="106" t="n">
        <v>10245414.3105006</v>
      </c>
      <c r="BW274" s="106" t="n">
        <v>0</v>
      </c>
      <c r="BX274" s="106" t="n">
        <v>0</v>
      </c>
      <c r="BY274" s="106" t="n">
        <v>0</v>
      </c>
      <c r="BZ274" s="106" t="n"/>
      <c r="CA274" s="114" t="n"/>
      <c r="CB274" s="115" t="n">
        <v>224046.4604994</v>
      </c>
      <c r="CD274" s="116" t="n">
        <f aca="false" ca="false" dt2D="false" dtr="false" t="normal">+CD273+1</f>
        <v>255</v>
      </c>
      <c r="CE274" s="117" t="n">
        <f aca="false" ca="false" dt2D="false" dtr="false" t="normal">+CE273+1</f>
        <v>67</v>
      </c>
      <c r="CF274" s="104" t="s">
        <v>111</v>
      </c>
      <c r="CG274" s="117" t="s">
        <v>359</v>
      </c>
      <c r="CH274" s="118" t="n">
        <f aca="false" ca="true" dt2D="false" dtr="false" t="normal">SUBTOTAL(9, CI274:CW274)</f>
        <v>6942751.8404994</v>
      </c>
      <c r="CI274" s="114" t="n">
        <v>0</v>
      </c>
      <c r="CJ274" s="114" t="n">
        <v>0</v>
      </c>
      <c r="CK274" s="114" t="n">
        <v>0</v>
      </c>
      <c r="CL274" s="114" t="n">
        <v>0</v>
      </c>
      <c r="CM274" s="114" t="n">
        <v>0</v>
      </c>
      <c r="CN274" s="114" t="n"/>
      <c r="CO274" s="114" t="n"/>
      <c r="CP274" s="114" t="n">
        <v>0</v>
      </c>
      <c r="CQ274" s="114" t="n">
        <v>6718705.38</v>
      </c>
      <c r="CR274" s="114" t="n">
        <v>0</v>
      </c>
      <c r="CS274" s="114" t="n">
        <v>0</v>
      </c>
      <c r="CT274" s="114" t="n">
        <v>0</v>
      </c>
      <c r="CU274" s="114" t="n"/>
      <c r="CV274" s="114" t="n"/>
      <c r="CW274" s="115" t="n">
        <v>224046.4604994</v>
      </c>
      <c r="CZ274" s="117" t="s">
        <v>359</v>
      </c>
      <c r="DA274" s="119" t="n">
        <f aca="false" ca="true" dt2D="false" dtr="false" t="normal">SUBTOTAL(9, DB274:DP274)</f>
        <v>6942751.8404994</v>
      </c>
      <c r="DB274" s="114" t="n">
        <v>0</v>
      </c>
      <c r="DC274" s="114" t="n">
        <v>0</v>
      </c>
      <c r="DD274" s="114" t="n">
        <v>0</v>
      </c>
      <c r="DE274" s="114" t="n">
        <v>0</v>
      </c>
      <c r="DF274" s="114" t="n">
        <v>0</v>
      </c>
      <c r="DG274" s="114" t="n"/>
      <c r="DH274" s="114" t="n"/>
      <c r="DI274" s="114" t="n">
        <v>0</v>
      </c>
      <c r="DJ274" s="114" t="n">
        <v>6718705.38</v>
      </c>
      <c r="DK274" s="114" t="n">
        <v>0</v>
      </c>
      <c r="DL274" s="114" t="n">
        <v>0</v>
      </c>
      <c r="DM274" s="114" t="n">
        <v>0</v>
      </c>
      <c r="DN274" s="114" t="n"/>
      <c r="DO274" s="114" t="n"/>
      <c r="DP274" s="122" t="n">
        <v>224046.4604994</v>
      </c>
      <c r="DQ274" s="3" t="n">
        <f aca="false" ca="false" dt2D="false" dtr="false" t="normal">N274-DA274</f>
        <v>0</v>
      </c>
      <c r="DS274" s="9" t="n"/>
    </row>
    <row customFormat="true" hidden="false" ht="15" outlineLevel="0" r="275" s="129">
      <c r="A275" s="183" t="n">
        <f aca="false" ca="false" dt2D="false" dtr="false" t="normal">+A274+1</f>
        <v>256</v>
      </c>
      <c r="B275" s="184" t="n">
        <f aca="false" ca="false" dt2D="false" dtr="false" t="normal">+B274+1</f>
        <v>68</v>
      </c>
      <c r="C275" s="104" t="s">
        <v>111</v>
      </c>
      <c r="D275" s="104" t="s">
        <v>360</v>
      </c>
      <c r="E275" s="105" t="s">
        <v>345</v>
      </c>
      <c r="F275" s="105" t="n"/>
      <c r="G275" s="105" t="s">
        <v>68</v>
      </c>
      <c r="H275" s="105" t="s">
        <v>187</v>
      </c>
      <c r="I275" s="105" t="s">
        <v>187</v>
      </c>
      <c r="J275" s="106" t="n">
        <v>4032.8</v>
      </c>
      <c r="K275" s="106" t="n">
        <v>3458.5</v>
      </c>
      <c r="L275" s="106" t="n">
        <v>0</v>
      </c>
      <c r="M275" s="107" t="n">
        <v>156</v>
      </c>
      <c r="N275" s="108" t="n">
        <f aca="false" ca="false" dt2D="false" dtr="false" t="normal">SUM(P275:T275)</f>
        <v>5504992.41</v>
      </c>
      <c r="O275" s="106" t="n">
        <v>0</v>
      </c>
      <c r="P275" s="114" t="n"/>
      <c r="Q275" s="114" t="n">
        <v>0</v>
      </c>
      <c r="R275" s="114" t="n">
        <v>191247.61</v>
      </c>
      <c r="S275" s="114" t="n">
        <v>5313744.8</v>
      </c>
      <c r="T275" s="114" t="n"/>
      <c r="U275" s="106" t="n">
        <v>14851.7595489707</v>
      </c>
      <c r="V275" s="106" t="n">
        <v>14851.7595489707</v>
      </c>
      <c r="W275" s="185" t="n">
        <v>2023</v>
      </c>
      <c r="X275" s="129" t="n">
        <v>1316311.58</v>
      </c>
      <c r="Y275" s="129" t="n">
        <f aca="false" ca="false" dt2D="false" dtr="false" t="normal">+(K275*9.1+L275*18.19)*12</f>
        <v>377668.19999999995</v>
      </c>
      <c r="AA275" s="130" t="e">
        <f aca="false" ca="false" dt2D="false" dtr="false" t="normal">+N275-'[8]Приложение № 2'!E112</f>
        <v>#REF!</v>
      </c>
      <c r="AD275" s="130" t="e">
        <f aca="false" ca="false" dt2D="false" dtr="false" t="normal">+N275-'[8]Приложение № 2'!E112</f>
        <v>#REF!</v>
      </c>
      <c r="AP275" s="112" t="n">
        <f aca="false" ca="false" dt2D="false" dtr="false" t="normal">+N275-'Приложение №2'!E275</f>
        <v>0</v>
      </c>
      <c r="AQ275" s="129" t="n">
        <v>1622977.77</v>
      </c>
      <c r="AR275" s="3" t="n">
        <f aca="false" ca="false" dt2D="false" dtr="false" t="normal">+(K275*10+L275*20)*12*0.85</f>
        <v>352767</v>
      </c>
      <c r="AS275" s="3" t="n">
        <f aca="false" ca="false" dt2D="false" dtr="false" t="normal">+(K275*10+L275*20)*12*30</f>
        <v>12450600</v>
      </c>
      <c r="AT275" s="9" t="n">
        <f aca="false" ca="false" dt2D="false" dtr="false" t="normal">+S275-AS275</f>
        <v>-7136855.2</v>
      </c>
      <c r="AU275" s="9" t="e">
        <f aca="false" ca="false" dt2D="false" dtr="false" t="normal">+P275-'[5]Приложение №1'!$P125</f>
        <v>#REF!</v>
      </c>
      <c r="AV275" s="9" t="e">
        <f aca="false" ca="false" dt2D="false" dtr="false" t="normal">+Q275-#REF!</f>
        <v>#REF!</v>
      </c>
      <c r="AW275" s="113" t="n">
        <f aca="false" ca="true" dt2D="false" dtr="false" t="normal">SUBTOTAL(9, AX275:BL275)</f>
        <v>51364810.4001153</v>
      </c>
      <c r="AX275" s="106" t="n">
        <v>6144729.90151541</v>
      </c>
      <c r="AY275" s="106" t="n">
        <v>3579457.76180073</v>
      </c>
      <c r="AZ275" s="106" t="n">
        <v>3887139.10374681</v>
      </c>
      <c r="BA275" s="106" t="n">
        <v>2975701.95840873</v>
      </c>
      <c r="BB275" s="106" t="n">
        <v>1375468.22308318</v>
      </c>
      <c r="BC275" s="106" t="n"/>
      <c r="BD275" s="106" t="n">
        <v>292698.958086086</v>
      </c>
      <c r="BE275" s="106" t="n"/>
      <c r="BF275" s="106" t="n"/>
      <c r="BG275" s="106" t="n"/>
      <c r="BH275" s="106" t="n">
        <v>22115449.1287481</v>
      </c>
      <c r="BI275" s="106" t="n">
        <v>8607388.05825178</v>
      </c>
      <c r="BJ275" s="106" t="n">
        <v>1315726.92</v>
      </c>
      <c r="BK275" s="114" t="n"/>
      <c r="BL275" s="187" t="n">
        <v>1071050.38647447</v>
      </c>
      <c r="BM275" s="113" t="n">
        <f aca="false" ca="true" dt2D="false" dtr="false" t="normal">SUBTOTAL(9, BN275:CB275)</f>
        <v>51364810.4001153</v>
      </c>
      <c r="BN275" s="106" t="n">
        <v>6144729.90151541</v>
      </c>
      <c r="BO275" s="106" t="n">
        <v>3579457.76180073</v>
      </c>
      <c r="BP275" s="106" t="n">
        <v>3887139.10374681</v>
      </c>
      <c r="BQ275" s="106" t="n">
        <v>2975701.95840873</v>
      </c>
      <c r="BR275" s="106" t="n">
        <v>1375468.22308318</v>
      </c>
      <c r="BS275" s="106" t="n"/>
      <c r="BT275" s="106" t="n">
        <v>292698.958086086</v>
      </c>
      <c r="BU275" s="106" t="n"/>
      <c r="BV275" s="106" t="n"/>
      <c r="BW275" s="106" t="n"/>
      <c r="BX275" s="106" t="n">
        <v>22115449.1287481</v>
      </c>
      <c r="BY275" s="106" t="n">
        <v>8607388.05825178</v>
      </c>
      <c r="BZ275" s="106" t="n">
        <v>1315726.92</v>
      </c>
      <c r="CA275" s="114" t="n"/>
      <c r="CB275" s="115" t="n">
        <v>1071050.38647447</v>
      </c>
      <c r="CD275" s="116" t="n">
        <f aca="false" ca="false" dt2D="false" dtr="false" t="normal">+CD274+1</f>
        <v>256</v>
      </c>
      <c r="CE275" s="117" t="n">
        <f aca="false" ca="false" dt2D="false" dtr="false" t="normal">+CE274+1</f>
        <v>68</v>
      </c>
      <c r="CF275" s="104" t="s">
        <v>111</v>
      </c>
      <c r="CG275" s="117" t="s">
        <v>360</v>
      </c>
      <c r="CH275" s="118" t="n">
        <f aca="false" ca="true" dt2D="false" dtr="false" t="normal">SUBTOTAL(9, CI275:CW275)</f>
        <v>6576042.79647447</v>
      </c>
      <c r="CI275" s="114" t="n"/>
      <c r="CJ275" s="114" t="n"/>
      <c r="CK275" s="114" t="n"/>
      <c r="CL275" s="114" t="n"/>
      <c r="CM275" s="114" t="n"/>
      <c r="CN275" s="114" t="n"/>
      <c r="CO275" s="114" t="n"/>
      <c r="CP275" s="114" t="n"/>
      <c r="CQ275" s="114" t="n"/>
      <c r="CR275" s="114" t="n"/>
      <c r="CS275" s="114" t="n"/>
      <c r="CT275" s="114" t="n">
        <v>5289247.08</v>
      </c>
      <c r="CU275" s="114" t="n">
        <v>212316.76</v>
      </c>
      <c r="CV275" s="114" t="n">
        <v>3428.57</v>
      </c>
      <c r="CW275" s="115" t="n">
        <v>1071050.38647447</v>
      </c>
      <c r="CZ275" s="117" t="s">
        <v>360</v>
      </c>
      <c r="DA275" s="119" t="n">
        <f aca="false" ca="true" dt2D="false" dtr="false" t="normal">SUBTOTAL(9, DB275:DP275)</f>
        <v>5504992.41</v>
      </c>
      <c r="DB275" s="114" t="n"/>
      <c r="DC275" s="114" t="n"/>
      <c r="DD275" s="114" t="n"/>
      <c r="DE275" s="114" t="n"/>
      <c r="DF275" s="114" t="n"/>
      <c r="DG275" s="114" t="n"/>
      <c r="DH275" s="114" t="n"/>
      <c r="DI275" s="114" t="n"/>
      <c r="DJ275" s="114" t="n"/>
      <c r="DK275" s="114" t="n"/>
      <c r="DL275" s="114" t="n"/>
      <c r="DM275" s="114" t="n">
        <v>5289247.08</v>
      </c>
      <c r="DN275" s="114" t="n">
        <v>212316.76</v>
      </c>
      <c r="DO275" s="114" t="n">
        <v>3428.57</v>
      </c>
      <c r="DP275" s="122" t="n"/>
      <c r="DQ275" s="3" t="n">
        <f aca="false" ca="false" dt2D="false" dtr="false" t="normal">N275-DA275</f>
        <v>0</v>
      </c>
      <c r="DS275" s="9" t="n"/>
    </row>
    <row customHeight="true" hidden="false" ht="15.75" outlineLevel="0" r="276">
      <c r="A276" s="183" t="n">
        <f aca="false" ca="false" dt2D="false" dtr="false" t="normal">+A275+1</f>
        <v>257</v>
      </c>
      <c r="B276" s="184" t="n">
        <f aca="false" ca="false" dt2D="false" dtr="false" t="normal">+B275+1</f>
        <v>69</v>
      </c>
      <c r="C276" s="117" t="s">
        <v>111</v>
      </c>
      <c r="D276" s="117" t="s">
        <v>361</v>
      </c>
      <c r="E276" s="105" t="n">
        <v>1974</v>
      </c>
      <c r="F276" s="105" t="n">
        <v>2013</v>
      </c>
      <c r="G276" s="105" t="s">
        <v>68</v>
      </c>
      <c r="H276" s="105" t="n">
        <v>4</v>
      </c>
      <c r="I276" s="105" t="n">
        <v>8</v>
      </c>
      <c r="J276" s="106" t="n">
        <v>5449.8</v>
      </c>
      <c r="K276" s="106" t="n">
        <v>4938.7</v>
      </c>
      <c r="L276" s="106" t="n">
        <v>0</v>
      </c>
      <c r="M276" s="107" t="n">
        <v>207</v>
      </c>
      <c r="N276" s="108" t="n">
        <f aca="false" ca="false" dt2D="false" dtr="false" t="normal">SUM(P276:T276)</f>
        <v>45207079.57000001</v>
      </c>
      <c r="O276" s="114" t="n"/>
      <c r="P276" s="114" t="n">
        <v>18759621.04</v>
      </c>
      <c r="Q276" s="114" t="n"/>
      <c r="R276" s="114" t="n">
        <v>2556985.43</v>
      </c>
      <c r="S276" s="114" t="n">
        <v>19403234.4868241</v>
      </c>
      <c r="T276" s="114" t="n">
        <v>4487238.61317591</v>
      </c>
      <c r="U276" s="106" t="n">
        <v>20793.3212666626</v>
      </c>
      <c r="V276" s="106" t="n">
        <v>20793.3212666626</v>
      </c>
      <c r="W276" s="185" t="n">
        <v>2023</v>
      </c>
      <c r="X276" s="9" t="e">
        <f aca="false" ca="false" dt2D="false" dtr="false" t="normal">+#REF!-'[9]Приложение №1'!$P1064</f>
        <v>#REF!</v>
      </c>
      <c r="Z276" s="113" t="n">
        <f aca="false" ca="false" dt2D="false" dtr="false" t="normal">SUM(AA276:AO276)</f>
        <v>29390081.470000003</v>
      </c>
      <c r="AA276" s="106" t="n">
        <v>11814199.4679345</v>
      </c>
      <c r="AB276" s="106" t="n">
        <v>4209884.96438706</v>
      </c>
      <c r="AC276" s="106" t="n">
        <v>4398393.06364962</v>
      </c>
      <c r="AD276" s="106" t="n">
        <v>2753672.15959836</v>
      </c>
      <c r="AE276" s="106" t="n">
        <v>1684797.14385486</v>
      </c>
      <c r="AF276" s="106" t="n"/>
      <c r="AG276" s="106" t="n">
        <v>453343.1808108</v>
      </c>
      <c r="AH276" s="106" t="n">
        <v>0</v>
      </c>
      <c r="AI276" s="106" t="n">
        <v>0</v>
      </c>
      <c r="AJ276" s="106" t="n">
        <v>0</v>
      </c>
      <c r="AK276" s="106" t="n">
        <v>0</v>
      </c>
      <c r="AL276" s="106" t="n">
        <v>0</v>
      </c>
      <c r="AM276" s="106" t="n">
        <v>3228318.4233</v>
      </c>
      <c r="AN276" s="114" t="n">
        <v>293900.8147</v>
      </c>
      <c r="AO276" s="115" t="n">
        <v>553572.2517648</v>
      </c>
      <c r="AP276" s="112" t="n">
        <f aca="false" ca="false" dt2D="false" dtr="false" t="normal">+N276-'Приложение №2'!E276</f>
        <v>0</v>
      </c>
      <c r="AQ276" s="1" t="n">
        <v>2310610.73</v>
      </c>
      <c r="AR276" s="3" t="n">
        <f aca="false" ca="false" dt2D="false" dtr="false" t="normal">+(K276*10+L276*20)*12*0.85</f>
        <v>503747.39999999997</v>
      </c>
      <c r="AS276" s="3" t="n">
        <f aca="false" ca="false" dt2D="false" dtr="false" t="normal">+(K276*10+L276*20)*12*30</f>
        <v>17779320</v>
      </c>
      <c r="AT276" s="9" t="n">
        <f aca="false" ca="false" dt2D="false" dtr="false" t="normal">+S276-AS276</f>
        <v>1623914.486824099</v>
      </c>
      <c r="AU276" s="9" t="e">
        <f aca="false" ca="false" dt2D="false" dtr="false" t="normal">+P276-'[5]Приложение №1'!$P288</f>
        <v>#REF!</v>
      </c>
      <c r="AV276" s="9" t="e">
        <f aca="false" ca="false" dt2D="false" dtr="false" t="normal">+Q276-'[5]Приложение №1'!$Q33</f>
        <v>#REF!</v>
      </c>
      <c r="AW276" s="113" t="n">
        <f aca="false" ca="true" dt2D="false" dtr="false" t="normal">SUBTOTAL(9, AX276:BL276)</f>
        <v>76930682.4454868</v>
      </c>
      <c r="AX276" s="106" t="n">
        <v>12940969.379562</v>
      </c>
      <c r="AY276" s="106" t="n">
        <v>4683661.978548</v>
      </c>
      <c r="AZ276" s="106" t="n">
        <v>2990319.15</v>
      </c>
      <c r="BA276" s="106" t="n">
        <v>3967819.86</v>
      </c>
      <c r="BB276" s="106" t="n"/>
      <c r="BC276" s="106" t="n"/>
      <c r="BD276" s="106" t="n">
        <v>453343.1808108</v>
      </c>
      <c r="BE276" s="106" t="n">
        <v>0</v>
      </c>
      <c r="BF276" s="106" t="n">
        <v>23720691.2380293</v>
      </c>
      <c r="BG276" s="106" t="n">
        <v>0</v>
      </c>
      <c r="BH276" s="106" t="n">
        <v>12262218.1158201</v>
      </c>
      <c r="BI276" s="106" t="n">
        <v>13351798.3758925</v>
      </c>
      <c r="BJ276" s="106" t="n">
        <v>872137.55</v>
      </c>
      <c r="BK276" s="114" t="n"/>
      <c r="BL276" s="187" t="n">
        <v>1687723.6168241</v>
      </c>
      <c r="BM276" s="113" t="n">
        <f aca="false" ca="true" dt2D="false" dtr="false" t="normal">SUBTOTAL(9, BN276:CB276)</f>
        <v>79931177.0916374</v>
      </c>
      <c r="BN276" s="106" t="n">
        <v>12940969.379562</v>
      </c>
      <c r="BO276" s="106" t="n">
        <v>4683661.978548</v>
      </c>
      <c r="BP276" s="106" t="n">
        <v>2990319.15</v>
      </c>
      <c r="BQ276" s="106" t="n">
        <v>3967819.86</v>
      </c>
      <c r="BR276" s="106" t="n"/>
      <c r="BS276" s="106" t="n"/>
      <c r="BT276" s="106" t="n">
        <v>453343.1808108</v>
      </c>
      <c r="BU276" s="106" t="n">
        <v>0</v>
      </c>
      <c r="BV276" s="106" t="n">
        <v>9797526</v>
      </c>
      <c r="BW276" s="106" t="n">
        <v>0</v>
      </c>
      <c r="BX276" s="106" t="n">
        <v>29185878</v>
      </c>
      <c r="BY276" s="106" t="n">
        <v>13351798.3758925</v>
      </c>
      <c r="BZ276" s="106" t="n">
        <v>872137.55</v>
      </c>
      <c r="CA276" s="114" t="n"/>
      <c r="CB276" s="115" t="n">
        <v>1687723.6168241</v>
      </c>
      <c r="CD276" s="116" t="n">
        <f aca="false" ca="false" dt2D="false" dtr="false" t="normal">+CD275+1</f>
        <v>257</v>
      </c>
      <c r="CE276" s="117" t="n">
        <f aca="false" ca="false" dt2D="false" dtr="false" t="normal">+CE275+1</f>
        <v>69</v>
      </c>
      <c r="CF276" s="104" t="s">
        <v>111</v>
      </c>
      <c r="CG276" s="117" t="s">
        <v>361</v>
      </c>
      <c r="CH276" s="118" t="n">
        <f aca="false" ca="true" dt2D="false" dtr="false" t="normal">SUBTOTAL(9, CI276:CW276)</f>
        <v>46764055.1968241</v>
      </c>
      <c r="CI276" s="114" t="n">
        <v>7625174.93</v>
      </c>
      <c r="CJ276" s="114" t="n"/>
      <c r="CK276" s="114" t="n">
        <v>2990319.15</v>
      </c>
      <c r="CL276" s="114" t="n">
        <v>3967819.86</v>
      </c>
      <c r="CM276" s="114" t="n"/>
      <c r="CN276" s="114" t="n"/>
      <c r="CO276" s="114" t="n"/>
      <c r="CP276" s="114" t="n">
        <v>0</v>
      </c>
      <c r="CQ276" s="114" t="n">
        <v>9797526</v>
      </c>
      <c r="CR276" s="114" t="n">
        <v>0</v>
      </c>
      <c r="CS276" s="114" t="n">
        <v>9608317.2</v>
      </c>
      <c r="CT276" s="114" t="n">
        <v>10107495.6</v>
      </c>
      <c r="CU276" s="114" t="n">
        <v>937678.84</v>
      </c>
      <c r="CV276" s="114" t="n">
        <v>42000</v>
      </c>
      <c r="CW276" s="115" t="n">
        <v>1687723.6168241</v>
      </c>
      <c r="CZ276" s="117" t="s">
        <v>361</v>
      </c>
      <c r="DA276" s="119" t="n">
        <f aca="false" ca="true" dt2D="false" dtr="false" t="normal">SUBTOTAL(9, DB276:DP276)</f>
        <v>45207079.57000001</v>
      </c>
      <c r="DB276" s="114" t="n">
        <v>7625174.93</v>
      </c>
      <c r="DC276" s="114" t="n"/>
      <c r="DD276" s="114" t="n">
        <v>2990319.15</v>
      </c>
      <c r="DE276" s="114" t="n">
        <v>3967819.86</v>
      </c>
      <c r="DF276" s="114" t="n"/>
      <c r="DG276" s="114" t="n"/>
      <c r="DH276" s="114" t="n"/>
      <c r="DI276" s="114" t="n">
        <v>0</v>
      </c>
      <c r="DJ276" s="114" t="n">
        <v>9797526</v>
      </c>
      <c r="DK276" s="114" t="n">
        <v>0</v>
      </c>
      <c r="DL276" s="114" t="n">
        <v>9608317.2</v>
      </c>
      <c r="DM276" s="114" t="n">
        <v>10107495.6</v>
      </c>
      <c r="DN276" s="114" t="n">
        <v>937678.84</v>
      </c>
      <c r="DO276" s="114" t="n">
        <v>42000</v>
      </c>
      <c r="DP276" s="120" t="n">
        <f aca="false" ca="false" dt2D="false" dtr="false" t="normal">77529.37+24664.76+28553.86</f>
        <v>130747.98999999999</v>
      </c>
      <c r="DQ276" s="3" t="n">
        <f aca="false" ca="false" dt2D="false" dtr="false" t="normal">N276-DA276</f>
        <v>0</v>
      </c>
      <c r="DS276" s="9" t="n"/>
    </row>
    <row hidden="false" ht="15" outlineLevel="0" r="277">
      <c r="A277" s="183" t="n">
        <f aca="false" ca="false" dt2D="false" dtr="false" t="normal">+A276+1</f>
        <v>258</v>
      </c>
      <c r="B277" s="184" t="n">
        <f aca="false" ca="false" dt2D="false" dtr="false" t="normal">+B276+1</f>
        <v>70</v>
      </c>
      <c r="C277" s="117" t="s">
        <v>111</v>
      </c>
      <c r="D277" s="117" t="s">
        <v>362</v>
      </c>
      <c r="E277" s="105" t="n">
        <v>1976</v>
      </c>
      <c r="F277" s="105" t="n">
        <v>2013</v>
      </c>
      <c r="G277" s="105" t="s">
        <v>68</v>
      </c>
      <c r="H277" s="105" t="n">
        <v>5</v>
      </c>
      <c r="I277" s="105" t="n">
        <v>4</v>
      </c>
      <c r="J277" s="106" t="n">
        <v>3698.5</v>
      </c>
      <c r="K277" s="106" t="n">
        <v>3331.4</v>
      </c>
      <c r="L277" s="106" t="n">
        <v>142.2</v>
      </c>
      <c r="M277" s="107" t="n">
        <v>143</v>
      </c>
      <c r="N277" s="108" t="n">
        <f aca="false" ca="false" dt2D="false" dtr="false" t="normal">SUM(P277:T277)</f>
        <v>974673.4099999999</v>
      </c>
      <c r="O277" s="114" t="n"/>
      <c r="P277" s="114" t="n">
        <v>225443.56</v>
      </c>
      <c r="Q277" s="114" t="n"/>
      <c r="R277" s="114" t="n">
        <v>92497.51</v>
      </c>
      <c r="S277" s="114" t="n">
        <v>656732.34</v>
      </c>
      <c r="T277" s="114" t="n"/>
      <c r="U277" s="106" t="n">
        <v>401.39736237844</v>
      </c>
      <c r="V277" s="106" t="n">
        <v>401.39736237844</v>
      </c>
      <c r="W277" s="185" t="n">
        <v>2023</v>
      </c>
      <c r="X277" s="9" t="e">
        <f aca="false" ca="false" dt2D="false" dtr="false" t="normal">+#REF!-'[9]Приложение №1'!$P677</f>
        <v>#REF!</v>
      </c>
      <c r="Z277" s="113" t="n">
        <f aca="false" ca="false" dt2D="false" dtr="false" t="normal">SUM(AA277:AO277)</f>
        <v>31334841.419999998</v>
      </c>
      <c r="AA277" s="106" t="n">
        <v>8119979.06097378</v>
      </c>
      <c r="AB277" s="106" t="n">
        <v>2893482.35978382</v>
      </c>
      <c r="AC277" s="106" t="n">
        <v>0</v>
      </c>
      <c r="AD277" s="106" t="n">
        <v>0</v>
      </c>
      <c r="AE277" s="106" t="n">
        <v>1157972.45333616</v>
      </c>
      <c r="AF277" s="106" t="n"/>
      <c r="AG277" s="106" t="n">
        <v>311585.82840084</v>
      </c>
      <c r="AH277" s="106" t="n">
        <v>0</v>
      </c>
      <c r="AI277" s="106" t="n">
        <v>14844557.2101246</v>
      </c>
      <c r="AJ277" s="106" t="n">
        <v>0</v>
      </c>
      <c r="AK277" s="106" t="n">
        <v>0</v>
      </c>
      <c r="AL277" s="106" t="n">
        <v>0</v>
      </c>
      <c r="AM277" s="106" t="n">
        <v>3096317.3338</v>
      </c>
      <c r="AN277" s="114" t="n">
        <v>313348.4142</v>
      </c>
      <c r="AO277" s="115" t="n">
        <v>597598.7593808</v>
      </c>
      <c r="AP277" s="112" t="n">
        <f aca="false" ca="false" dt2D="false" dtr="false" t="normal">+N277-'Приложение №2'!E277</f>
        <v>0</v>
      </c>
      <c r="AQ277" s="1" t="n">
        <f aca="false" ca="false" dt2D="false" dtr="false" t="normal">1714139.94-279174.44-139587.22</f>
        <v>1295378.28</v>
      </c>
      <c r="AR277" s="3" t="n">
        <f aca="false" ca="false" dt2D="false" dtr="false" t="normal">+(K277*10+L277*20)*12*0.85</f>
        <v>368811.6</v>
      </c>
      <c r="AS277" s="3" t="n">
        <f aca="false" ca="false" dt2D="false" dtr="false" t="normal">+(K277*10+L277*20)*12*30-1573640.06</f>
        <v>11443239.94</v>
      </c>
      <c r="AT277" s="9" t="n">
        <f aca="false" ca="false" dt2D="false" dtr="false" t="normal">+S277-AS277</f>
        <v>-10786507.6</v>
      </c>
      <c r="AU277" s="9" t="e">
        <f aca="false" ca="false" dt2D="false" dtr="false" t="normal">+P277-'[5]Приложение №1'!$P290</f>
        <v>#REF!</v>
      </c>
      <c r="AV277" s="9" t="e">
        <f aca="false" ca="false" dt2D="false" dtr="false" t="normal">+Q277-'[5]Приложение №1'!$Q35</f>
        <v>#REF!</v>
      </c>
      <c r="AW277" s="113" t="n">
        <f aca="false" ca="true" dt2D="false" dtr="false" t="normal">SUBTOTAL(9, AX277:BL277)</f>
        <v>1394293.87795775</v>
      </c>
      <c r="AX277" s="106" t="n"/>
      <c r="AY277" s="106" t="n"/>
      <c r="AZ277" s="106" t="n">
        <v>0</v>
      </c>
      <c r="BA277" s="106" t="n">
        <v>0</v>
      </c>
      <c r="BB277" s="106" t="n">
        <v>974673.41</v>
      </c>
      <c r="BC277" s="106" t="n"/>
      <c r="BD277" s="106" t="n"/>
      <c r="BE277" s="106" t="n">
        <v>0</v>
      </c>
      <c r="BF277" s="106" t="n"/>
      <c r="BG277" s="106" t="n">
        <v>0</v>
      </c>
      <c r="BH277" s="106" t="n">
        <v>0</v>
      </c>
      <c r="BI277" s="106" t="n">
        <v>0</v>
      </c>
      <c r="BJ277" s="106" t="n"/>
      <c r="BK277" s="114" t="n"/>
      <c r="BL277" s="187" t="n">
        <v>419620.46795775</v>
      </c>
      <c r="BM277" s="113" t="n">
        <f aca="false" ca="true" dt2D="false" dtr="false" t="normal">SUBTOTAL(9, BN277:CB277)</f>
        <v>1394293.87795775</v>
      </c>
      <c r="BN277" s="106" t="n"/>
      <c r="BO277" s="106" t="n"/>
      <c r="BP277" s="106" t="n">
        <v>0</v>
      </c>
      <c r="BQ277" s="106" t="n">
        <v>0</v>
      </c>
      <c r="BR277" s="106" t="n">
        <v>974673.41</v>
      </c>
      <c r="BS277" s="106" t="n"/>
      <c r="BT277" s="106" t="n"/>
      <c r="BU277" s="106" t="n">
        <v>0</v>
      </c>
      <c r="BV277" s="106" t="n"/>
      <c r="BW277" s="106" t="n">
        <v>0</v>
      </c>
      <c r="BX277" s="106" t="n">
        <v>0</v>
      </c>
      <c r="BY277" s="106" t="n">
        <v>0</v>
      </c>
      <c r="BZ277" s="106" t="n"/>
      <c r="CA277" s="114" t="n"/>
      <c r="CB277" s="115" t="n">
        <v>419620.46795775</v>
      </c>
      <c r="CD277" s="116" t="n">
        <f aca="false" ca="false" dt2D="false" dtr="false" t="normal">+CD276+1</f>
        <v>258</v>
      </c>
      <c r="CE277" s="117" t="n">
        <f aca="false" ca="false" dt2D="false" dtr="false" t="normal">+CE276+1</f>
        <v>70</v>
      </c>
      <c r="CF277" s="104" t="s">
        <v>111</v>
      </c>
      <c r="CG277" s="117" t="s">
        <v>362</v>
      </c>
      <c r="CH277" s="118" t="n">
        <f aca="false" ca="true" dt2D="false" dtr="false" t="normal">SUBTOTAL(9, CI277:CW277)</f>
        <v>1394293.87795775</v>
      </c>
      <c r="CI277" s="114" t="n"/>
      <c r="CJ277" s="114" t="n"/>
      <c r="CK277" s="114" t="n">
        <v>0</v>
      </c>
      <c r="CL277" s="114" t="n">
        <v>0</v>
      </c>
      <c r="CM277" s="114" t="n">
        <v>974673.41</v>
      </c>
      <c r="CN277" s="114" t="n"/>
      <c r="CO277" s="114" t="n"/>
      <c r="CP277" s="114" t="n">
        <v>0</v>
      </c>
      <c r="CQ277" s="114" t="n"/>
      <c r="CR277" s="114" t="n">
        <v>0</v>
      </c>
      <c r="CS277" s="114" t="n">
        <v>0</v>
      </c>
      <c r="CT277" s="114" t="n">
        <v>0</v>
      </c>
      <c r="CU277" s="114" t="n"/>
      <c r="CV277" s="114" t="n"/>
      <c r="CW277" s="115" t="n">
        <v>419620.46795775</v>
      </c>
      <c r="CZ277" s="117" t="s">
        <v>362</v>
      </c>
      <c r="DA277" s="119" t="n">
        <f aca="false" ca="true" dt2D="false" dtr="false" t="normal">SUBTOTAL(9, DB277:DP277)</f>
        <v>974673.41</v>
      </c>
      <c r="DB277" s="114" t="n"/>
      <c r="DC277" s="114" t="n"/>
      <c r="DD277" s="114" t="n">
        <v>0</v>
      </c>
      <c r="DE277" s="114" t="n">
        <v>0</v>
      </c>
      <c r="DF277" s="114" t="n">
        <v>974673.41</v>
      </c>
      <c r="DG277" s="114" t="n"/>
      <c r="DH277" s="114" t="n"/>
      <c r="DI277" s="114" t="n">
        <v>0</v>
      </c>
      <c r="DJ277" s="114" t="n"/>
      <c r="DK277" s="114" t="n">
        <v>0</v>
      </c>
      <c r="DL277" s="114" t="n">
        <v>0</v>
      </c>
      <c r="DM277" s="114" t="n">
        <v>0</v>
      </c>
      <c r="DN277" s="114" t="n"/>
      <c r="DO277" s="114" t="n"/>
      <c r="DP277" s="122" t="n"/>
      <c r="DQ277" s="3" t="n">
        <f aca="false" ca="false" dt2D="false" dtr="false" t="normal">N277-DA277</f>
        <v>0</v>
      </c>
      <c r="DS277" s="9" t="n"/>
    </row>
    <row hidden="false" ht="15" outlineLevel="0" r="278">
      <c r="A278" s="183" t="n">
        <f aca="false" ca="false" dt2D="false" dtr="false" t="normal">+A277+1</f>
        <v>259</v>
      </c>
      <c r="B278" s="184" t="n">
        <f aca="false" ca="false" dt2D="false" dtr="false" t="normal">+B277+1</f>
        <v>71</v>
      </c>
      <c r="C278" s="104" t="s">
        <v>111</v>
      </c>
      <c r="D278" s="104" t="s">
        <v>363</v>
      </c>
      <c r="E278" s="105" t="n">
        <v>1983</v>
      </c>
      <c r="F278" s="105" t="n">
        <v>2013</v>
      </c>
      <c r="G278" s="105" t="s">
        <v>68</v>
      </c>
      <c r="H278" s="105" t="n">
        <v>4</v>
      </c>
      <c r="I278" s="105" t="n">
        <v>6</v>
      </c>
      <c r="J278" s="106" t="n">
        <v>5775.05</v>
      </c>
      <c r="K278" s="106" t="n">
        <v>5052.85</v>
      </c>
      <c r="L278" s="106" t="n">
        <v>0</v>
      </c>
      <c r="M278" s="107" t="n">
        <v>216</v>
      </c>
      <c r="N278" s="108" t="n">
        <f aca="false" ca="false" dt2D="false" dtr="false" t="normal">SUM(P278:T278)</f>
        <v>13852053.29999996</v>
      </c>
      <c r="O278" s="106" t="n"/>
      <c r="P278" s="114" t="n"/>
      <c r="Q278" s="114" t="n"/>
      <c r="R278" s="114" t="n">
        <v>2119027.70847416</v>
      </c>
      <c r="S278" s="114" t="n">
        <v>11733025.5915258</v>
      </c>
      <c r="T278" s="114" t="n"/>
      <c r="U278" s="106" t="n">
        <v>3213.2386336333</v>
      </c>
      <c r="V278" s="106" t="n">
        <v>3213.2386336333</v>
      </c>
      <c r="W278" s="185" t="n">
        <v>2023</v>
      </c>
      <c r="X278" s="9" t="e">
        <f aca="false" ca="false" dt2D="false" dtr="false" t="normal">+#REF!-'[9]Приложение №1'!$P1068</f>
        <v>#REF!</v>
      </c>
      <c r="Z278" s="113" t="n">
        <f aca="false" ca="false" dt2D="false" dtr="false" t="normal">SUM(AA278:AO278)</f>
        <v>28377467.889999997</v>
      </c>
      <c r="AA278" s="106" t="n">
        <v>8419761.85982568</v>
      </c>
      <c r="AB278" s="106" t="n">
        <v>4869378.46630032</v>
      </c>
      <c r="AC278" s="106" t="n">
        <v>5147293.57328382</v>
      </c>
      <c r="AD278" s="106" t="n">
        <v>3924855.112857</v>
      </c>
      <c r="AE278" s="106" t="n">
        <v>1567899.26980218</v>
      </c>
      <c r="AF278" s="106" t="n"/>
      <c r="AG278" s="106" t="n">
        <v>418375.75401384</v>
      </c>
      <c r="AH278" s="106" t="n">
        <v>0</v>
      </c>
      <c r="AI278" s="106" t="n">
        <v>0</v>
      </c>
      <c r="AJ278" s="106" t="n">
        <v>0</v>
      </c>
      <c r="AK278" s="106" t="n">
        <v>0</v>
      </c>
      <c r="AL278" s="106" t="n">
        <v>0</v>
      </c>
      <c r="AM278" s="106" t="n">
        <v>3213697.2617</v>
      </c>
      <c r="AN278" s="114" t="n">
        <v>283774.6789</v>
      </c>
      <c r="AO278" s="115" t="n">
        <v>532431.91331716</v>
      </c>
      <c r="AP278" s="112" t="n">
        <f aca="false" ca="false" dt2D="false" dtr="false" t="normal">+N278-'Приложение №2'!E278</f>
        <v>-0.0000000391155481338501</v>
      </c>
      <c r="AQ278" s="1" t="n">
        <f aca="false" ca="false" dt2D="false" dtr="false" t="normal">2439039.01-114269.78</f>
        <v>2324769.23</v>
      </c>
      <c r="AR278" s="3" t="n">
        <f aca="false" ca="false" dt2D="false" dtr="false" t="normal">+(K278*10+L278*20)*12*0.85</f>
        <v>515390.7</v>
      </c>
      <c r="AS278" s="3" t="n">
        <f aca="false" ca="false" dt2D="false" dtr="false" t="normal">+(K278*10+L278*20)*12*30</f>
        <v>18190260</v>
      </c>
      <c r="AT278" s="9" t="n">
        <f aca="false" ca="false" dt2D="false" dtr="false" t="normal">+S278-AS278</f>
        <v>-6457234.4084741995</v>
      </c>
      <c r="AU278" s="9" t="e">
        <f aca="false" ca="false" dt2D="false" dtr="false" t="normal">+P278-'[5]Приложение №1'!$P289</f>
        <v>#REF!</v>
      </c>
      <c r="AV278" s="9" t="e">
        <f aca="false" ca="false" dt2D="false" dtr="false" t="normal">+Q278-'[5]Приложение №1'!$Q34</f>
        <v>#REF!</v>
      </c>
      <c r="AW278" s="113" t="n">
        <f aca="false" ca="true" dt2D="false" dtr="false" t="normal">SUBTOTAL(9, AX278:BL278)</f>
        <v>16236012.829954</v>
      </c>
      <c r="AX278" s="106" t="n">
        <v>9211045.891866</v>
      </c>
      <c r="AY278" s="106" t="n"/>
      <c r="AZ278" s="106" t="n">
        <v>3408090.02</v>
      </c>
      <c r="BA278" s="106" t="n">
        <v>2646922.32</v>
      </c>
      <c r="BB278" s="106" t="n"/>
      <c r="BC278" s="106" t="n"/>
      <c r="BD278" s="106" t="n">
        <v>418375.75401384</v>
      </c>
      <c r="BE278" s="106" t="n">
        <v>0</v>
      </c>
      <c r="BF278" s="106" t="n">
        <v>0</v>
      </c>
      <c r="BG278" s="106" t="n">
        <v>0</v>
      </c>
      <c r="BH278" s="106" t="n">
        <v>0</v>
      </c>
      <c r="BI278" s="106" t="n">
        <v>0</v>
      </c>
      <c r="BJ278" s="106" t="n">
        <v>93758.8378</v>
      </c>
      <c r="BK278" s="114" t="n">
        <v>22362.4978</v>
      </c>
      <c r="BL278" s="187" t="n">
        <v>435457.50847416</v>
      </c>
      <c r="BM278" s="113" t="n">
        <f aca="false" ca="true" dt2D="false" dtr="false" t="normal">SUBTOTAL(9, BN278:CB278)</f>
        <v>14592399.018088</v>
      </c>
      <c r="BN278" s="192" t="n">
        <v>7567432.08</v>
      </c>
      <c r="BO278" s="106" t="n"/>
      <c r="BP278" s="106" t="n">
        <v>3408090.02</v>
      </c>
      <c r="BQ278" s="106" t="n">
        <v>2646922.32</v>
      </c>
      <c r="BR278" s="106" t="n"/>
      <c r="BS278" s="106" t="n"/>
      <c r="BT278" s="106" t="n">
        <v>418375.75401384</v>
      </c>
      <c r="BU278" s="106" t="n">
        <v>0</v>
      </c>
      <c r="BV278" s="106" t="n">
        <v>0</v>
      </c>
      <c r="BW278" s="106" t="n">
        <v>0</v>
      </c>
      <c r="BX278" s="106" t="n">
        <v>0</v>
      </c>
      <c r="BY278" s="106" t="n">
        <v>0</v>
      </c>
      <c r="BZ278" s="106" t="n">
        <v>93758.8378</v>
      </c>
      <c r="CA278" s="114" t="n">
        <v>22362.4978</v>
      </c>
      <c r="CB278" s="115" t="n">
        <v>435457.50847416</v>
      </c>
      <c r="CD278" s="116" t="n">
        <f aca="false" ca="false" dt2D="false" dtr="false" t="normal">+CD277+1</f>
        <v>259</v>
      </c>
      <c r="CE278" s="117" t="n">
        <f aca="false" ca="false" dt2D="false" dtr="false" t="normal">+CE277+1</f>
        <v>71</v>
      </c>
      <c r="CF278" s="104" t="s">
        <v>111</v>
      </c>
      <c r="CG278" s="117" t="s">
        <v>363</v>
      </c>
      <c r="CH278" s="118" t="n">
        <f aca="false" ca="true" dt2D="false" dtr="false" t="normal">SUBTOTAL(9, CI278:CW278)</f>
        <v>14147298.26847416</v>
      </c>
      <c r="CI278" s="114" t="n">
        <v>7567432.08</v>
      </c>
      <c r="CJ278" s="114" t="n"/>
      <c r="CK278" s="114" t="n">
        <v>3408090.02</v>
      </c>
      <c r="CL278" s="114" t="n">
        <v>2646922.32</v>
      </c>
      <c r="CM278" s="114" t="n"/>
      <c r="CN278" s="114" t="n"/>
      <c r="CO278" s="114" t="n"/>
      <c r="CP278" s="114" t="n">
        <v>0</v>
      </c>
      <c r="CQ278" s="114" t="n">
        <v>0</v>
      </c>
      <c r="CR278" s="114" t="n">
        <v>0</v>
      </c>
      <c r="CS278" s="114" t="n">
        <v>0</v>
      </c>
      <c r="CT278" s="114" t="n">
        <v>0</v>
      </c>
      <c r="CU278" s="114" t="n">
        <v>89396.34</v>
      </c>
      <c r="CV278" s="114" t="n"/>
      <c r="CW278" s="115" t="n">
        <v>435457.50847416</v>
      </c>
      <c r="CZ278" s="117" t="s">
        <v>363</v>
      </c>
      <c r="DA278" s="119" t="n">
        <f aca="false" ca="true" dt2D="false" dtr="false" t="normal">SUBTOTAL(9, DB278:DP278)</f>
        <v>13852053.299999999</v>
      </c>
      <c r="DB278" s="114" t="n">
        <v>7567432.08</v>
      </c>
      <c r="DC278" s="114" t="n"/>
      <c r="DD278" s="114" t="n">
        <v>3408090.02</v>
      </c>
      <c r="DE278" s="114" t="n">
        <v>2646922.32</v>
      </c>
      <c r="DF278" s="114" t="n"/>
      <c r="DG278" s="114" t="n"/>
      <c r="DH278" s="114" t="n"/>
      <c r="DI278" s="114" t="n">
        <v>0</v>
      </c>
      <c r="DJ278" s="114" t="n">
        <v>0</v>
      </c>
      <c r="DK278" s="114" t="n">
        <v>0</v>
      </c>
      <c r="DL278" s="114" t="n">
        <v>0</v>
      </c>
      <c r="DM278" s="114" t="n">
        <v>0</v>
      </c>
      <c r="DN278" s="114" t="n">
        <v>89396.34</v>
      </c>
      <c r="DO278" s="114" t="n"/>
      <c r="DP278" s="120" t="n">
        <f aca="false" ca="false" dt2D="false" dtr="false" t="normal">78680.24+30208.91+31323.39</f>
        <v>140212.54</v>
      </c>
      <c r="DQ278" s="3" t="n"/>
      <c r="DS278" s="9" t="n"/>
    </row>
    <row hidden="false" ht="15" outlineLevel="0" r="279">
      <c r="A279" s="183" t="n">
        <f aca="false" ca="false" dt2D="false" dtr="false" t="normal">+A278+1</f>
        <v>260</v>
      </c>
      <c r="B279" s="184" t="n">
        <f aca="false" ca="false" dt2D="false" dtr="false" t="normal">+B278+1</f>
        <v>72</v>
      </c>
      <c r="C279" s="104" t="s">
        <v>111</v>
      </c>
      <c r="D279" s="104" t="s">
        <v>159</v>
      </c>
      <c r="E279" s="105" t="n">
        <v>1976</v>
      </c>
      <c r="F279" s="105" t="n">
        <v>2013</v>
      </c>
      <c r="G279" s="105" t="s">
        <v>68</v>
      </c>
      <c r="H279" s="105" t="n">
        <v>4</v>
      </c>
      <c r="I279" s="105" t="n">
        <v>6</v>
      </c>
      <c r="J279" s="106" t="n">
        <v>5761.37</v>
      </c>
      <c r="K279" s="106" t="n">
        <v>4953.17</v>
      </c>
      <c r="L279" s="106" t="n">
        <v>0</v>
      </c>
      <c r="M279" s="107" t="n">
        <v>208</v>
      </c>
      <c r="N279" s="108" t="n">
        <f aca="false" ca="false" dt2D="false" dtr="false" t="normal">SUM(P279:T279)</f>
        <v>7219456.87</v>
      </c>
      <c r="O279" s="106" t="n"/>
      <c r="P279" s="114" t="n"/>
      <c r="Q279" s="114" t="n"/>
      <c r="R279" s="114" t="n">
        <v>891053.55</v>
      </c>
      <c r="S279" s="114" t="n">
        <v>6328403.32</v>
      </c>
      <c r="T279" s="106" t="n"/>
      <c r="U279" s="106" t="n">
        <v>3306.79731356267</v>
      </c>
      <c r="V279" s="106" t="n">
        <v>3306.79731356267</v>
      </c>
      <c r="W279" s="185" t="n">
        <v>2023</v>
      </c>
      <c r="X279" s="9" t="e">
        <f aca="false" ca="false" dt2D="false" dtr="false" t="normal">+#REF!-'[9]Приложение №1'!$P1070</f>
        <v>#REF!</v>
      </c>
      <c r="Z279" s="113" t="n">
        <f aca="false" ca="false" dt2D="false" dtr="false" t="normal">SUM(AA279:AO279)</f>
        <v>18855188.25</v>
      </c>
      <c r="AA279" s="106" t="n">
        <v>0</v>
      </c>
      <c r="AB279" s="106" t="n">
        <v>4852018.68955818</v>
      </c>
      <c r="AC279" s="106" t="n">
        <v>5128943.00798082</v>
      </c>
      <c r="AD279" s="106" t="n">
        <v>3910862.64518544</v>
      </c>
      <c r="AE279" s="106" t="n">
        <v>1562309.5679604</v>
      </c>
      <c r="AF279" s="106" t="n"/>
      <c r="AG279" s="106" t="n">
        <v>416884.20653628</v>
      </c>
      <c r="AH279" s="106" t="n">
        <v>0</v>
      </c>
      <c r="AI279" s="106" t="n">
        <v>0</v>
      </c>
      <c r="AJ279" s="106" t="n">
        <v>0</v>
      </c>
      <c r="AK279" s="106" t="n">
        <v>0</v>
      </c>
      <c r="AL279" s="106" t="n">
        <v>0</v>
      </c>
      <c r="AM279" s="106" t="n">
        <v>2448551.2283</v>
      </c>
      <c r="AN279" s="114" t="n">
        <v>188551.8825</v>
      </c>
      <c r="AO279" s="115" t="n">
        <v>347067.02197888</v>
      </c>
      <c r="AP279" s="112" t="n">
        <f aca="false" ca="false" dt2D="false" dtr="false" t="normal">+N279-'Приложение №2'!E279</f>
        <v>0</v>
      </c>
      <c r="AQ279" s="1" t="n">
        <f aca="false" ca="false" dt2D="false" dtr="false" t="normal">2496690.4</f>
        <v>2496690.4</v>
      </c>
      <c r="AR279" s="3" t="n">
        <f aca="false" ca="false" dt2D="false" dtr="false" t="normal">+(K279*10+L279*20)*12*0.85</f>
        <v>505223.3399999999</v>
      </c>
      <c r="AS279" s="3" t="n">
        <f aca="false" ca="false" dt2D="false" dtr="false" t="normal">+(K279*10+L279*20)*12*30</f>
        <v>17831411.999999996</v>
      </c>
      <c r="AT279" s="9" t="n">
        <f aca="false" ca="false" dt2D="false" dtr="false" t="normal">+S279-AS279</f>
        <v>-11503008.679999996</v>
      </c>
      <c r="AU279" s="9" t="e">
        <f aca="false" ca="false" dt2D="false" dtr="false" t="normal">+P279-'[5]Приложение №1'!$P292</f>
        <v>#REF!</v>
      </c>
      <c r="AV279" s="9" t="e">
        <f aca="false" ca="false" dt2D="false" dtr="false" t="normal">+Q279-'[5]Приложение №1'!$Q37</f>
        <v>#REF!</v>
      </c>
      <c r="AW279" s="113" t="n">
        <f aca="false" ca="true" dt2D="false" dtr="false" t="normal">SUBTOTAL(9, AX279:BL279)</f>
        <v>16379129.249619229</v>
      </c>
      <c r="AX279" s="106" t="n">
        <v>0</v>
      </c>
      <c r="AY279" s="106" t="n"/>
      <c r="AZ279" s="106" t="n"/>
      <c r="BA279" s="106" t="n">
        <v>4510734.76644</v>
      </c>
      <c r="BB279" s="106" t="n"/>
      <c r="BC279" s="106" t="n"/>
      <c r="BD279" s="106" t="n"/>
      <c r="BE279" s="106" t="n">
        <v>0</v>
      </c>
      <c r="BF279" s="106" t="n">
        <v>0</v>
      </c>
      <c r="BG279" s="106" t="n">
        <v>0</v>
      </c>
      <c r="BH279" s="106" t="n">
        <v>0</v>
      </c>
      <c r="BI279" s="106" t="n">
        <v>11240075.836038</v>
      </c>
      <c r="BJ279" s="106" t="n"/>
      <c r="BK279" s="114" t="n"/>
      <c r="BL279" s="187" t="n">
        <v>628318.647141228</v>
      </c>
      <c r="BM279" s="113" t="n">
        <f aca="false" ca="true" dt2D="false" dtr="false" t="normal">SUBTOTAL(9, BN279:CB279)</f>
        <v>16379129.249619229</v>
      </c>
      <c r="BN279" s="106" t="n">
        <v>0</v>
      </c>
      <c r="BO279" s="106" t="n"/>
      <c r="BP279" s="106" t="n"/>
      <c r="BQ279" s="106" t="n">
        <v>4510734.76644</v>
      </c>
      <c r="BR279" s="106" t="n"/>
      <c r="BS279" s="106" t="n"/>
      <c r="BT279" s="106" t="n"/>
      <c r="BU279" s="106" t="n">
        <v>0</v>
      </c>
      <c r="BV279" s="106" t="n">
        <v>0</v>
      </c>
      <c r="BW279" s="106" t="n">
        <v>0</v>
      </c>
      <c r="BX279" s="106" t="n">
        <v>0</v>
      </c>
      <c r="BY279" s="106" t="n">
        <v>11240075.836038</v>
      </c>
      <c r="BZ279" s="106" t="n"/>
      <c r="CA279" s="114" t="n"/>
      <c r="CB279" s="115" t="n">
        <v>628318.647141228</v>
      </c>
      <c r="CD279" s="116" t="n">
        <f aca="false" ca="false" dt2D="false" dtr="false" t="normal">+CD278+1</f>
        <v>260</v>
      </c>
      <c r="CE279" s="117" t="n">
        <f aca="false" ca="false" dt2D="false" dtr="false" t="normal">+CE278+1</f>
        <v>72</v>
      </c>
      <c r="CF279" s="104" t="s">
        <v>111</v>
      </c>
      <c r="CG279" s="117" t="s">
        <v>159</v>
      </c>
      <c r="CH279" s="118" t="n">
        <f aca="false" ca="true" dt2D="false" dtr="false" t="normal">SUBTOTAL(9, CI279:CW279)</f>
        <v>7847775.517141229</v>
      </c>
      <c r="CI279" s="114" t="n">
        <v>0</v>
      </c>
      <c r="CJ279" s="114" t="n"/>
      <c r="CK279" s="114" t="n"/>
      <c r="CL279" s="114" t="n"/>
      <c r="CM279" s="114" t="n"/>
      <c r="CN279" s="114" t="n"/>
      <c r="CO279" s="114" t="n"/>
      <c r="CP279" s="114" t="n">
        <v>0</v>
      </c>
      <c r="CQ279" s="114" t="n">
        <v>0</v>
      </c>
      <c r="CR279" s="114" t="n">
        <v>0</v>
      </c>
      <c r="CS279" s="114" t="n">
        <v>0</v>
      </c>
      <c r="CT279" s="114" t="n">
        <v>7219456.87</v>
      </c>
      <c r="CU279" s="114" t="n"/>
      <c r="CV279" s="114" t="n"/>
      <c r="CW279" s="115" t="n">
        <v>628318.647141228</v>
      </c>
      <c r="CZ279" s="117" t="s">
        <v>159</v>
      </c>
      <c r="DA279" s="119" t="n">
        <f aca="false" ca="true" dt2D="false" dtr="false" t="normal">SUBTOTAL(9, DB279:DP279)</f>
        <v>7219456.87</v>
      </c>
      <c r="DB279" s="114" t="n">
        <v>0</v>
      </c>
      <c r="DC279" s="114" t="n"/>
      <c r="DD279" s="114" t="n"/>
      <c r="DE279" s="114" t="n"/>
      <c r="DF279" s="114" t="n"/>
      <c r="DG279" s="114" t="n"/>
      <c r="DH279" s="114" t="n"/>
      <c r="DI279" s="114" t="n">
        <v>0</v>
      </c>
      <c r="DJ279" s="114" t="n">
        <v>0</v>
      </c>
      <c r="DK279" s="114" t="n">
        <v>0</v>
      </c>
      <c r="DL279" s="114" t="n">
        <v>0</v>
      </c>
      <c r="DM279" s="114" t="n">
        <v>7219456.87</v>
      </c>
      <c r="DN279" s="114" t="n"/>
      <c r="DO279" s="114" t="n"/>
      <c r="DP279" s="122" t="n"/>
      <c r="DQ279" s="3" t="n">
        <f aca="false" ca="false" dt2D="false" dtr="false" t="normal">N279-DA279</f>
        <v>0</v>
      </c>
      <c r="DS279" s="9" t="n"/>
    </row>
    <row hidden="false" ht="15" outlineLevel="0" r="280">
      <c r="A280" s="183" t="n">
        <f aca="false" ca="false" dt2D="false" dtr="false" t="normal">+A279+1</f>
        <v>261</v>
      </c>
      <c r="B280" s="184" t="n">
        <f aca="false" ca="false" dt2D="false" dtr="false" t="normal">+B279+1</f>
        <v>73</v>
      </c>
      <c r="C280" s="117" t="s">
        <v>111</v>
      </c>
      <c r="D280" s="117" t="s">
        <v>160</v>
      </c>
      <c r="E280" s="105" t="n">
        <v>1964</v>
      </c>
      <c r="F280" s="105" t="n">
        <v>1978</v>
      </c>
      <c r="G280" s="105" t="s">
        <v>68</v>
      </c>
      <c r="H280" s="105" t="n">
        <v>4</v>
      </c>
      <c r="I280" s="105" t="n">
        <v>4</v>
      </c>
      <c r="J280" s="106" t="n">
        <v>2691.4</v>
      </c>
      <c r="K280" s="106" t="n">
        <v>2511.6</v>
      </c>
      <c r="L280" s="106" t="n">
        <v>55</v>
      </c>
      <c r="M280" s="107" t="n">
        <v>136</v>
      </c>
      <c r="N280" s="108" t="n">
        <f aca="false" ca="false" dt2D="false" dtr="false" t="normal">SUM(P280:T280)</f>
        <v>942256.8300000001</v>
      </c>
      <c r="O280" s="114" t="n"/>
      <c r="P280" s="114" t="n">
        <v>213370.88</v>
      </c>
      <c r="Q280" s="114" t="n"/>
      <c r="R280" s="114" t="n">
        <v>364376.031</v>
      </c>
      <c r="S280" s="114" t="n">
        <v>364509.919</v>
      </c>
      <c r="T280" s="114" t="n"/>
      <c r="U280" s="114" t="n">
        <v>445.04048324984</v>
      </c>
      <c r="V280" s="114" t="n">
        <v>445.04048324984</v>
      </c>
      <c r="W280" s="185" t="n">
        <v>2023</v>
      </c>
      <c r="X280" s="9" t="e">
        <f aca="false" ca="false" dt2D="false" dtr="false" t="normal">+#REF!-'[9]Приложение №1'!$P1671</f>
        <v>#REF!</v>
      </c>
      <c r="Z280" s="113" t="n">
        <f aca="false" ca="false" dt2D="false" dtr="false" t="normal">SUM(AA280:AO280)</f>
        <v>27187931.99</v>
      </c>
      <c r="AA280" s="106" t="n">
        <v>5957834.67882876</v>
      </c>
      <c r="AB280" s="106" t="n">
        <v>2123021.42742732</v>
      </c>
      <c r="AC280" s="106" t="n">
        <v>2218085.01138252</v>
      </c>
      <c r="AD280" s="106" t="n">
        <v>1388661.45881064</v>
      </c>
      <c r="AE280" s="106" t="n">
        <v>849633.775137</v>
      </c>
      <c r="AF280" s="106" t="n"/>
      <c r="AG280" s="106" t="n">
        <v>228618.42683568</v>
      </c>
      <c r="AH280" s="106" t="n">
        <v>0</v>
      </c>
      <c r="AI280" s="106" t="n">
        <v>10891828.3075938</v>
      </c>
      <c r="AJ280" s="106" t="n">
        <v>0</v>
      </c>
      <c r="AK280" s="106" t="n">
        <v>0</v>
      </c>
      <c r="AL280" s="106" t="n">
        <v>0</v>
      </c>
      <c r="AM280" s="106" t="n">
        <v>2741023.9699</v>
      </c>
      <c r="AN280" s="114" t="n">
        <v>271879.3199</v>
      </c>
      <c r="AO280" s="115" t="n">
        <v>517345.61418428</v>
      </c>
      <c r="AP280" s="112" t="n">
        <f aca="false" ca="false" dt2D="false" dtr="false" t="normal">+N280-'Приложение №2'!E280</f>
        <v>0</v>
      </c>
      <c r="AQ280" s="9" t="n">
        <f aca="false" ca="false" dt2D="false" dtr="false" t="normal">1127947.91-R98</f>
        <v>96972.82999999996</v>
      </c>
      <c r="AR280" s="3" t="n">
        <f aca="false" ca="false" dt2D="false" dtr="false" t="normal">+(K280*10+L280*20)*12*0.85</f>
        <v>267403.2</v>
      </c>
      <c r="AS280" s="3" t="n">
        <f aca="false" ca="false" dt2D="false" dtr="false" t="normal">+(K280*10+L280*20)*12*30-1866218.37-S98</f>
        <v>550279.7199999997</v>
      </c>
      <c r="AT280" s="9" t="n">
        <f aca="false" ca="false" dt2D="false" dtr="false" t="normal">+S280-AS280</f>
        <v>-185769.80099999974</v>
      </c>
      <c r="AW280" s="113" t="n">
        <f aca="false" ca="true" dt2D="false" dtr="false" t="normal">SUBTOTAL(9, AX280:BL280)</f>
        <v>1142240.90430904</v>
      </c>
      <c r="AX280" s="106" t="n"/>
      <c r="AY280" s="106" t="n"/>
      <c r="AZ280" s="106" t="n">
        <v>902758.42</v>
      </c>
      <c r="BA280" s="106" t="n"/>
      <c r="BB280" s="106" t="n"/>
      <c r="BC280" s="106" t="n"/>
      <c r="BD280" s="106" t="n"/>
      <c r="BE280" s="106" t="n">
        <v>0</v>
      </c>
      <c r="BF280" s="106" t="n"/>
      <c r="BG280" s="106" t="n">
        <v>0</v>
      </c>
      <c r="BH280" s="106" t="n">
        <v>0</v>
      </c>
      <c r="BI280" s="106" t="n">
        <v>0</v>
      </c>
      <c r="BJ280" s="106" t="n"/>
      <c r="BK280" s="114" t="n"/>
      <c r="BL280" s="187" t="n">
        <v>239482.48430904</v>
      </c>
      <c r="BM280" s="113" t="n">
        <f aca="false" ca="true" dt2D="false" dtr="false" t="normal">SUBTOTAL(9, BN280:CB280)</f>
        <v>1181739.31430904</v>
      </c>
      <c r="BN280" s="106" t="n"/>
      <c r="BO280" s="106" t="n"/>
      <c r="BP280" s="106" t="n">
        <v>942256.83</v>
      </c>
      <c r="BQ280" s="106" t="n"/>
      <c r="BR280" s="106" t="n"/>
      <c r="BS280" s="106" t="n"/>
      <c r="BT280" s="106" t="n"/>
      <c r="BU280" s="106" t="n">
        <v>0</v>
      </c>
      <c r="BV280" s="106" t="n"/>
      <c r="BW280" s="106" t="n">
        <v>0</v>
      </c>
      <c r="BX280" s="106" t="n">
        <v>0</v>
      </c>
      <c r="BY280" s="106" t="n">
        <v>0</v>
      </c>
      <c r="BZ280" s="106" t="n"/>
      <c r="CA280" s="114" t="n"/>
      <c r="CB280" s="115" t="n">
        <v>239482.48430904</v>
      </c>
      <c r="CD280" s="116" t="n">
        <f aca="false" ca="false" dt2D="false" dtr="false" t="normal">+CD279+1</f>
        <v>261</v>
      </c>
      <c r="CE280" s="117" t="n">
        <f aca="false" ca="false" dt2D="false" dtr="false" t="normal">+CE279+1</f>
        <v>73</v>
      </c>
      <c r="CF280" s="104" t="s">
        <v>111</v>
      </c>
      <c r="CG280" s="117" t="s">
        <v>160</v>
      </c>
      <c r="CH280" s="118" t="n">
        <f aca="false" ca="true" dt2D="false" dtr="false" t="normal">SUBTOTAL(9, CI280:CW280)</f>
        <v>1181739.31430904</v>
      </c>
      <c r="CI280" s="114" t="n"/>
      <c r="CJ280" s="114" t="n"/>
      <c r="CK280" s="114" t="n">
        <v>942256.83</v>
      </c>
      <c r="CL280" s="114" t="n"/>
      <c r="CM280" s="114" t="n"/>
      <c r="CN280" s="114" t="n"/>
      <c r="CO280" s="114" t="n"/>
      <c r="CP280" s="114" t="n">
        <v>0</v>
      </c>
      <c r="CQ280" s="114" t="n"/>
      <c r="CR280" s="114" t="n">
        <v>0</v>
      </c>
      <c r="CS280" s="114" t="n">
        <v>0</v>
      </c>
      <c r="CT280" s="114" t="n">
        <v>0</v>
      </c>
      <c r="CU280" s="114" t="n"/>
      <c r="CV280" s="114" t="n"/>
      <c r="CW280" s="115" t="n">
        <v>239482.48430904</v>
      </c>
      <c r="CZ280" s="117" t="s">
        <v>160</v>
      </c>
      <c r="DA280" s="119" t="n">
        <f aca="false" ca="true" dt2D="false" dtr="false" t="normal">SUBTOTAL(9, DB280:DP280)</f>
        <v>942256.83</v>
      </c>
      <c r="DB280" s="114" t="n"/>
      <c r="DC280" s="114" t="n"/>
      <c r="DD280" s="114" t="n">
        <v>942256.83</v>
      </c>
      <c r="DE280" s="114" t="n"/>
      <c r="DF280" s="114" t="n"/>
      <c r="DG280" s="114" t="n"/>
      <c r="DH280" s="114" t="n"/>
      <c r="DI280" s="114" t="n">
        <v>0</v>
      </c>
      <c r="DJ280" s="114" t="n"/>
      <c r="DK280" s="114" t="n">
        <v>0</v>
      </c>
      <c r="DL280" s="114" t="n">
        <v>0</v>
      </c>
      <c r="DM280" s="114" t="n">
        <v>0</v>
      </c>
      <c r="DN280" s="114" t="n"/>
      <c r="DO280" s="114" t="n"/>
      <c r="DP280" s="122" t="n"/>
      <c r="DQ280" s="3" t="n">
        <f aca="false" ca="false" dt2D="false" dtr="false" t="normal">N280-DA280</f>
        <v>0</v>
      </c>
      <c r="DS280" s="9" t="n"/>
    </row>
    <row hidden="false" ht="15" outlineLevel="0" r="281">
      <c r="A281" s="183" t="n">
        <f aca="false" ca="false" dt2D="false" dtr="false" t="normal">+A280+1</f>
        <v>262</v>
      </c>
      <c r="B281" s="184" t="n">
        <f aca="false" ca="false" dt2D="false" dtr="false" t="normal">+B280+1</f>
        <v>74</v>
      </c>
      <c r="C281" s="117" t="s">
        <v>111</v>
      </c>
      <c r="D281" s="117" t="s">
        <v>364</v>
      </c>
      <c r="E281" s="105" t="n">
        <v>1988</v>
      </c>
      <c r="F281" s="105" t="n">
        <v>2013</v>
      </c>
      <c r="G281" s="105" t="s">
        <v>68</v>
      </c>
      <c r="H281" s="105" t="n">
        <v>3</v>
      </c>
      <c r="I281" s="105" t="n">
        <v>3</v>
      </c>
      <c r="J281" s="106" t="n">
        <v>1440</v>
      </c>
      <c r="K281" s="106" t="n">
        <v>1362.6</v>
      </c>
      <c r="L281" s="106" t="n">
        <v>0</v>
      </c>
      <c r="M281" s="107" t="n">
        <v>54</v>
      </c>
      <c r="N281" s="108" t="n">
        <f aca="false" ca="false" dt2D="false" dtr="false" t="normal">SUM(P281:T281)</f>
        <v>4053130.36</v>
      </c>
      <c r="O281" s="114" t="n"/>
      <c r="P281" s="114" t="n">
        <v>3695737.61</v>
      </c>
      <c r="Q281" s="114" t="n"/>
      <c r="R281" s="114" t="n">
        <v>145934.46</v>
      </c>
      <c r="S281" s="114" t="n">
        <v>211458.29</v>
      </c>
      <c r="T281" s="114" t="n"/>
      <c r="U281" s="106" t="n">
        <v>11914.719398173</v>
      </c>
      <c r="V281" s="106" t="n">
        <v>11914.719398173</v>
      </c>
      <c r="W281" s="185" t="n">
        <v>2023</v>
      </c>
      <c r="X281" s="9" t="e">
        <f aca="false" ca="false" dt2D="false" dtr="false" t="normal">+#REF!-'[9]Приложение №1'!$P1073</f>
        <v>#REF!</v>
      </c>
      <c r="Z281" s="113" t="n">
        <f aca="false" ca="false" dt2D="false" dtr="false" t="normal">SUM(AA281:AO281)</f>
        <v>25083426.917270396</v>
      </c>
      <c r="AA281" s="106" t="n">
        <v>4525107.22596694</v>
      </c>
      <c r="AB281" s="106" t="n">
        <v>2796445.91115807</v>
      </c>
      <c r="AC281" s="106" t="n">
        <v>1312542.35195631</v>
      </c>
      <c r="AD281" s="106" t="n">
        <v>1144056.11894347</v>
      </c>
      <c r="AE281" s="106" t="n">
        <v>736445.82144</v>
      </c>
      <c r="AF281" s="106" t="n"/>
      <c r="AG281" s="106" t="n">
        <v>433409.41392</v>
      </c>
      <c r="AH281" s="106" t="n">
        <v>0</v>
      </c>
      <c r="AI281" s="106" t="n">
        <v>13331310.2724316</v>
      </c>
      <c r="AJ281" s="106" t="n">
        <v>0</v>
      </c>
      <c r="AK281" s="106" t="n">
        <v>0</v>
      </c>
      <c r="AL281" s="106" t="n">
        <v>0</v>
      </c>
      <c r="AM281" s="106" t="n">
        <v>225241.67</v>
      </c>
      <c r="AN281" s="106" t="n">
        <v>47928.64</v>
      </c>
      <c r="AO281" s="115" t="n">
        <v>530939.491454</v>
      </c>
      <c r="AP281" s="112" t="n">
        <f aca="false" ca="false" dt2D="false" dtr="false" t="normal">+N281-'Приложение №2'!E639</f>
        <v>-5304938.290000001</v>
      </c>
      <c r="AQ281" s="121" t="e">
        <f aca="false" ca="false" dt2D="false" dtr="false" t="normal">737152.83-#REF!</f>
        <v>#REF!</v>
      </c>
      <c r="AR281" s="3" t="n">
        <f aca="false" ca="false" dt2D="false" dtr="false" t="normal">+(K281*10.5+L281*21)*12*0.85</f>
        <v>145934.45999999996</v>
      </c>
      <c r="AS281" s="3" t="e">
        <f aca="false" ca="false" dt2D="false" dtr="false" t="normal">+(K281*10.5+L281*21)*12*30-#REF!</f>
        <v>#REF!</v>
      </c>
      <c r="AT281" s="9" t="e">
        <f aca="false" ca="false" dt2D="false" dtr="false" t="normal">+S281-AS281</f>
        <v>#REF!</v>
      </c>
      <c r="AU281" s="9" t="e">
        <f aca="false" ca="false" dt2D="false" dtr="false" t="normal">+P281-'[5]Приложение №1'!$P584</f>
        <v>#REF!</v>
      </c>
      <c r="AV281" s="9" t="e">
        <f aca="false" ca="false" dt2D="false" dtr="false" t="normal">+Q281-'[5]Приложение №1'!$Q584</f>
        <v>#REF!</v>
      </c>
      <c r="AW281" s="186" t="n">
        <f aca="false" ca="true" dt2D="false" dtr="false" t="normal">SUBTOTAL(9, AX281:BL281)</f>
        <v>16234996.65195058</v>
      </c>
      <c r="AX281" s="106" t="n"/>
      <c r="AY281" s="106" t="n"/>
      <c r="AZ281" s="106" t="n"/>
      <c r="BA281" s="106" t="n"/>
      <c r="BB281" s="106" t="n"/>
      <c r="BC281" s="106" t="n"/>
      <c r="BD281" s="106" t="n"/>
      <c r="BE281" s="106" t="n">
        <v>0</v>
      </c>
      <c r="BF281" s="106" t="n">
        <v>13331310.2724316</v>
      </c>
      <c r="BG281" s="106" t="n">
        <v>0</v>
      </c>
      <c r="BH281" s="106" t="n">
        <v>0</v>
      </c>
      <c r="BI281" s="106" t="n">
        <v>0</v>
      </c>
      <c r="BJ281" s="106" t="n">
        <v>2193617.8228</v>
      </c>
      <c r="BK281" s="106" t="n">
        <v>242740.9665</v>
      </c>
      <c r="BL281" s="187" t="n">
        <v>467327.59021898</v>
      </c>
      <c r="BM281" s="186" t="n">
        <f aca="false" ca="true" dt2D="false" dtr="false" t="normal">SUBTOTAL(9, BN281:CB281)</f>
        <v>16234996.65195058</v>
      </c>
      <c r="BN281" s="106" t="n"/>
      <c r="BO281" s="106" t="n"/>
      <c r="BP281" s="106" t="n"/>
      <c r="BQ281" s="106" t="n"/>
      <c r="BR281" s="106" t="n"/>
      <c r="BS281" s="106" t="n"/>
      <c r="BT281" s="106" t="n"/>
      <c r="BU281" s="106" t="n">
        <v>0</v>
      </c>
      <c r="BV281" s="106" t="n">
        <v>13331310.2724316</v>
      </c>
      <c r="BW281" s="106" t="n">
        <v>0</v>
      </c>
      <c r="BX281" s="106" t="n">
        <v>0</v>
      </c>
      <c r="BY281" s="106" t="n">
        <v>0</v>
      </c>
      <c r="BZ281" s="106" t="n">
        <v>2193617.8228</v>
      </c>
      <c r="CA281" s="106" t="n">
        <v>242740.9665</v>
      </c>
      <c r="CB281" s="115" t="n">
        <v>467327.59021898</v>
      </c>
      <c r="CD281" s="116" t="n">
        <f aca="false" ca="false" dt2D="false" dtr="false" t="normal">+CD280+1</f>
        <v>262</v>
      </c>
      <c r="CE281" s="117" t="n">
        <f aca="false" ca="false" dt2D="false" dtr="false" t="normal">+CE280+1</f>
        <v>74</v>
      </c>
      <c r="CF281" s="104" t="s">
        <v>111</v>
      </c>
      <c r="CG281" s="117" t="s">
        <v>364</v>
      </c>
      <c r="CH281" s="188" t="n">
        <f aca="false" ca="true" dt2D="false" dtr="false" t="normal">SUBTOTAL(9, CI281:CW281)</f>
        <v>4520457.95021898</v>
      </c>
      <c r="CI281" s="114" t="n"/>
      <c r="CJ281" s="114" t="n"/>
      <c r="CK281" s="114" t="n"/>
      <c r="CL281" s="114" t="n"/>
      <c r="CM281" s="114" t="n"/>
      <c r="CN281" s="114" t="n"/>
      <c r="CO281" s="114" t="n"/>
      <c r="CP281" s="114" t="n">
        <v>0</v>
      </c>
      <c r="CQ281" s="114" t="n">
        <v>4009059.65</v>
      </c>
      <c r="CR281" s="114" t="n">
        <v>0</v>
      </c>
      <c r="CS281" s="114" t="n">
        <v>0</v>
      </c>
      <c r="CT281" s="114" t="n">
        <v>0</v>
      </c>
      <c r="CU281" s="114" t="n">
        <v>39270.71</v>
      </c>
      <c r="CV281" s="114" t="n">
        <v>4800</v>
      </c>
      <c r="CW281" s="115" t="n">
        <v>467327.59021898</v>
      </c>
      <c r="CZ281" s="117" t="s">
        <v>364</v>
      </c>
      <c r="DA281" s="189" t="n">
        <f aca="false" ca="true" dt2D="false" dtr="false" t="normal">SUBTOTAL(9, DB281:DP281)</f>
        <v>4053130.36</v>
      </c>
      <c r="DB281" s="114" t="n"/>
      <c r="DC281" s="114" t="n"/>
      <c r="DD281" s="114" t="n"/>
      <c r="DE281" s="114" t="n"/>
      <c r="DF281" s="114" t="n"/>
      <c r="DG281" s="114" t="n"/>
      <c r="DH281" s="114" t="n"/>
      <c r="DI281" s="114" t="n">
        <v>0</v>
      </c>
      <c r="DJ281" s="114" t="n">
        <v>4009059.65</v>
      </c>
      <c r="DK281" s="114" t="n">
        <v>0</v>
      </c>
      <c r="DL281" s="114" t="n">
        <v>0</v>
      </c>
      <c r="DM281" s="114" t="n">
        <v>0</v>
      </c>
      <c r="DN281" s="114" t="n">
        <v>39270.71</v>
      </c>
      <c r="DO281" s="114" t="n">
        <v>4800</v>
      </c>
      <c r="DP281" s="122" t="n"/>
      <c r="DQ281" s="3" t="n">
        <f aca="false" ca="false" dt2D="false" dtr="false" t="normal">N281-DA281</f>
        <v>0</v>
      </c>
      <c r="DS281" s="9" t="n"/>
    </row>
    <row customFormat="true" hidden="false" ht="15" outlineLevel="0" r="282" s="129">
      <c r="A282" s="183" t="n">
        <f aca="false" ca="false" dt2D="false" dtr="false" t="normal">+A281+1</f>
        <v>263</v>
      </c>
      <c r="B282" s="184" t="n">
        <f aca="false" ca="false" dt2D="false" dtr="false" t="normal">+B281+1</f>
        <v>75</v>
      </c>
      <c r="C282" s="104" t="s">
        <v>184</v>
      </c>
      <c r="D282" s="104" t="s">
        <v>365</v>
      </c>
      <c r="E282" s="105" t="s">
        <v>331</v>
      </c>
      <c r="F282" s="105" t="n"/>
      <c r="G282" s="105" t="s">
        <v>68</v>
      </c>
      <c r="H282" s="105" t="s">
        <v>126</v>
      </c>
      <c r="I282" s="105" t="s">
        <v>187</v>
      </c>
      <c r="J282" s="106" t="n">
        <v>10278.6</v>
      </c>
      <c r="K282" s="106" t="n">
        <v>9679.9</v>
      </c>
      <c r="L282" s="106" t="n">
        <v>0</v>
      </c>
      <c r="M282" s="107" t="n">
        <v>304</v>
      </c>
      <c r="N282" s="108" t="n">
        <f aca="false" ca="false" dt2D="false" dtr="false" t="normal">SUM(P282:T282)</f>
        <v>14089697.18</v>
      </c>
      <c r="O282" s="106" t="n">
        <v>0</v>
      </c>
      <c r="P282" s="114" t="n"/>
      <c r="Q282" s="114" t="n">
        <v>0</v>
      </c>
      <c r="R282" s="114" t="n">
        <v>7645478.05454497</v>
      </c>
      <c r="S282" s="114" t="n">
        <v>6444219.12545503</v>
      </c>
      <c r="T282" s="114" t="n"/>
      <c r="U282" s="114" t="n">
        <v>1488.95955927893</v>
      </c>
      <c r="V282" s="114" t="n">
        <v>1305.283020064</v>
      </c>
      <c r="W282" s="185" t="n">
        <v>2023</v>
      </c>
      <c r="X282" s="129" t="n">
        <v>4555600.23</v>
      </c>
      <c r="Y282" s="129" t="n">
        <f aca="false" ca="false" dt2D="false" dtr="false" t="normal">+(K282*12.08+L282*20.47)*12</f>
        <v>1403198.304</v>
      </c>
      <c r="AA282" s="130" t="e">
        <f aca="false" ca="false" dt2D="false" dtr="false" t="normal">+N282-'[8]Приложение № 2'!E553</f>
        <v>#REF!</v>
      </c>
      <c r="AD282" s="130" t="e">
        <f aca="false" ca="false" dt2D="false" dtr="false" t="normal">+N282-'[8]Приложение № 2'!E553</f>
        <v>#REF!</v>
      </c>
      <c r="AP282" s="112" t="n">
        <f aca="false" ca="false" dt2D="false" dtr="false" t="normal">+N282-'Приложение №2'!E282</f>
        <v>0</v>
      </c>
      <c r="AQ282" s="121" t="n">
        <v>7426786.34</v>
      </c>
      <c r="AR282" s="3" t="n">
        <f aca="false" ca="false" dt2D="false" dtr="false" t="normal">+(K282*13.95+L282*23.65)*12*0.85</f>
        <v>1377352.9709999997</v>
      </c>
      <c r="AS282" s="3" t="n">
        <f aca="false" ca="false" dt2D="false" dtr="false" t="normal">+(K282*13.95+L282*23.65)*12*30</f>
        <v>48612457.8</v>
      </c>
      <c r="AT282" s="9" t="n">
        <f aca="false" ca="false" dt2D="false" dtr="false" t="normal">+S282-AS282</f>
        <v>-42168238.67454497</v>
      </c>
      <c r="AU282" s="9" t="e">
        <f aca="false" ca="false" dt2D="false" dtr="false" t="normal">+P282-'[5]Приложение №1'!$P588</f>
        <v>#REF!</v>
      </c>
      <c r="AV282" s="9" t="e">
        <f aca="false" ca="false" dt2D="false" dtr="false" t="normal">+Q282-'[5]Приложение №1'!$Q588</f>
        <v>#REF!</v>
      </c>
      <c r="AW282" s="186" t="n">
        <f aca="false" ca="true" dt2D="false" dtr="false" t="normal">SUBTOTAL(9, AX282:BL282)</f>
        <v>14412979.637864092</v>
      </c>
      <c r="AX282" s="106" t="n"/>
      <c r="AY282" s="106" t="n"/>
      <c r="AZ282" s="106" t="n"/>
      <c r="BA282" s="106" t="n"/>
      <c r="BB282" s="106" t="n"/>
      <c r="BC282" s="106" t="n"/>
      <c r="BD282" s="106" t="n"/>
      <c r="BE282" s="106" t="n">
        <v>13862649.6</v>
      </c>
      <c r="BF282" s="106" t="n"/>
      <c r="BG282" s="106" t="n"/>
      <c r="BH282" s="106" t="n"/>
      <c r="BI282" s="106" t="n"/>
      <c r="BJ282" s="106" t="n">
        <v>224221.563319122</v>
      </c>
      <c r="BK282" s="114" t="n">
        <v>24000</v>
      </c>
      <c r="BL282" s="187" t="n">
        <v>302108.474544971</v>
      </c>
      <c r="BM282" s="186" t="n">
        <f aca="false" ca="true" dt2D="false" dtr="false" t="normal">SUBTOTAL(9, BN282:CB282)</f>
        <v>14412979.637864092</v>
      </c>
      <c r="BN282" s="106" t="n"/>
      <c r="BO282" s="106" t="n"/>
      <c r="BP282" s="106" t="n"/>
      <c r="BQ282" s="106" t="n"/>
      <c r="BR282" s="106" t="n"/>
      <c r="BS282" s="106" t="n"/>
      <c r="BT282" s="106" t="n"/>
      <c r="BU282" s="106" t="n">
        <v>13862649.6</v>
      </c>
      <c r="BV282" s="106" t="n"/>
      <c r="BW282" s="106" t="n"/>
      <c r="BX282" s="106" t="n"/>
      <c r="BY282" s="106" t="n"/>
      <c r="BZ282" s="106" t="n">
        <v>224221.563319122</v>
      </c>
      <c r="CA282" s="114" t="n">
        <v>24000</v>
      </c>
      <c r="CB282" s="115" t="n">
        <v>302108.474544971</v>
      </c>
      <c r="CD282" s="116" t="n">
        <f aca="false" ca="false" dt2D="false" dtr="false" t="normal">+CD281+1</f>
        <v>263</v>
      </c>
      <c r="CE282" s="117" t="n">
        <f aca="false" ca="false" dt2D="false" dtr="false" t="normal">+CE281+1</f>
        <v>75</v>
      </c>
      <c r="CF282" s="104" t="s">
        <v>111</v>
      </c>
      <c r="CG282" s="117" t="s">
        <v>365</v>
      </c>
      <c r="CH282" s="188" t="n">
        <f aca="false" ca="true" dt2D="false" dtr="false" t="normal">SUBTOTAL(9, CI282:CW282)</f>
        <v>14391805.65454497</v>
      </c>
      <c r="CI282" s="114" t="n"/>
      <c r="CJ282" s="114" t="n"/>
      <c r="CK282" s="114" t="n"/>
      <c r="CL282" s="114" t="n"/>
      <c r="CM282" s="114" t="n"/>
      <c r="CN282" s="114" t="n"/>
      <c r="CO282" s="114" t="n"/>
      <c r="CP282" s="114" t="n">
        <v>13862649.6</v>
      </c>
      <c r="CQ282" s="114" t="n"/>
      <c r="CR282" s="114" t="n"/>
      <c r="CS282" s="114" t="n"/>
      <c r="CT282" s="114" t="n"/>
      <c r="CU282" s="114" t="n">
        <v>203887.58</v>
      </c>
      <c r="CV282" s="114" t="n">
        <v>23160</v>
      </c>
      <c r="CW282" s="115" t="n">
        <v>302108.474544971</v>
      </c>
      <c r="CZ282" s="117" t="s">
        <v>365</v>
      </c>
      <c r="DA282" s="189" t="n">
        <f aca="false" ca="true" dt2D="false" dtr="false" t="normal">SUBTOTAL(9, DB282:DP282)</f>
        <v>14089697.18</v>
      </c>
      <c r="DB282" s="114" t="n"/>
      <c r="DC282" s="114" t="n"/>
      <c r="DD282" s="114" t="n"/>
      <c r="DE282" s="114" t="n"/>
      <c r="DF282" s="114" t="n"/>
      <c r="DG282" s="114" t="n"/>
      <c r="DH282" s="114" t="n"/>
      <c r="DI282" s="114" t="n">
        <v>13862649.6</v>
      </c>
      <c r="DJ282" s="114" t="n"/>
      <c r="DK282" s="114" t="n"/>
      <c r="DL282" s="114" t="n"/>
      <c r="DM282" s="114" t="n"/>
      <c r="DN282" s="114" t="n">
        <v>203887.58</v>
      </c>
      <c r="DO282" s="114" t="n">
        <v>23160</v>
      </c>
      <c r="DP282" s="122" t="n"/>
      <c r="DQ282" s="3" t="n">
        <f aca="false" ca="false" dt2D="false" dtr="false" t="normal">N282-DA282</f>
        <v>0</v>
      </c>
      <c r="DS282" s="9" t="n"/>
    </row>
    <row hidden="false" ht="15" outlineLevel="0" r="283">
      <c r="A283" s="183" t="n">
        <f aca="false" ca="false" dt2D="false" dtr="false" t="normal">+A282+1</f>
        <v>264</v>
      </c>
      <c r="B283" s="184" t="n">
        <f aca="false" ca="false" dt2D="false" dtr="false" t="normal">+B282+1</f>
        <v>76</v>
      </c>
      <c r="C283" s="104" t="s">
        <v>111</v>
      </c>
      <c r="D283" s="104" t="s">
        <v>165</v>
      </c>
      <c r="E283" s="105" t="n">
        <v>1979</v>
      </c>
      <c r="F283" s="105" t="n">
        <v>2013</v>
      </c>
      <c r="G283" s="105" t="s">
        <v>68</v>
      </c>
      <c r="H283" s="105" t="n">
        <v>4</v>
      </c>
      <c r="I283" s="105" t="n">
        <v>4</v>
      </c>
      <c r="J283" s="106" t="n">
        <v>3969.95</v>
      </c>
      <c r="K283" s="106" t="n">
        <v>3453.7</v>
      </c>
      <c r="L283" s="106" t="n">
        <v>0</v>
      </c>
      <c r="M283" s="107" t="n">
        <v>154</v>
      </c>
      <c r="N283" s="108" t="n">
        <f aca="false" ca="false" dt2D="false" dtr="false" t="normal">SUM(P283:T283)</f>
        <v>1843690.17</v>
      </c>
      <c r="O283" s="106" t="n"/>
      <c r="P283" s="114" t="n"/>
      <c r="Q283" s="114" t="n"/>
      <c r="R283" s="114" t="n">
        <v>1705810.55</v>
      </c>
      <c r="S283" s="114" t="n">
        <v>137879.62</v>
      </c>
      <c r="T283" s="106" t="n"/>
      <c r="U283" s="114" t="n">
        <v>613.363342501665</v>
      </c>
      <c r="V283" s="114" t="n">
        <v>613.363342501665</v>
      </c>
      <c r="W283" s="185" t="n">
        <v>2023</v>
      </c>
      <c r="X283" s="9" t="e">
        <f aca="false" ca="false" dt2D="false" dtr="false" t="normal">+#REF!-'[9]Приложение №1'!$P1280</f>
        <v>#REF!</v>
      </c>
      <c r="Z283" s="113" t="n">
        <f aca="false" ca="false" dt2D="false" dtr="false" t="normal">SUM(AA283:AO283)</f>
        <v>19594173.580000002</v>
      </c>
      <c r="AA283" s="106" t="n">
        <v>5813706.70579062</v>
      </c>
      <c r="AB283" s="106" t="n">
        <v>3362225.52619968</v>
      </c>
      <c r="AC283" s="106" t="n">
        <v>3554121.3229788</v>
      </c>
      <c r="AD283" s="106" t="n">
        <v>2710047.7279638</v>
      </c>
      <c r="AE283" s="106" t="n">
        <v>1082608.58724984</v>
      </c>
      <c r="AF283" s="106" t="n"/>
      <c r="AG283" s="106" t="n">
        <v>288881.55977184</v>
      </c>
      <c r="AH283" s="106" t="n">
        <v>0</v>
      </c>
      <c r="AI283" s="106" t="n">
        <v>0</v>
      </c>
      <c r="AJ283" s="106" t="n">
        <v>0</v>
      </c>
      <c r="AK283" s="106" t="n">
        <v>0</v>
      </c>
      <c r="AL283" s="106" t="n">
        <v>0</v>
      </c>
      <c r="AM283" s="106" t="n">
        <v>2219004.9589</v>
      </c>
      <c r="AN283" s="114" t="n">
        <v>195941.7358</v>
      </c>
      <c r="AO283" s="115" t="n">
        <v>367635.45534542</v>
      </c>
      <c r="AP283" s="112" t="n">
        <f aca="false" ca="false" dt2D="false" dtr="false" t="normal">+N283-'Приложение №2'!E283</f>
        <v>0</v>
      </c>
      <c r="AQ283" s="1" t="n">
        <v>1455712.65</v>
      </c>
      <c r="AR283" s="3" t="n">
        <f aca="false" ca="false" dt2D="false" dtr="false" t="normal">+(K283*10+L283*20)*12*0.85</f>
        <v>352277.39999999997</v>
      </c>
      <c r="AS283" s="3" t="n">
        <f aca="false" ca="false" dt2D="false" dtr="false" t="normal">+(K283*10+L283*20)*12*30</f>
        <v>12433320</v>
      </c>
      <c r="AT283" s="9" t="n">
        <f aca="false" ca="false" dt2D="false" dtr="false" t="normal">+S283-AS283</f>
        <v>-12295440.38</v>
      </c>
      <c r="AU283" s="9" t="e">
        <f aca="false" ca="false" dt2D="false" dtr="false" t="normal">+P283-'[5]Приложение №1'!$P296</f>
        <v>#REF!</v>
      </c>
      <c r="AV283" s="9" t="e">
        <f aca="false" ca="false" dt2D="false" dtr="false" t="normal">+Q283-'[5]Приложение №1'!$Q296</f>
        <v>#REF!</v>
      </c>
      <c r="AW283" s="113" t="n">
        <f aca="false" ca="true" dt2D="false" dtr="false" t="normal">SUBTOTAL(9, AX283:BL283)</f>
        <v>2118372.975998</v>
      </c>
      <c r="AX283" s="106" t="n"/>
      <c r="AY283" s="106" t="n"/>
      <c r="AZ283" s="106" t="n">
        <v>1824432.9</v>
      </c>
      <c r="BA283" s="106" t="n"/>
      <c r="BB283" s="106" t="n"/>
      <c r="BC283" s="106" t="n"/>
      <c r="BD283" s="106" t="n"/>
      <c r="BE283" s="106" t="n">
        <v>0</v>
      </c>
      <c r="BF283" s="106" t="n">
        <v>0</v>
      </c>
      <c r="BG283" s="106" t="n">
        <v>0</v>
      </c>
      <c r="BH283" s="106" t="n">
        <v>0</v>
      </c>
      <c r="BI283" s="106" t="n">
        <v>0</v>
      </c>
      <c r="BJ283" s="106" t="n"/>
      <c r="BK283" s="114" t="n"/>
      <c r="BL283" s="187" t="n">
        <v>293940.075998</v>
      </c>
      <c r="BM283" s="113" t="n">
        <f aca="false" ca="true" dt2D="false" dtr="false" t="normal">SUBTOTAL(9, BN283:CB283)</f>
        <v>2118372.975998</v>
      </c>
      <c r="BN283" s="106" t="n"/>
      <c r="BO283" s="106" t="n"/>
      <c r="BP283" s="106" t="n">
        <v>1824432.9</v>
      </c>
      <c r="BQ283" s="106" t="n"/>
      <c r="BR283" s="106" t="n"/>
      <c r="BS283" s="106" t="n"/>
      <c r="BT283" s="106" t="n"/>
      <c r="BU283" s="106" t="n">
        <v>0</v>
      </c>
      <c r="BV283" s="106" t="n">
        <v>0</v>
      </c>
      <c r="BW283" s="106" t="n">
        <v>0</v>
      </c>
      <c r="BX283" s="106" t="n">
        <v>0</v>
      </c>
      <c r="BY283" s="106" t="n">
        <v>0</v>
      </c>
      <c r="BZ283" s="106" t="n"/>
      <c r="CA283" s="114" t="n"/>
      <c r="CB283" s="115" t="n">
        <v>293940.075998</v>
      </c>
      <c r="CD283" s="116" t="n">
        <f aca="false" ca="false" dt2D="false" dtr="false" t="normal">+CD282+1</f>
        <v>264</v>
      </c>
      <c r="CE283" s="117" t="n">
        <f aca="false" ca="false" dt2D="false" dtr="false" t="normal">+CE282+1</f>
        <v>76</v>
      </c>
      <c r="CF283" s="104" t="s">
        <v>111</v>
      </c>
      <c r="CG283" s="117" t="s">
        <v>165</v>
      </c>
      <c r="CH283" s="118" t="n">
        <f aca="false" ca="true" dt2D="false" dtr="false" t="normal">SUBTOTAL(9, CI283:CW283)</f>
        <v>2118372.975998</v>
      </c>
      <c r="CI283" s="114" t="n"/>
      <c r="CJ283" s="114" t="n"/>
      <c r="CK283" s="114" t="n">
        <v>1824432.9</v>
      </c>
      <c r="CL283" s="114" t="n"/>
      <c r="CM283" s="114" t="n"/>
      <c r="CN283" s="114" t="n"/>
      <c r="CO283" s="114" t="n"/>
      <c r="CP283" s="114" t="n">
        <v>0</v>
      </c>
      <c r="CQ283" s="114" t="n">
        <v>0</v>
      </c>
      <c r="CR283" s="114" t="n">
        <v>0</v>
      </c>
      <c r="CS283" s="114" t="n">
        <v>0</v>
      </c>
      <c r="CT283" s="114" t="n">
        <v>0</v>
      </c>
      <c r="CU283" s="114" t="n"/>
      <c r="CV283" s="114" t="n"/>
      <c r="CW283" s="115" t="n">
        <v>293940.075998</v>
      </c>
      <c r="CZ283" s="117" t="s">
        <v>165</v>
      </c>
      <c r="DA283" s="119" t="n">
        <f aca="false" ca="true" dt2D="false" dtr="false" t="normal">SUBTOTAL(9, DB283:DP283)</f>
        <v>1843690.17</v>
      </c>
      <c r="DB283" s="114" t="n"/>
      <c r="DC283" s="114" t="n"/>
      <c r="DD283" s="114" t="n">
        <v>1824432.9</v>
      </c>
      <c r="DE283" s="114" t="n"/>
      <c r="DF283" s="114" t="n"/>
      <c r="DG283" s="114" t="n"/>
      <c r="DH283" s="114" t="n"/>
      <c r="DI283" s="114" t="n">
        <v>0</v>
      </c>
      <c r="DJ283" s="114" t="n">
        <v>0</v>
      </c>
      <c r="DK283" s="114" t="n">
        <v>0</v>
      </c>
      <c r="DL283" s="114" t="n">
        <v>0</v>
      </c>
      <c r="DM283" s="114" t="n">
        <v>0</v>
      </c>
      <c r="DN283" s="114" t="n"/>
      <c r="DO283" s="114" t="n"/>
      <c r="DP283" s="120" t="n">
        <v>19257.27</v>
      </c>
      <c r="DQ283" s="3" t="n">
        <f aca="false" ca="false" dt2D="false" dtr="false" t="normal">N283-DA283</f>
        <v>0</v>
      </c>
      <c r="DS283" s="9" t="n"/>
    </row>
    <row customFormat="true" hidden="false" ht="15" outlineLevel="0" r="284" s="129">
      <c r="A284" s="183" t="n">
        <f aca="false" ca="false" dt2D="false" dtr="false" t="normal">+A283+1</f>
        <v>265</v>
      </c>
      <c r="B284" s="184" t="n">
        <f aca="false" ca="false" dt2D="false" dtr="false" t="normal">+B283+1</f>
        <v>77</v>
      </c>
      <c r="C284" s="104" t="s">
        <v>184</v>
      </c>
      <c r="D284" s="104" t="s">
        <v>366</v>
      </c>
      <c r="E284" s="105" t="s">
        <v>367</v>
      </c>
      <c r="F284" s="105" t="n"/>
      <c r="G284" s="105" t="s">
        <v>68</v>
      </c>
      <c r="H284" s="105" t="s">
        <v>187</v>
      </c>
      <c r="I284" s="105" t="s">
        <v>105</v>
      </c>
      <c r="J284" s="106" t="n">
        <v>2017.1</v>
      </c>
      <c r="K284" s="106" t="n">
        <v>1568.7</v>
      </c>
      <c r="L284" s="106" t="n">
        <v>241.9</v>
      </c>
      <c r="M284" s="107" t="n">
        <v>64</v>
      </c>
      <c r="N284" s="108" t="n">
        <f aca="false" ca="false" dt2D="false" dtr="false" t="normal">SUM(P284:T284)</f>
        <v>7026376.8</v>
      </c>
      <c r="O284" s="106" t="n">
        <v>0</v>
      </c>
      <c r="P284" s="114" t="n"/>
      <c r="Q284" s="114" t="n">
        <v>0</v>
      </c>
      <c r="R284" s="114" t="n">
        <v>1239934.29</v>
      </c>
      <c r="S284" s="114" t="n">
        <v>5786442.51</v>
      </c>
      <c r="T284" s="114" t="n"/>
      <c r="U284" s="106" t="n">
        <v>8296.64879648377</v>
      </c>
      <c r="V284" s="106" t="n">
        <v>8296.64879648377</v>
      </c>
      <c r="W284" s="185" t="n">
        <v>2023</v>
      </c>
      <c r="X284" s="129" t="n">
        <v>737547.36</v>
      </c>
      <c r="Y284" s="129" t="n">
        <f aca="false" ca="false" dt2D="false" dtr="false" t="normal">+(K284*9.1+L284*18.19)*12</f>
        <v>224103.97199999998</v>
      </c>
      <c r="AA284" s="130" t="e">
        <f aca="false" ca="false" dt2D="false" dtr="false" t="normal">+N284-'[8]Приложение № 2'!E283</f>
        <v>#REF!</v>
      </c>
      <c r="AD284" s="130" t="e">
        <f aca="false" ca="false" dt2D="false" dtr="false" t="normal">+N284-'[8]Приложение № 2'!E283</f>
        <v>#REF!</v>
      </c>
      <c r="AP284" s="112" t="n">
        <f aca="false" ca="false" dt2D="false" dtr="false" t="normal">+N284-'Приложение №2'!E284</f>
        <v>0</v>
      </c>
      <c r="AQ284" s="129" t="n">
        <v>1030579.29</v>
      </c>
      <c r="AR284" s="3" t="n">
        <f aca="false" ca="false" dt2D="false" dtr="false" t="normal">+(K284*10+L284*20)*12*0.85</f>
        <v>209355</v>
      </c>
      <c r="AS284" s="3" t="n">
        <f aca="false" ca="false" dt2D="false" dtr="false" t="normal">+(K284*10+L284*20)*12*30</f>
        <v>7389000</v>
      </c>
      <c r="AT284" s="9" t="n">
        <f aca="false" ca="false" dt2D="false" dtr="false" t="normal">+S284-AS284</f>
        <v>-1602557.4900000002</v>
      </c>
      <c r="AU284" s="9" t="e">
        <f aca="false" ca="false" dt2D="false" dtr="false" t="normal">+P284-'[5]Приложение №1'!$P298</f>
        <v>#REF!</v>
      </c>
      <c r="AV284" s="9" t="e">
        <f aca="false" ca="false" dt2D="false" dtr="false" t="normal">+Q284-'[5]Приложение №1'!$Q298</f>
        <v>#REF!</v>
      </c>
      <c r="AW284" s="113" t="n">
        <f aca="false" ca="true" dt2D="false" dtr="false" t="normal">SUBTOTAL(9, AX284:BL284)</f>
        <v>15021912.310913512</v>
      </c>
      <c r="AX284" s="106" t="n"/>
      <c r="AY284" s="106" t="n">
        <v>1579170.2788891</v>
      </c>
      <c r="AZ284" s="106" t="n">
        <v>1749764.97761738</v>
      </c>
      <c r="BA284" s="106" t="n">
        <v>1033837.3260811</v>
      </c>
      <c r="BB284" s="106" t="n"/>
      <c r="BC284" s="106" t="n"/>
      <c r="BD284" s="106" t="n"/>
      <c r="BE284" s="106" t="n"/>
      <c r="BF284" s="106" t="n">
        <v>8595673.15</v>
      </c>
      <c r="BG284" s="106" t="n"/>
      <c r="BH284" s="106" t="n"/>
      <c r="BI284" s="106" t="n"/>
      <c r="BJ284" s="106" t="n">
        <v>1182055.95299197</v>
      </c>
      <c r="BK284" s="114" t="n">
        <v>42185.6344824</v>
      </c>
      <c r="BL284" s="187" t="n">
        <v>839224.990851562</v>
      </c>
      <c r="BM284" s="113" t="n">
        <f aca="false" ca="true" dt2D="false" dtr="false" t="normal">SUBTOTAL(9, BN284:CB284)</f>
        <v>8436477.238325931</v>
      </c>
      <c r="BN284" s="106" t="n"/>
      <c r="BO284" s="192" t="n">
        <v>343509.18</v>
      </c>
      <c r="BP284" s="192" t="n">
        <v>1133791.49</v>
      </c>
      <c r="BQ284" s="192" t="n">
        <v>605983.06</v>
      </c>
      <c r="BR284" s="106" t="n"/>
      <c r="BS284" s="106" t="n"/>
      <c r="BT284" s="106" t="n"/>
      <c r="BU284" s="106" t="n"/>
      <c r="BV284" s="192" t="n">
        <v>4289726.93</v>
      </c>
      <c r="BW284" s="106" t="n"/>
      <c r="BX284" s="106" t="n"/>
      <c r="BY284" s="106" t="n"/>
      <c r="BZ284" s="106" t="n">
        <v>1182055.95299197</v>
      </c>
      <c r="CA284" s="114" t="n">
        <v>42185.6344824</v>
      </c>
      <c r="CB284" s="115" t="n">
        <v>839224.990851562</v>
      </c>
      <c r="CD284" s="116" t="n">
        <f aca="false" ca="false" dt2D="false" dtr="false" t="normal">+CD283+1</f>
        <v>265</v>
      </c>
      <c r="CE284" s="117" t="n">
        <f aca="false" ca="false" dt2D="false" dtr="false" t="normal">+CE283+1</f>
        <v>77</v>
      </c>
      <c r="CF284" s="104" t="s">
        <v>111</v>
      </c>
      <c r="CG284" s="117" t="s">
        <v>366</v>
      </c>
      <c r="CH284" s="118" t="n">
        <f aca="false" ca="true" dt2D="false" dtr="false" t="normal">SUBTOTAL(9, CI284:CW284)</f>
        <v>7865601.790851561</v>
      </c>
      <c r="CI284" s="114" t="n"/>
      <c r="CJ284" s="114" t="n">
        <v>343509.18</v>
      </c>
      <c r="CK284" s="114" t="n">
        <v>1218249.92</v>
      </c>
      <c r="CL284" s="114" t="n">
        <v>605983.06</v>
      </c>
      <c r="CM284" s="114" t="n"/>
      <c r="CN284" s="114" t="n"/>
      <c r="CO284" s="114" t="n"/>
      <c r="CP284" s="114" t="n"/>
      <c r="CQ284" s="114" t="n">
        <v>4289726.93</v>
      </c>
      <c r="CR284" s="114" t="n"/>
      <c r="CS284" s="114" t="n"/>
      <c r="CT284" s="114" t="n"/>
      <c r="CU284" s="114" t="n">
        <v>555193.42</v>
      </c>
      <c r="CV284" s="114" t="n">
        <v>13714.29</v>
      </c>
      <c r="CW284" s="115" t="n">
        <v>839224.990851562</v>
      </c>
      <c r="CZ284" s="117" t="s">
        <v>366</v>
      </c>
      <c r="DA284" s="119" t="n">
        <f aca="false" ca="true" dt2D="false" dtr="false" t="normal">SUBTOTAL(9, DB284:DP284)</f>
        <v>7026376.8</v>
      </c>
      <c r="DB284" s="114" t="n"/>
      <c r="DC284" s="114" t="n">
        <v>343509.18</v>
      </c>
      <c r="DD284" s="114" t="n">
        <v>1218249.92</v>
      </c>
      <c r="DE284" s="114" t="n">
        <v>605983.06</v>
      </c>
      <c r="DF284" s="114" t="n"/>
      <c r="DG284" s="114" t="n"/>
      <c r="DH284" s="114" t="n"/>
      <c r="DI284" s="114" t="n"/>
      <c r="DJ284" s="114" t="n">
        <v>4289726.93</v>
      </c>
      <c r="DK284" s="114" t="n"/>
      <c r="DL284" s="114" t="n"/>
      <c r="DM284" s="114" t="n"/>
      <c r="DN284" s="114" t="n">
        <v>555193.42</v>
      </c>
      <c r="DO284" s="114" t="n">
        <v>13714.29</v>
      </c>
      <c r="DP284" s="122" t="n"/>
      <c r="DQ284" s="3" t="n">
        <f aca="false" ca="false" dt2D="false" dtr="false" t="normal">N284-DA284</f>
        <v>0</v>
      </c>
      <c r="DS284" s="9" t="n"/>
    </row>
    <row hidden="false" ht="15" outlineLevel="0" r="285">
      <c r="A285" s="183" t="n">
        <f aca="false" ca="false" dt2D="false" dtr="false" t="normal">+A284+1</f>
        <v>266</v>
      </c>
      <c r="B285" s="184" t="n">
        <f aca="false" ca="false" dt2D="false" dtr="false" t="normal">+B284+1</f>
        <v>78</v>
      </c>
      <c r="C285" s="117" t="s">
        <v>111</v>
      </c>
      <c r="D285" s="117" t="s">
        <v>169</v>
      </c>
      <c r="E285" s="105" t="n">
        <v>1977</v>
      </c>
      <c r="F285" s="105" t="n">
        <v>2013</v>
      </c>
      <c r="G285" s="105" t="s">
        <v>68</v>
      </c>
      <c r="H285" s="105" t="n">
        <v>4</v>
      </c>
      <c r="I285" s="105" t="n">
        <v>4</v>
      </c>
      <c r="J285" s="106" t="n">
        <v>3916.4</v>
      </c>
      <c r="K285" s="106" t="n">
        <v>3440.3</v>
      </c>
      <c r="L285" s="106" t="n">
        <v>0</v>
      </c>
      <c r="M285" s="107" t="n">
        <v>163</v>
      </c>
      <c r="N285" s="108" t="n">
        <f aca="false" ca="false" dt2D="false" dtr="false" t="normal">SUM(P285:T285)</f>
        <v>8130696.910000001</v>
      </c>
      <c r="O285" s="114" t="n"/>
      <c r="P285" s="114" t="n">
        <v>6995444.49</v>
      </c>
      <c r="Q285" s="114" t="n"/>
      <c r="R285" s="114" t="n">
        <v>228325.97</v>
      </c>
      <c r="S285" s="114" t="n">
        <v>906926.450000001</v>
      </c>
      <c r="T285" s="114" t="n"/>
      <c r="U285" s="106" t="n">
        <v>3467.57909790027</v>
      </c>
      <c r="V285" s="106" t="n">
        <v>3467.57909790027</v>
      </c>
      <c r="W285" s="185" t="n">
        <v>2023</v>
      </c>
      <c r="X285" s="9" t="e">
        <f aca="false" ca="false" dt2D="false" dtr="false" t="normal">+#REF!-'[9]Приложение №1'!$P1319</f>
        <v>#REF!</v>
      </c>
      <c r="Z285" s="113" t="n">
        <f aca="false" ca="false" dt2D="false" dtr="false" t="normal">SUM(AA285:AO285)</f>
        <v>62685332.070000015</v>
      </c>
      <c r="AA285" s="106" t="n">
        <v>5740166.19599514</v>
      </c>
      <c r="AB285" s="106" t="n">
        <v>3319695.0395049</v>
      </c>
      <c r="AC285" s="106" t="n">
        <v>3509163.45264786</v>
      </c>
      <c r="AD285" s="106" t="n">
        <v>2675766.96443196</v>
      </c>
      <c r="AE285" s="106" t="n">
        <v>1068914.1259818</v>
      </c>
      <c r="AF285" s="106" t="n"/>
      <c r="AG285" s="106" t="n">
        <v>285227.3466126</v>
      </c>
      <c r="AH285" s="106" t="n">
        <v>0</v>
      </c>
      <c r="AI285" s="106" t="n">
        <v>10218369.7972314</v>
      </c>
      <c r="AJ285" s="106" t="n">
        <v>0</v>
      </c>
      <c r="AK285" s="106" t="n">
        <v>19839022.9193663</v>
      </c>
      <c r="AL285" s="106" t="n">
        <v>7802433.2655801</v>
      </c>
      <c r="AM285" s="106" t="n">
        <v>6408816.8779</v>
      </c>
      <c r="AN285" s="114" t="n">
        <v>626853.3207</v>
      </c>
      <c r="AO285" s="115" t="n">
        <v>1190902.76404796</v>
      </c>
      <c r="AP285" s="112" t="n">
        <f aca="false" ca="false" dt2D="false" dtr="false" t="normal">+N285-'Приложение №2'!E285</f>
        <v>0</v>
      </c>
      <c r="AQ285" s="9" t="n">
        <f aca="false" ca="false" dt2D="false" dtr="false" t="normal">1681538.39-R107</f>
        <v>-285600.1300000001</v>
      </c>
      <c r="AR285" s="3" t="n">
        <f aca="false" ca="false" dt2D="false" dtr="false" t="normal">+(K285*10+L285*20)*12*0.85</f>
        <v>350910.6</v>
      </c>
      <c r="AS285" s="3" t="n">
        <f aca="false" ca="false" dt2D="false" dtr="false" t="normal">+(K285*10+L285*20)*12*30-S107</f>
        <v>138784.60031340085</v>
      </c>
      <c r="AT285" s="9" t="n">
        <f aca="false" ca="false" dt2D="false" dtr="false" t="normal">+S285-AS285</f>
        <v>768141.8496866002</v>
      </c>
      <c r="AU285" s="9" t="e">
        <f aca="false" ca="false" dt2D="false" dtr="false" t="normal">+P285-'[5]Приложение №1'!$P300</f>
        <v>#REF!</v>
      </c>
      <c r="AV285" s="9" t="e">
        <f aca="false" ca="false" dt2D="false" dtr="false" t="normal">+Q285-'[5]Приложение №1'!$Q300</f>
        <v>#REF!</v>
      </c>
      <c r="AW285" s="113" t="n">
        <f aca="false" ca="true" dt2D="false" dtr="false" t="normal">SUBTOTAL(9, AX285:BL285)</f>
        <v>11832476.0305063</v>
      </c>
      <c r="AX285" s="106" t="n"/>
      <c r="AY285" s="106" t="n"/>
      <c r="AZ285" s="106" t="n">
        <v>1782159.18</v>
      </c>
      <c r="BA285" s="3" t="n">
        <v>2245953.74</v>
      </c>
      <c r="BB285" s="106" t="n"/>
      <c r="BC285" s="106" t="n"/>
      <c r="BD285" s="106" t="n"/>
      <c r="BE285" s="106" t="n"/>
      <c r="BF285" s="106" t="n"/>
      <c r="BG285" s="106" t="n"/>
      <c r="BH285" s="106" t="n"/>
      <c r="BI285" s="106" t="n">
        <v>6294505.12</v>
      </c>
      <c r="BJ285" s="106" t="n">
        <v>1065595.152</v>
      </c>
      <c r="BK285" s="114" t="n">
        <v>110213.5435</v>
      </c>
      <c r="BL285" s="187" t="n">
        <v>334049.2950063</v>
      </c>
      <c r="BM285" s="113" t="n">
        <f aca="false" ca="true" dt2D="false" dtr="false" t="normal">SUBTOTAL(9, BN285:CB285)</f>
        <v>9504519.0005063</v>
      </c>
      <c r="BN285" s="106" t="n"/>
      <c r="BO285" s="106" t="n"/>
      <c r="BP285" s="192" t="n">
        <v>271883.74</v>
      </c>
      <c r="BQ285" s="205" t="n">
        <v>1331235.81</v>
      </c>
      <c r="BR285" s="106" t="n"/>
      <c r="BS285" s="106" t="n"/>
      <c r="BT285" s="106" t="n"/>
      <c r="BU285" s="106" t="n"/>
      <c r="BV285" s="106" t="n"/>
      <c r="BW285" s="106" t="n"/>
      <c r="BX285" s="106" t="n"/>
      <c r="BY285" s="106" t="n">
        <v>6391541.46</v>
      </c>
      <c r="BZ285" s="106" t="n">
        <v>1065595.152</v>
      </c>
      <c r="CA285" s="114" t="n">
        <v>110213.5435</v>
      </c>
      <c r="CB285" s="115" t="n">
        <v>334049.2950063</v>
      </c>
      <c r="CD285" s="116" t="n">
        <f aca="false" ca="false" dt2D="false" dtr="false" t="normal">+CD284+1</f>
        <v>266</v>
      </c>
      <c r="CE285" s="117" t="n">
        <f aca="false" ca="false" dt2D="false" dtr="false" t="normal">+CE284+1</f>
        <v>78</v>
      </c>
      <c r="CF285" s="104" t="s">
        <v>111</v>
      </c>
      <c r="CG285" s="117" t="s">
        <v>169</v>
      </c>
      <c r="CH285" s="118" t="n">
        <f aca="false" ca="true" dt2D="false" dtr="false" t="normal">SUBTOTAL(9, CI285:CW285)</f>
        <v>8464746.2050063</v>
      </c>
      <c r="CI285" s="114" t="n"/>
      <c r="CJ285" s="114" t="n"/>
      <c r="CK285" s="114" t="n">
        <v>271883.74</v>
      </c>
      <c r="CL285" s="114" t="n">
        <v>1331235.81</v>
      </c>
      <c r="CM285" s="114" t="n"/>
      <c r="CN285" s="114" t="n"/>
      <c r="CO285" s="114" t="n"/>
      <c r="CP285" s="114" t="n"/>
      <c r="CQ285" s="114" t="n"/>
      <c r="CR285" s="114" t="n"/>
      <c r="CS285" s="114" t="n"/>
      <c r="CT285" s="114" t="n">
        <v>6391541.46</v>
      </c>
      <c r="CU285" s="114" t="n">
        <v>124035.9</v>
      </c>
      <c r="CV285" s="114" t="n">
        <v>12000</v>
      </c>
      <c r="CW285" s="115" t="n">
        <v>334049.2950063</v>
      </c>
      <c r="CZ285" s="117" t="s">
        <v>169</v>
      </c>
      <c r="DA285" s="119" t="n">
        <f aca="false" ca="true" dt2D="false" dtr="false" t="normal">SUBTOTAL(9, DB285:DP285)</f>
        <v>8130696.91</v>
      </c>
      <c r="DB285" s="114" t="n"/>
      <c r="DC285" s="114" t="n"/>
      <c r="DD285" s="114" t="n">
        <v>271883.74</v>
      </c>
      <c r="DE285" s="114" t="n">
        <v>1331235.81</v>
      </c>
      <c r="DF285" s="114" t="n"/>
      <c r="DG285" s="114" t="n"/>
      <c r="DH285" s="114" t="n"/>
      <c r="DI285" s="114" t="n"/>
      <c r="DJ285" s="114" t="n"/>
      <c r="DK285" s="114" t="n"/>
      <c r="DL285" s="114" t="n"/>
      <c r="DM285" s="114" t="n">
        <v>6391541.46</v>
      </c>
      <c r="DN285" s="114" t="n">
        <v>124035.9</v>
      </c>
      <c r="DO285" s="114" t="n">
        <v>12000</v>
      </c>
      <c r="DP285" s="122" t="n"/>
      <c r="DQ285" s="3" t="n">
        <f aca="false" ca="false" dt2D="false" dtr="false" t="normal">N285-DA285</f>
        <v>0</v>
      </c>
      <c r="DS285" s="9" t="n"/>
    </row>
    <row hidden="false" ht="15" outlineLevel="0" r="286">
      <c r="A286" s="183" t="n">
        <f aca="false" ca="false" dt2D="false" dtr="false" t="normal">+A285+1</f>
        <v>267</v>
      </c>
      <c r="B286" s="184" t="n">
        <f aca="false" ca="false" dt2D="false" dtr="false" t="normal">+B285+1</f>
        <v>79</v>
      </c>
      <c r="C286" s="117" t="s">
        <v>111</v>
      </c>
      <c r="D286" s="117" t="s">
        <v>368</v>
      </c>
      <c r="E286" s="105" t="n">
        <v>1964</v>
      </c>
      <c r="F286" s="105" t="n">
        <v>2009</v>
      </c>
      <c r="G286" s="105" t="s">
        <v>68</v>
      </c>
      <c r="H286" s="105" t="n">
        <v>4</v>
      </c>
      <c r="I286" s="105" t="n">
        <v>2</v>
      </c>
      <c r="J286" s="106" t="n">
        <v>1462.3</v>
      </c>
      <c r="K286" s="106" t="n">
        <v>1198.6</v>
      </c>
      <c r="L286" s="106" t="n">
        <v>42.9</v>
      </c>
      <c r="M286" s="107" t="n">
        <v>60</v>
      </c>
      <c r="N286" s="108" t="n">
        <f aca="false" ca="false" dt2D="false" dtr="false" t="normal">SUM(P286:T286)</f>
        <v>6665821.88</v>
      </c>
      <c r="O286" s="114" t="n"/>
      <c r="P286" s="114" t="n">
        <f aca="false" ca="false" dt2D="false" dtr="false" t="normal">1803576.66-212153.56</f>
        <v>1591423.0999999999</v>
      </c>
      <c r="Q286" s="114" t="n"/>
      <c r="R286" s="114" t="n">
        <v>737678.98</v>
      </c>
      <c r="S286" s="114" t="n">
        <v>4336719.8</v>
      </c>
      <c r="T286" s="114" t="n"/>
      <c r="U286" s="114" t="n">
        <v>9794.7952386897</v>
      </c>
      <c r="V286" s="114" t="n">
        <v>1311.283020064</v>
      </c>
      <c r="W286" s="185" t="n">
        <v>2023</v>
      </c>
      <c r="X286" s="9" t="e">
        <f aca="false" ca="false" dt2D="false" dtr="false" t="normal">+#REF!-'[9]Приложение №1'!$P812</f>
        <v>#REF!</v>
      </c>
      <c r="Z286" s="113" t="n">
        <f aca="false" ca="false" dt2D="false" dtr="false" t="normal">SUM(AA286:AO286)</f>
        <v>20418803.975269284</v>
      </c>
      <c r="AA286" s="106" t="n">
        <v>3233669.800746</v>
      </c>
      <c r="AB286" s="106" t="n">
        <v>1144519.81959</v>
      </c>
      <c r="AC286" s="106" t="n">
        <v>1220789.98080328</v>
      </c>
      <c r="AD286" s="106" t="n">
        <v>768385.935828</v>
      </c>
      <c r="AE286" s="106" t="n">
        <v>553182.058758</v>
      </c>
      <c r="AF286" s="106" t="n"/>
      <c r="AG286" s="106" t="n">
        <v>117081.436122</v>
      </c>
      <c r="AH286" s="106" t="n">
        <v>0</v>
      </c>
      <c r="AI286" s="106" t="n">
        <v>5981715.037158</v>
      </c>
      <c r="AJ286" s="106" t="n">
        <v>0</v>
      </c>
      <c r="AK286" s="106" t="n">
        <v>3107129.539962</v>
      </c>
      <c r="AL286" s="106" t="n">
        <v>3344141.25880492</v>
      </c>
      <c r="AM286" s="106" t="n">
        <v>451116.49</v>
      </c>
      <c r="AN286" s="106" t="n">
        <v>71289.7048958546</v>
      </c>
      <c r="AO286" s="115" t="n">
        <v>425782.912601229</v>
      </c>
      <c r="AP286" s="112" t="n">
        <f aca="false" ca="false" dt2D="false" dtr="false" t="normal">+N286-'Приложение №2'!E286</f>
        <v>0</v>
      </c>
      <c r="AQ286" s="1" t="n">
        <f aca="false" ca="false" dt2D="false" dtr="false" t="normal">686372.31-86252.57</f>
        <v>600119.74</v>
      </c>
      <c r="AR286" s="3" t="n">
        <f aca="false" ca="false" dt2D="false" dtr="false" t="normal">+(K286*10.5+L286*21)*12*0.85</f>
        <v>137559.24</v>
      </c>
      <c r="AS286" s="3" t="n">
        <f aca="false" ca="false" dt2D="false" dtr="false" t="normal">+(K286*10.5+L286*21)*12*30</f>
        <v>4855032</v>
      </c>
      <c r="AT286" s="9" t="n">
        <f aca="false" ca="false" dt2D="false" dtr="false" t="normal">+S286-AS286</f>
        <v>-518312.2000000002</v>
      </c>
      <c r="AU286" s="9" t="e">
        <f aca="false" ca="false" dt2D="false" dtr="false" t="normal">+P286-'[5]Приложение №1'!$P319</f>
        <v>#REF!</v>
      </c>
      <c r="AV286" s="9" t="e">
        <f aca="false" ca="false" dt2D="false" dtr="false" t="normal">+Q286-'[5]Приложение №1'!$Q319</f>
        <v>#REF!</v>
      </c>
      <c r="AW286" s="186" t="n">
        <f aca="false" ca="true" dt2D="false" dtr="false" t="normal">SUBTOTAL(9, AX286:BL286)</f>
        <v>11740041.57309347</v>
      </c>
      <c r="AX286" s="106" t="n">
        <v>3280088.99</v>
      </c>
      <c r="AY286" s="106" t="n"/>
      <c r="AZ286" s="106" t="n">
        <v>1247962.1</v>
      </c>
      <c r="BA286" s="106" t="n"/>
      <c r="BB286" s="106" t="n"/>
      <c r="BC286" s="106" t="n"/>
      <c r="BD286" s="106" t="n">
        <v>117081.436122</v>
      </c>
      <c r="BE286" s="106" t="n">
        <v>0</v>
      </c>
      <c r="BF286" s="106" t="n">
        <v>6081223.36</v>
      </c>
      <c r="BG286" s="106" t="n">
        <v>0</v>
      </c>
      <c r="BH286" s="106" t="n"/>
      <c r="BI286" s="106" t="n"/>
      <c r="BJ286" s="106" t="n">
        <v>390060.3477</v>
      </c>
      <c r="BK286" s="106" t="n">
        <v>37971.5277</v>
      </c>
      <c r="BL286" s="187" t="n">
        <v>585653.811571472</v>
      </c>
      <c r="BM286" s="186" t="n">
        <f aca="false" ca="true" dt2D="false" dtr="false" t="normal">SUBTOTAL(9, BN286:CB286)</f>
        <v>9335522.39309347</v>
      </c>
      <c r="BN286" s="106" t="n">
        <v>3280088.99</v>
      </c>
      <c r="BO286" s="106" t="n"/>
      <c r="BP286" s="106" t="n">
        <v>1247962.1</v>
      </c>
      <c r="BQ286" s="106" t="n"/>
      <c r="BR286" s="106" t="n"/>
      <c r="BS286" s="106" t="n"/>
      <c r="BT286" s="106" t="n">
        <v>117081.436122</v>
      </c>
      <c r="BU286" s="106" t="n">
        <v>0</v>
      </c>
      <c r="BV286" s="106" t="n">
        <v>3676704.18</v>
      </c>
      <c r="BW286" s="106" t="n">
        <v>0</v>
      </c>
      <c r="BX286" s="106" t="n"/>
      <c r="BY286" s="106" t="n"/>
      <c r="BZ286" s="106" t="n">
        <v>390060.3477</v>
      </c>
      <c r="CA286" s="106" t="n">
        <v>37971.5277</v>
      </c>
      <c r="CB286" s="115" t="n">
        <v>585653.811571472</v>
      </c>
      <c r="CD286" s="116" t="n">
        <f aca="false" ca="false" dt2D="false" dtr="false" t="normal">+CD285+1</f>
        <v>267</v>
      </c>
      <c r="CE286" s="117" t="n">
        <f aca="false" ca="false" dt2D="false" dtr="false" t="normal">+CE285+1</f>
        <v>79</v>
      </c>
      <c r="CF286" s="104" t="s">
        <v>111</v>
      </c>
      <c r="CG286" s="117" t="s">
        <v>368</v>
      </c>
      <c r="CH286" s="188" t="n">
        <f aca="false" ca="true" dt2D="false" dtr="false" t="normal">SUBTOTAL(9, CI286:CW286)</f>
        <v>7251475.691571472</v>
      </c>
      <c r="CI286" s="114" t="n">
        <v>2848325.83</v>
      </c>
      <c r="CJ286" s="114" t="n"/>
      <c r="CK286" s="114" t="n"/>
      <c r="CL286" s="114" t="n"/>
      <c r="CM286" s="114" t="n"/>
      <c r="CN286" s="114" t="n"/>
      <c r="CO286" s="114" t="n"/>
      <c r="CP286" s="114" t="n">
        <v>0</v>
      </c>
      <c r="CQ286" s="114" t="n">
        <v>3676704.18</v>
      </c>
      <c r="CR286" s="114" t="n">
        <v>0</v>
      </c>
      <c r="CS286" s="114" t="n"/>
      <c r="CT286" s="114" t="n"/>
      <c r="CU286" s="114" t="n">
        <v>133934.73</v>
      </c>
      <c r="CV286" s="114" t="n">
        <v>6857.14</v>
      </c>
      <c r="CW286" s="115" t="n">
        <v>585653.811571472</v>
      </c>
      <c r="CZ286" s="117" t="s">
        <v>368</v>
      </c>
      <c r="DA286" s="189" t="n">
        <f aca="false" ca="true" dt2D="false" dtr="false" t="normal">SUBTOTAL(9, DB286:DP286)</f>
        <v>6665821.88</v>
      </c>
      <c r="DB286" s="114" t="n">
        <v>2848325.83</v>
      </c>
      <c r="DC286" s="114" t="n"/>
      <c r="DD286" s="114" t="n"/>
      <c r="DE286" s="114" t="n"/>
      <c r="DF286" s="114" t="n"/>
      <c r="DG286" s="114" t="n"/>
      <c r="DH286" s="114" t="n"/>
      <c r="DI286" s="114" t="n">
        <v>0</v>
      </c>
      <c r="DJ286" s="114" t="n">
        <v>3676704.18</v>
      </c>
      <c r="DK286" s="114" t="n">
        <v>0</v>
      </c>
      <c r="DL286" s="114" t="n"/>
      <c r="DM286" s="114" t="n"/>
      <c r="DN286" s="114" t="n">
        <v>133934.73</v>
      </c>
      <c r="DO286" s="114" t="n">
        <v>6857.14</v>
      </c>
      <c r="DP286" s="122" t="n"/>
      <c r="DQ286" s="3" t="n">
        <f aca="false" ca="false" dt2D="false" dtr="false" t="normal">N286-DA286</f>
        <v>0</v>
      </c>
      <c r="DS286" s="9" t="n"/>
    </row>
    <row hidden="false" ht="15" outlineLevel="0" r="287">
      <c r="A287" s="183" t="n">
        <f aca="false" ca="false" dt2D="false" dtr="false" t="normal">+A286+1</f>
        <v>268</v>
      </c>
      <c r="B287" s="184" t="n">
        <f aca="false" ca="false" dt2D="false" dtr="false" t="normal">+B286+1</f>
        <v>80</v>
      </c>
      <c r="C287" s="104" t="s">
        <v>111</v>
      </c>
      <c r="D287" s="104" t="s">
        <v>369</v>
      </c>
      <c r="E287" s="105" t="n">
        <v>1971</v>
      </c>
      <c r="F287" s="105" t="n">
        <v>2013</v>
      </c>
      <c r="G287" s="105" t="s">
        <v>68</v>
      </c>
      <c r="H287" s="105" t="n">
        <v>4</v>
      </c>
      <c r="I287" s="105" t="n">
        <v>4</v>
      </c>
      <c r="J287" s="106" t="n">
        <v>4741.46</v>
      </c>
      <c r="K287" s="106" t="n">
        <v>3462.3</v>
      </c>
      <c r="L287" s="106" t="n">
        <v>0</v>
      </c>
      <c r="M287" s="107" t="n">
        <v>145</v>
      </c>
      <c r="N287" s="108" t="n">
        <f aca="false" ca="false" dt2D="false" dtr="false" t="normal">SUM(P287:T287)</f>
        <v>1421417.84</v>
      </c>
      <c r="O287" s="106" t="n"/>
      <c r="P287" s="114" t="n"/>
      <c r="Q287" s="114" t="n"/>
      <c r="R287" s="114" t="n">
        <v>1392786.91</v>
      </c>
      <c r="S287" s="114" t="n">
        <v>28630.9300000001</v>
      </c>
      <c r="T287" s="114" t="n"/>
      <c r="U287" s="106" t="n">
        <v>462.579279114057</v>
      </c>
      <c r="V287" s="106" t="n">
        <v>462.579279114057</v>
      </c>
      <c r="W287" s="185" t="n">
        <v>2023</v>
      </c>
      <c r="X287" s="9" t="e">
        <f aca="false" ca="false" dt2D="false" dtr="false" t="normal">+#REF!-'[9]Приложение №1'!$P683</f>
        <v>#REF!</v>
      </c>
      <c r="Z287" s="113" t="n">
        <f aca="false" ca="false" dt2D="false" dtr="false" t="normal">SUM(AA287:AO287)</f>
        <v>2790814.3390765996</v>
      </c>
      <c r="AA287" s="106" t="n">
        <v>0</v>
      </c>
      <c r="AB287" s="106" t="n">
        <v>0</v>
      </c>
      <c r="AC287" s="106" t="n">
        <v>0</v>
      </c>
      <c r="AD287" s="106" t="n">
        <v>0</v>
      </c>
      <c r="AE287" s="106" t="n">
        <v>1392786.91</v>
      </c>
      <c r="AF287" s="106" t="n"/>
      <c r="AG287" s="106" t="n">
        <v>0</v>
      </c>
      <c r="AH287" s="106" t="n">
        <v>0</v>
      </c>
      <c r="AI287" s="106" t="n">
        <v>0</v>
      </c>
      <c r="AJ287" s="106" t="n">
        <v>0</v>
      </c>
      <c r="AK287" s="106" t="n">
        <v>0</v>
      </c>
      <c r="AL287" s="106" t="n"/>
      <c r="AM287" s="106" t="n">
        <v>1123898.77</v>
      </c>
      <c r="AN287" s="114" t="n">
        <v>93958.261</v>
      </c>
      <c r="AO287" s="115" t="n">
        <v>180170.3980766</v>
      </c>
      <c r="AP287" s="112" t="n">
        <f aca="false" ca="false" dt2D="false" dtr="false" t="normal">+N287-'Приложение №2'!E287</f>
        <v>0</v>
      </c>
      <c r="AQ287" s="1" t="n">
        <v>1642541.21</v>
      </c>
      <c r="AR287" s="3" t="n">
        <f aca="false" ca="false" dt2D="false" dtr="false" t="normal">+(K287*10+L287*20)*12*0.85</f>
        <v>353154.6</v>
      </c>
      <c r="AS287" s="3" t="n">
        <f aca="false" ca="false" dt2D="false" dtr="false" t="normal">+(K287*10+L287*20)*12*30</f>
        <v>12464280</v>
      </c>
      <c r="AT287" s="9" t="n">
        <f aca="false" ca="false" dt2D="false" dtr="false" t="normal">+S287-AS287</f>
        <v>-12435649.07</v>
      </c>
      <c r="AU287" s="9" t="e">
        <f aca="false" ca="false" dt2D="false" dtr="false" t="normal">+P287-'[5]Приложение №1'!$P302</f>
        <v>#REF!</v>
      </c>
      <c r="AV287" s="9" t="e">
        <f aca="false" ca="false" dt2D="false" dtr="false" t="normal">+Q287-'[5]Приложение №1'!$Q302</f>
        <v>#REF!</v>
      </c>
      <c r="AW287" s="113" t="n">
        <f aca="false" ca="true" dt2D="false" dtr="false" t="normal">SUBTOTAL(9, AX287:BL287)</f>
        <v>1601588.2380766</v>
      </c>
      <c r="AX287" s="106" t="n">
        <v>0</v>
      </c>
      <c r="AY287" s="106" t="n">
        <v>0</v>
      </c>
      <c r="AZ287" s="106" t="n">
        <v>0</v>
      </c>
      <c r="BA287" s="106" t="n">
        <v>0</v>
      </c>
      <c r="BB287" s="106" t="n">
        <v>1421417.84</v>
      </c>
      <c r="BC287" s="106" t="n"/>
      <c r="BD287" s="106" t="n"/>
      <c r="BE287" s="106" t="n">
        <v>0</v>
      </c>
      <c r="BF287" s="106" t="n">
        <v>0</v>
      </c>
      <c r="BG287" s="106" t="n">
        <v>0</v>
      </c>
      <c r="BH287" s="106" t="n">
        <v>0</v>
      </c>
      <c r="BI287" s="106" t="n"/>
      <c r="BJ287" s="106" t="n"/>
      <c r="BK287" s="114" t="n"/>
      <c r="BL287" s="187" t="n">
        <v>180170.3980766</v>
      </c>
      <c r="BM287" s="113" t="n">
        <f aca="false" ca="true" dt2D="false" dtr="false" t="normal">SUBTOTAL(9, BN287:CB287)</f>
        <v>1601588.2380766</v>
      </c>
      <c r="BN287" s="106" t="n">
        <v>0</v>
      </c>
      <c r="BO287" s="106" t="n">
        <v>0</v>
      </c>
      <c r="BP287" s="106" t="n">
        <v>0</v>
      </c>
      <c r="BQ287" s="106" t="n">
        <v>0</v>
      </c>
      <c r="BR287" s="106" t="n">
        <v>1421417.84</v>
      </c>
      <c r="BS287" s="106" t="n"/>
      <c r="BT287" s="106" t="n"/>
      <c r="BU287" s="106" t="n">
        <v>0</v>
      </c>
      <c r="BV287" s="106" t="n">
        <v>0</v>
      </c>
      <c r="BW287" s="106" t="n">
        <v>0</v>
      </c>
      <c r="BX287" s="106" t="n">
        <v>0</v>
      </c>
      <c r="BY287" s="106" t="n"/>
      <c r="BZ287" s="106" t="n"/>
      <c r="CA287" s="114" t="n"/>
      <c r="CB287" s="115" t="n">
        <v>180170.3980766</v>
      </c>
      <c r="CD287" s="116" t="n">
        <f aca="false" ca="false" dt2D="false" dtr="false" t="normal">+CD286+1</f>
        <v>268</v>
      </c>
      <c r="CE287" s="117" t="n">
        <f aca="false" ca="false" dt2D="false" dtr="false" t="normal">+CE286+1</f>
        <v>80</v>
      </c>
      <c r="CF287" s="104" t="s">
        <v>111</v>
      </c>
      <c r="CG287" s="117" t="s">
        <v>369</v>
      </c>
      <c r="CH287" s="118" t="n">
        <f aca="false" ca="true" dt2D="false" dtr="false" t="normal">SUBTOTAL(9, CI287:CW287)</f>
        <v>1601588.2380766</v>
      </c>
      <c r="CI287" s="114" t="n">
        <v>0</v>
      </c>
      <c r="CJ287" s="114" t="n">
        <v>0</v>
      </c>
      <c r="CK287" s="114" t="n">
        <v>0</v>
      </c>
      <c r="CL287" s="114" t="n">
        <v>0</v>
      </c>
      <c r="CM287" s="114" t="n">
        <v>1421417.84</v>
      </c>
      <c r="CN287" s="114" t="n"/>
      <c r="CO287" s="114" t="n"/>
      <c r="CP287" s="114" t="n">
        <v>0</v>
      </c>
      <c r="CQ287" s="114" t="n">
        <v>0</v>
      </c>
      <c r="CR287" s="114" t="n">
        <v>0</v>
      </c>
      <c r="CS287" s="114" t="n">
        <v>0</v>
      </c>
      <c r="CT287" s="114" t="n"/>
      <c r="CU287" s="114" t="n"/>
      <c r="CV287" s="114" t="n"/>
      <c r="CW287" s="115" t="n">
        <v>180170.3980766</v>
      </c>
      <c r="CZ287" s="117" t="s">
        <v>369</v>
      </c>
      <c r="DA287" s="119" t="n">
        <f aca="false" ca="true" dt2D="false" dtr="false" t="normal">SUBTOTAL(9, DB287:DP287)</f>
        <v>1421417.84</v>
      </c>
      <c r="DB287" s="114" t="n">
        <v>0</v>
      </c>
      <c r="DC287" s="114" t="n">
        <v>0</v>
      </c>
      <c r="DD287" s="114" t="n">
        <v>0</v>
      </c>
      <c r="DE287" s="114" t="n">
        <v>0</v>
      </c>
      <c r="DF287" s="114" t="n">
        <v>1421417.84</v>
      </c>
      <c r="DG287" s="114" t="n"/>
      <c r="DH287" s="114" t="n"/>
      <c r="DI287" s="114" t="n">
        <v>0</v>
      </c>
      <c r="DJ287" s="114" t="n">
        <v>0</v>
      </c>
      <c r="DK287" s="114" t="n">
        <v>0</v>
      </c>
      <c r="DL287" s="114" t="n">
        <v>0</v>
      </c>
      <c r="DM287" s="114" t="n"/>
      <c r="DN287" s="114" t="n"/>
      <c r="DO287" s="114" t="n"/>
      <c r="DP287" s="122" t="n"/>
      <c r="DQ287" s="3" t="n">
        <f aca="false" ca="false" dt2D="false" dtr="false" t="normal">N287-DA287</f>
        <v>0</v>
      </c>
      <c r="DS287" s="9" t="n"/>
    </row>
    <row hidden="false" ht="15" outlineLevel="0" r="288">
      <c r="A288" s="183" t="n">
        <f aca="false" ca="false" dt2D="false" dtr="false" t="normal">+A287+1</f>
        <v>269</v>
      </c>
      <c r="B288" s="184" t="n">
        <f aca="false" ca="false" dt2D="false" dtr="false" t="normal">+B287+1</f>
        <v>81</v>
      </c>
      <c r="C288" s="104" t="s">
        <v>111</v>
      </c>
      <c r="D288" s="104" t="s">
        <v>370</v>
      </c>
      <c r="E288" s="105" t="n">
        <v>1972</v>
      </c>
      <c r="F288" s="105" t="n">
        <v>2013</v>
      </c>
      <c r="G288" s="105" t="s">
        <v>68</v>
      </c>
      <c r="H288" s="105" t="n">
        <v>4</v>
      </c>
      <c r="I288" s="105" t="n">
        <v>4</v>
      </c>
      <c r="J288" s="106" t="n">
        <v>4744.06</v>
      </c>
      <c r="K288" s="106" t="n">
        <v>3488.5</v>
      </c>
      <c r="L288" s="106" t="n">
        <v>0</v>
      </c>
      <c r="M288" s="107" t="n">
        <v>131</v>
      </c>
      <c r="N288" s="108" t="n">
        <f aca="false" ca="false" dt2D="false" dtr="false" t="normal">SUM(P288:T288)</f>
        <v>1405107.53</v>
      </c>
      <c r="O288" s="106" t="n"/>
      <c r="P288" s="114" t="n"/>
      <c r="Q288" s="114" t="n"/>
      <c r="R288" s="114" t="n">
        <v>1405107.53</v>
      </c>
      <c r="S288" s="114" t="n"/>
      <c r="T288" s="114" t="n"/>
      <c r="U288" s="106" t="n">
        <v>404.567505855239</v>
      </c>
      <c r="V288" s="106" t="n">
        <v>404.567505855239</v>
      </c>
      <c r="W288" s="185" t="n">
        <v>2023</v>
      </c>
      <c r="X288" s="9" t="e">
        <f aca="false" ca="false" dt2D="false" dtr="false" t="normal">+#REF!-'[9]Приложение №1'!$P684</f>
        <v>#REF!</v>
      </c>
      <c r="Z288" s="113" t="n">
        <f aca="false" ca="false" dt2D="false" dtr="false" t="normal">SUM(AA288:AO288)</f>
        <v>10717070.434175998</v>
      </c>
      <c r="AA288" s="106" t="n">
        <v>0</v>
      </c>
      <c r="AB288" s="106" t="n">
        <v>0</v>
      </c>
      <c r="AC288" s="106" t="n">
        <v>0</v>
      </c>
      <c r="AD288" s="106" t="n">
        <v>0</v>
      </c>
      <c r="AE288" s="106" t="n">
        <v>1346427.66</v>
      </c>
      <c r="AF288" s="106" t="n"/>
      <c r="AG288" s="106" t="n">
        <v>0</v>
      </c>
      <c r="AH288" s="106" t="n">
        <v>0</v>
      </c>
      <c r="AI288" s="106" t="n">
        <v>0</v>
      </c>
      <c r="AJ288" s="106" t="n">
        <v>0</v>
      </c>
      <c r="AK288" s="106" t="n">
        <v>0</v>
      </c>
      <c r="AL288" s="106" t="n">
        <v>7971493.9287816</v>
      </c>
      <c r="AM288" s="106" t="n">
        <v>1124576.2</v>
      </c>
      <c r="AN288" s="114" t="n">
        <v>94026.004</v>
      </c>
      <c r="AO288" s="115" t="n">
        <v>180546.6413944</v>
      </c>
      <c r="AP288" s="112" t="n">
        <f aca="false" ca="false" dt2D="false" dtr="false" t="normal">+N288-'Приложение №2'!E288</f>
        <v>0</v>
      </c>
      <c r="AQ288" s="1" t="n">
        <v>1719366.16</v>
      </c>
      <c r="AR288" s="3" t="n">
        <f aca="false" ca="false" dt2D="false" dtr="false" t="normal">+(K288*10+L288*20)*12*0.85</f>
        <v>355827</v>
      </c>
      <c r="AS288" s="3" t="n">
        <f aca="false" ca="false" dt2D="false" dtr="false" t="normal">+(K288*10+L288*20)*12*30</f>
        <v>12558600</v>
      </c>
      <c r="AT288" s="9" t="n">
        <f aca="false" ca="false" dt2D="false" dtr="false" t="normal">+S288-AS288</f>
        <v>-12558600</v>
      </c>
      <c r="AU288" s="9" t="e">
        <f aca="false" ca="false" dt2D="false" dtr="false" t="normal">+P288-'[5]Приложение №1'!$P303</f>
        <v>#REF!</v>
      </c>
      <c r="AV288" s="9" t="e">
        <f aca="false" ca="false" dt2D="false" dtr="false" t="normal">+Q288-'[5]Приложение №1'!$Q303</f>
        <v>#REF!</v>
      </c>
      <c r="AW288" s="113" t="n">
        <f aca="false" ca="true" dt2D="false" dtr="false" t="normal">SUBTOTAL(9, AX288:BL288)</f>
        <v>1411333.7441760001</v>
      </c>
      <c r="AX288" s="106" t="n">
        <v>0</v>
      </c>
      <c r="AY288" s="106" t="n">
        <v>0</v>
      </c>
      <c r="AZ288" s="106" t="n">
        <v>0</v>
      </c>
      <c r="BA288" s="106" t="n">
        <v>0</v>
      </c>
      <c r="BB288" s="106" t="n">
        <v>1405107.53</v>
      </c>
      <c r="BC288" s="106" t="n"/>
      <c r="BD288" s="106" t="n"/>
      <c r="BE288" s="106" t="n">
        <v>0</v>
      </c>
      <c r="BF288" s="106" t="n">
        <v>0</v>
      </c>
      <c r="BG288" s="106" t="n">
        <v>0</v>
      </c>
      <c r="BH288" s="106" t="n">
        <v>0</v>
      </c>
      <c r="BI288" s="106" t="n"/>
      <c r="BJ288" s="106" t="n"/>
      <c r="BK288" s="114" t="n"/>
      <c r="BL288" s="187" t="n">
        <v>6226.214176</v>
      </c>
      <c r="BM288" s="113" t="n">
        <f aca="false" ca="true" dt2D="false" dtr="false" t="normal">SUBTOTAL(9, BN288:CB288)</f>
        <v>1411333.7441760001</v>
      </c>
      <c r="BN288" s="106" t="n">
        <v>0</v>
      </c>
      <c r="BO288" s="106" t="n">
        <v>0</v>
      </c>
      <c r="BP288" s="106" t="n">
        <v>0</v>
      </c>
      <c r="BQ288" s="106" t="n">
        <v>0</v>
      </c>
      <c r="BR288" s="106" t="n">
        <v>1405107.53</v>
      </c>
      <c r="BS288" s="106" t="n"/>
      <c r="BT288" s="106" t="n"/>
      <c r="BU288" s="106" t="n">
        <v>0</v>
      </c>
      <c r="BV288" s="106" t="n">
        <v>0</v>
      </c>
      <c r="BW288" s="106" t="n">
        <v>0</v>
      </c>
      <c r="BX288" s="106" t="n">
        <v>0</v>
      </c>
      <c r="BY288" s="106" t="n"/>
      <c r="BZ288" s="106" t="n"/>
      <c r="CA288" s="114" t="n"/>
      <c r="CB288" s="115" t="n">
        <v>6226.214176</v>
      </c>
      <c r="CD288" s="116" t="n">
        <f aca="false" ca="false" dt2D="false" dtr="false" t="normal">+CD287+1</f>
        <v>269</v>
      </c>
      <c r="CE288" s="117" t="n">
        <f aca="false" ca="false" dt2D="false" dtr="false" t="normal">+CE287+1</f>
        <v>81</v>
      </c>
      <c r="CF288" s="104" t="s">
        <v>111</v>
      </c>
      <c r="CG288" s="117" t="s">
        <v>370</v>
      </c>
      <c r="CH288" s="118" t="n">
        <f aca="false" ca="true" dt2D="false" dtr="false" t="normal">SUBTOTAL(9, CI288:CW288)</f>
        <v>1411333.7441760001</v>
      </c>
      <c r="CI288" s="114" t="n">
        <v>0</v>
      </c>
      <c r="CJ288" s="114" t="n">
        <v>0</v>
      </c>
      <c r="CK288" s="114" t="n">
        <v>0</v>
      </c>
      <c r="CL288" s="114" t="n">
        <v>0</v>
      </c>
      <c r="CM288" s="114" t="n">
        <v>1405107.53</v>
      </c>
      <c r="CN288" s="114" t="n"/>
      <c r="CO288" s="114" t="n"/>
      <c r="CP288" s="114" t="n">
        <v>0</v>
      </c>
      <c r="CQ288" s="114" t="n">
        <v>0</v>
      </c>
      <c r="CR288" s="114" t="n">
        <v>0</v>
      </c>
      <c r="CS288" s="114" t="n">
        <v>0</v>
      </c>
      <c r="CT288" s="114" t="n"/>
      <c r="CU288" s="114" t="n"/>
      <c r="CV288" s="114" t="n"/>
      <c r="CW288" s="115" t="n">
        <v>6226.214176</v>
      </c>
      <c r="CZ288" s="117" t="s">
        <v>370</v>
      </c>
      <c r="DA288" s="119" t="n">
        <f aca="false" ca="true" dt2D="false" dtr="false" t="normal">SUBTOTAL(9, DB288:DP288)</f>
        <v>1405107.53</v>
      </c>
      <c r="DB288" s="114" t="n">
        <v>0</v>
      </c>
      <c r="DC288" s="114" t="n">
        <v>0</v>
      </c>
      <c r="DD288" s="114" t="n">
        <v>0</v>
      </c>
      <c r="DE288" s="114" t="n">
        <v>0</v>
      </c>
      <c r="DF288" s="114" t="n">
        <v>1405107.53</v>
      </c>
      <c r="DG288" s="114" t="n"/>
      <c r="DH288" s="114" t="n"/>
      <c r="DI288" s="114" t="n">
        <v>0</v>
      </c>
      <c r="DJ288" s="114" t="n">
        <v>0</v>
      </c>
      <c r="DK288" s="114" t="n">
        <v>0</v>
      </c>
      <c r="DL288" s="114" t="n">
        <v>0</v>
      </c>
      <c r="DM288" s="114" t="n"/>
      <c r="DN288" s="114" t="n"/>
      <c r="DO288" s="114" t="n"/>
      <c r="DP288" s="122" t="n"/>
      <c r="DQ288" s="3" t="n">
        <f aca="false" ca="false" dt2D="false" dtr="false" t="normal">N288-DA288</f>
        <v>0</v>
      </c>
      <c r="DS288" s="9" t="n"/>
    </row>
    <row hidden="false" ht="15" outlineLevel="0" r="289">
      <c r="A289" s="183" t="n">
        <f aca="false" ca="false" dt2D="false" dtr="false" t="normal">+A288+1</f>
        <v>270</v>
      </c>
      <c r="B289" s="184" t="n">
        <f aca="false" ca="false" dt2D="false" dtr="false" t="normal">+B288+1</f>
        <v>82</v>
      </c>
      <c r="C289" s="104" t="s">
        <v>111</v>
      </c>
      <c r="D289" s="104" t="s">
        <v>371</v>
      </c>
      <c r="E289" s="105" t="n">
        <v>1972</v>
      </c>
      <c r="F289" s="105" t="n">
        <v>2013</v>
      </c>
      <c r="G289" s="105" t="s">
        <v>68</v>
      </c>
      <c r="H289" s="105" t="n">
        <v>4</v>
      </c>
      <c r="I289" s="105" t="n">
        <v>4</v>
      </c>
      <c r="J289" s="106" t="n">
        <v>4681.66</v>
      </c>
      <c r="K289" s="106" t="n">
        <v>3441.2</v>
      </c>
      <c r="L289" s="106" t="n">
        <v>0</v>
      </c>
      <c r="M289" s="107" t="n">
        <v>142</v>
      </c>
      <c r="N289" s="108" t="n">
        <f aca="false" ca="false" dt2D="false" dtr="false" t="normal">SUM(P289:T289)</f>
        <v>1413665.12</v>
      </c>
      <c r="O289" s="106" t="n"/>
      <c r="P289" s="114" t="n"/>
      <c r="Q289" s="114" t="n"/>
      <c r="R289" s="114" t="n">
        <v>1413665.12</v>
      </c>
      <c r="S289" s="114" t="n"/>
      <c r="T289" s="114" t="n"/>
      <c r="U289" s="106" t="n">
        <v>412.616085718935</v>
      </c>
      <c r="V289" s="106" t="n">
        <v>412.616085718935</v>
      </c>
      <c r="W289" s="185" t="n">
        <v>2023</v>
      </c>
      <c r="X289" s="9" t="e">
        <f aca="false" ca="false" dt2D="false" dtr="false" t="normal">+#REF!-'[9]Приложение №1'!$P685</f>
        <v>#REF!</v>
      </c>
      <c r="Z289" s="113" t="n">
        <f aca="false" ca="false" dt2D="false" dtr="false" t="normal">SUM(AA289:AO289)</f>
        <v>10554632.254175998</v>
      </c>
      <c r="AA289" s="106" t="n">
        <v>0</v>
      </c>
      <c r="AB289" s="106" t="n">
        <v>0</v>
      </c>
      <c r="AC289" s="106" t="n">
        <v>0</v>
      </c>
      <c r="AD289" s="106" t="n">
        <v>0</v>
      </c>
      <c r="AE289" s="106" t="n">
        <v>1346569.54</v>
      </c>
      <c r="AF289" s="106" t="n"/>
      <c r="AG289" s="106" t="n">
        <v>0</v>
      </c>
      <c r="AH289" s="106" t="n">
        <v>0</v>
      </c>
      <c r="AI289" s="106" t="n">
        <v>0</v>
      </c>
      <c r="AJ289" s="106" t="n">
        <v>0</v>
      </c>
      <c r="AK289" s="106" t="n">
        <v>0</v>
      </c>
      <c r="AL289" s="106" t="n">
        <v>7829891.4404088</v>
      </c>
      <c r="AM289" s="106" t="n">
        <v>1108317.88</v>
      </c>
      <c r="AN289" s="114" t="n">
        <v>92400.172</v>
      </c>
      <c r="AO289" s="115" t="n">
        <v>177453.2217672</v>
      </c>
      <c r="AP289" s="112" t="n">
        <f aca="false" ca="false" dt2D="false" dtr="false" t="normal">+N289-'Приложение №2'!E289</f>
        <v>0</v>
      </c>
      <c r="AQ289" s="1" t="n">
        <v>1671383.18</v>
      </c>
      <c r="AR289" s="3" t="n">
        <f aca="false" ca="false" dt2D="false" dtr="false" t="normal">+(K289*10+L289*20)*12*0.85</f>
        <v>351002.39999999997</v>
      </c>
      <c r="AS289" s="3" t="n">
        <f aca="false" ca="false" dt2D="false" dtr="false" t="normal">+(K289*10+L289*20)*12*30</f>
        <v>12388320</v>
      </c>
      <c r="AT289" s="9" t="n">
        <f aca="false" ca="false" dt2D="false" dtr="false" t="normal">+S289-AS289</f>
        <v>-12388320</v>
      </c>
      <c r="AU289" s="9" t="e">
        <f aca="false" ca="false" dt2D="false" dtr="false" t="normal">+P289-'[5]Приложение №1'!$P304</f>
        <v>#REF!</v>
      </c>
      <c r="AV289" s="9" t="e">
        <f aca="false" ca="false" dt2D="false" dtr="false" t="normal">+Q289-'[5]Приложение №1'!$Q304</f>
        <v>#REF!</v>
      </c>
      <c r="AW289" s="113" t="n">
        <f aca="false" ca="true" dt2D="false" dtr="false" t="normal">SUBTOTAL(9, AX289:BL289)</f>
        <v>1419894.474176</v>
      </c>
      <c r="AX289" s="106" t="n">
        <v>0</v>
      </c>
      <c r="AY289" s="106" t="n">
        <v>0</v>
      </c>
      <c r="AZ289" s="106" t="n">
        <v>0</v>
      </c>
      <c r="BA289" s="106" t="n">
        <v>0</v>
      </c>
      <c r="BB289" s="106" t="n">
        <v>1413665.12</v>
      </c>
      <c r="BC289" s="106" t="n"/>
      <c r="BD289" s="106" t="n"/>
      <c r="BE289" s="106" t="n">
        <v>0</v>
      </c>
      <c r="BF289" s="106" t="n">
        <v>0</v>
      </c>
      <c r="BG289" s="106" t="n">
        <v>0</v>
      </c>
      <c r="BH289" s="106" t="n">
        <v>0</v>
      </c>
      <c r="BI289" s="106" t="n"/>
      <c r="BJ289" s="106" t="n"/>
      <c r="BK289" s="114" t="n"/>
      <c r="BL289" s="187" t="n">
        <v>6229.354176</v>
      </c>
      <c r="BM289" s="113" t="n">
        <f aca="false" ca="true" dt2D="false" dtr="false" t="normal">SUBTOTAL(9, BN289:CB289)</f>
        <v>1419894.474176</v>
      </c>
      <c r="BN289" s="106" t="n">
        <v>0</v>
      </c>
      <c r="BO289" s="106" t="n">
        <v>0</v>
      </c>
      <c r="BP289" s="106" t="n">
        <v>0</v>
      </c>
      <c r="BQ289" s="106" t="n">
        <v>0</v>
      </c>
      <c r="BR289" s="106" t="n">
        <v>1413665.12</v>
      </c>
      <c r="BS289" s="106" t="n"/>
      <c r="BT289" s="106" t="n"/>
      <c r="BU289" s="106" t="n">
        <v>0</v>
      </c>
      <c r="BV289" s="106" t="n">
        <v>0</v>
      </c>
      <c r="BW289" s="106" t="n">
        <v>0</v>
      </c>
      <c r="BX289" s="106" t="n">
        <v>0</v>
      </c>
      <c r="BY289" s="106" t="n"/>
      <c r="BZ289" s="106" t="n"/>
      <c r="CA289" s="114" t="n"/>
      <c r="CB289" s="115" t="n">
        <v>6229.354176</v>
      </c>
      <c r="CD289" s="116" t="n">
        <f aca="false" ca="false" dt2D="false" dtr="false" t="normal">+CD288+1</f>
        <v>270</v>
      </c>
      <c r="CE289" s="117" t="n">
        <f aca="false" ca="false" dt2D="false" dtr="false" t="normal">+CE288+1</f>
        <v>82</v>
      </c>
      <c r="CF289" s="104" t="s">
        <v>111</v>
      </c>
      <c r="CG289" s="117" t="s">
        <v>371</v>
      </c>
      <c r="CH289" s="118" t="n">
        <f aca="false" ca="true" dt2D="false" dtr="false" t="normal">SUBTOTAL(9, CI289:CW289)</f>
        <v>1419894.474176</v>
      </c>
      <c r="CI289" s="114" t="n">
        <v>0</v>
      </c>
      <c r="CJ289" s="114" t="n">
        <v>0</v>
      </c>
      <c r="CK289" s="114" t="n">
        <v>0</v>
      </c>
      <c r="CL289" s="114" t="n">
        <v>0</v>
      </c>
      <c r="CM289" s="114" t="n">
        <v>1413665.12</v>
      </c>
      <c r="CN289" s="114" t="n"/>
      <c r="CO289" s="114" t="n"/>
      <c r="CP289" s="114" t="n">
        <v>0</v>
      </c>
      <c r="CQ289" s="114" t="n">
        <v>0</v>
      </c>
      <c r="CR289" s="114" t="n">
        <v>0</v>
      </c>
      <c r="CS289" s="114" t="n">
        <v>0</v>
      </c>
      <c r="CT289" s="114" t="n"/>
      <c r="CU289" s="114" t="n"/>
      <c r="CV289" s="114" t="n"/>
      <c r="CW289" s="115" t="n">
        <v>6229.354176</v>
      </c>
      <c r="CZ289" s="117" t="s">
        <v>371</v>
      </c>
      <c r="DA289" s="119" t="n">
        <f aca="false" ca="true" dt2D="false" dtr="false" t="normal">SUBTOTAL(9, DB289:DP289)</f>
        <v>1413665.12</v>
      </c>
      <c r="DB289" s="114" t="n">
        <v>0</v>
      </c>
      <c r="DC289" s="114" t="n">
        <v>0</v>
      </c>
      <c r="DD289" s="114" t="n">
        <v>0</v>
      </c>
      <c r="DE289" s="114" t="n">
        <v>0</v>
      </c>
      <c r="DF289" s="114" t="n">
        <v>1413665.12</v>
      </c>
      <c r="DG289" s="114" t="n"/>
      <c r="DH289" s="114" t="n"/>
      <c r="DI289" s="114" t="n">
        <v>0</v>
      </c>
      <c r="DJ289" s="114" t="n">
        <v>0</v>
      </c>
      <c r="DK289" s="114" t="n">
        <v>0</v>
      </c>
      <c r="DL289" s="114" t="n">
        <v>0</v>
      </c>
      <c r="DM289" s="114" t="n"/>
      <c r="DN289" s="114" t="n"/>
      <c r="DO289" s="114" t="n"/>
      <c r="DP289" s="122" t="n"/>
      <c r="DQ289" s="3" t="n">
        <f aca="false" ca="false" dt2D="false" dtr="false" t="normal">N289-DA289</f>
        <v>0</v>
      </c>
      <c r="DS289" s="9" t="n"/>
    </row>
    <row hidden="false" ht="15" outlineLevel="0" r="290">
      <c r="A290" s="183" t="n">
        <f aca="false" ca="false" dt2D="false" dtr="false" t="normal">+A289+1</f>
        <v>271</v>
      </c>
      <c r="B290" s="184" t="n">
        <f aca="false" ca="false" dt2D="false" dtr="false" t="normal">+B289+1</f>
        <v>83</v>
      </c>
      <c r="C290" s="117" t="s">
        <v>111</v>
      </c>
      <c r="D290" s="117" t="s">
        <v>372</v>
      </c>
      <c r="E290" s="105" t="n">
        <v>1968</v>
      </c>
      <c r="F290" s="105" t="n">
        <v>2013</v>
      </c>
      <c r="G290" s="105" t="s">
        <v>68</v>
      </c>
      <c r="H290" s="105" t="n">
        <v>4</v>
      </c>
      <c r="I290" s="105" t="n">
        <v>4</v>
      </c>
      <c r="J290" s="106" t="n">
        <v>2683.3</v>
      </c>
      <c r="K290" s="106" t="n">
        <v>2455</v>
      </c>
      <c r="L290" s="106" t="n">
        <v>0</v>
      </c>
      <c r="M290" s="107" t="n">
        <v>116</v>
      </c>
      <c r="N290" s="108" t="n">
        <f aca="false" ca="false" dt2D="false" dtr="false" t="normal">SUM(P290:T290)</f>
        <v>17110940.630000003</v>
      </c>
      <c r="O290" s="114" t="n"/>
      <c r="P290" s="114" t="n">
        <v>3292073.34</v>
      </c>
      <c r="Q290" s="114" t="n"/>
      <c r="R290" s="113" t="n">
        <v>833638.4</v>
      </c>
      <c r="S290" s="114" t="n">
        <v>10734382.8092458</v>
      </c>
      <c r="T290" s="114" t="n">
        <v>2250846.0807542</v>
      </c>
      <c r="U290" s="106" t="n">
        <v>10413.6714172969</v>
      </c>
      <c r="V290" s="106" t="n">
        <v>10413.6714172969</v>
      </c>
      <c r="W290" s="185" t="n">
        <v>2023</v>
      </c>
      <c r="X290" s="9" t="e">
        <f aca="false" ca="false" dt2D="false" dtr="false" t="normal">+#REF!-'[9]Приложение №1'!$P1472</f>
        <v>#REF!</v>
      </c>
      <c r="Z290" s="113" t="n">
        <f aca="false" ca="false" dt2D="false" dtr="false" t="normal">SUM(AA290:AO290)</f>
        <v>26448146.58</v>
      </c>
      <c r="AA290" s="106" t="n">
        <v>5795721.60707358</v>
      </c>
      <c r="AB290" s="106" t="n">
        <v>2065253.87920782</v>
      </c>
      <c r="AC290" s="106" t="n">
        <v>2157730.77333072</v>
      </c>
      <c r="AD290" s="106" t="n">
        <v>1350875.89398468</v>
      </c>
      <c r="AE290" s="106" t="n">
        <v>826515.1809684</v>
      </c>
      <c r="AF290" s="106" t="n"/>
      <c r="AG290" s="106" t="n">
        <v>222397.71089424</v>
      </c>
      <c r="AH290" s="106" t="n">
        <v>0</v>
      </c>
      <c r="AI290" s="106" t="n">
        <v>10595460.9357702</v>
      </c>
      <c r="AJ290" s="106" t="n">
        <v>0</v>
      </c>
      <c r="AK290" s="106" t="n">
        <v>0</v>
      </c>
      <c r="AL290" s="106" t="n">
        <v>0</v>
      </c>
      <c r="AM290" s="106" t="n">
        <v>2666440.5268</v>
      </c>
      <c r="AN290" s="114" t="n">
        <v>264481.4658</v>
      </c>
      <c r="AO290" s="115" t="n">
        <v>503268.60617036</v>
      </c>
      <c r="AP290" s="112" t="n">
        <f aca="false" ca="false" dt2D="false" dtr="false" t="normal">+N290-'Приложение №2'!E290</f>
        <v>0</v>
      </c>
      <c r="AQ290" s="1" t="n">
        <f aca="false" ca="false" dt2D="false" dtr="false" t="normal">1035919.14-96406.2</f>
        <v>939512.9400000001</v>
      </c>
      <c r="AR290" s="3" t="n">
        <f aca="false" ca="false" dt2D="false" dtr="false" t="normal">+(K290*10+L290*20)*12*0.85</f>
        <v>250410</v>
      </c>
      <c r="AS290" s="3" t="n">
        <f aca="false" ca="false" dt2D="false" dtr="false" t="normal">+(K290*10+L290*20)*12*30</f>
        <v>8838000</v>
      </c>
      <c r="AT290" s="9" t="n">
        <f aca="false" ca="false" dt2D="false" dtr="false" t="normal">+S290-AS290</f>
        <v>1896382.8092458006</v>
      </c>
      <c r="AU290" s="9" t="e">
        <f aca="false" ca="false" dt2D="false" dtr="false" t="normal">+P290-'[5]Приложение №1'!$P305</f>
        <v>#REF!</v>
      </c>
      <c r="AV290" s="9" t="e">
        <f aca="false" ca="false" dt2D="false" dtr="false" t="normal">+Q290-'[5]Приложение №1'!$Q305</f>
        <v>#REF!</v>
      </c>
      <c r="AW290" s="113" t="n">
        <f aca="false" ca="true" dt2D="false" dtr="false" t="normal">SUBTOTAL(9, AX290:BL290)</f>
        <v>25478711.00788</v>
      </c>
      <c r="AX290" s="106" t="n">
        <v>6334618.483536</v>
      </c>
      <c r="AY290" s="106" t="n">
        <v>2285255.030898</v>
      </c>
      <c r="AZ290" s="106" t="n">
        <v>2421941.33</v>
      </c>
      <c r="BA290" s="106" t="n">
        <v>1543119.658416</v>
      </c>
      <c r="BB290" s="106" t="n"/>
      <c r="BC290" s="106" t="n"/>
      <c r="BD290" s="106" t="n">
        <v>222397.71089424</v>
      </c>
      <c r="BE290" s="106" t="n">
        <v>0</v>
      </c>
      <c r="BF290" s="106" t="n">
        <v>11696963.74329</v>
      </c>
      <c r="BG290" s="106" t="n">
        <v>0</v>
      </c>
      <c r="BH290" s="106" t="n">
        <v>0</v>
      </c>
      <c r="BI290" s="106" t="n"/>
      <c r="BJ290" s="106" t="n">
        <v>388642.9108</v>
      </c>
      <c r="BK290" s="114" t="n">
        <v>50318.9908</v>
      </c>
      <c r="BL290" s="187" t="n">
        <v>535453.14924576</v>
      </c>
      <c r="BM290" s="113" t="n">
        <f aca="false" ca="true" dt2D="false" dtr="false" t="normal">SUBTOTAL(9, BN290:CB290)</f>
        <v>21165662.406174</v>
      </c>
      <c r="BN290" s="106" t="n">
        <v>6334618.483536</v>
      </c>
      <c r="BO290" s="106" t="n">
        <v>2285255.030898</v>
      </c>
      <c r="BP290" s="106" t="n">
        <v>2421941.33</v>
      </c>
      <c r="BQ290" s="106" t="n">
        <v>1626971.98</v>
      </c>
      <c r="BR290" s="106" t="n"/>
      <c r="BS290" s="106" t="n"/>
      <c r="BT290" s="106" t="n">
        <v>222397.71089424</v>
      </c>
      <c r="BU290" s="106" t="n">
        <v>0</v>
      </c>
      <c r="BV290" s="106" t="n">
        <v>7300062.82</v>
      </c>
      <c r="BW290" s="106" t="n">
        <v>0</v>
      </c>
      <c r="BX290" s="106" t="n">
        <v>0</v>
      </c>
      <c r="BY290" s="106" t="n"/>
      <c r="BZ290" s="106" t="n">
        <v>388642.9108</v>
      </c>
      <c r="CA290" s="114" t="n">
        <v>50318.9908</v>
      </c>
      <c r="CB290" s="115" t="n">
        <v>535453.14924576</v>
      </c>
      <c r="CD290" s="116" t="n">
        <f aca="false" ca="false" dt2D="false" dtr="false" t="normal">+CD289+1</f>
        <v>271</v>
      </c>
      <c r="CE290" s="117" t="n">
        <f aca="false" ca="false" dt2D="false" dtr="false" t="normal">+CE289+1</f>
        <v>83</v>
      </c>
      <c r="CF290" s="104" t="s">
        <v>111</v>
      </c>
      <c r="CG290" s="117" t="s">
        <v>372</v>
      </c>
      <c r="CH290" s="118" t="n">
        <f aca="false" ca="true" dt2D="false" dtr="false" t="normal">SUBTOTAL(9, CI290:CW290)</f>
        <v>17646393.77924576</v>
      </c>
      <c r="CI290" s="114" t="n">
        <v>5599699.6</v>
      </c>
      <c r="CJ290" s="114" t="n"/>
      <c r="CK290" s="114" t="n">
        <v>2421941.33</v>
      </c>
      <c r="CL290" s="114" t="n">
        <v>1626971.98</v>
      </c>
      <c r="CM290" s="114" t="n"/>
      <c r="CN290" s="114" t="n"/>
      <c r="CO290" s="114" t="n"/>
      <c r="CP290" s="114" t="n">
        <v>0</v>
      </c>
      <c r="CQ290" s="114" t="n">
        <v>7300062.82</v>
      </c>
      <c r="CR290" s="114" t="n">
        <v>0</v>
      </c>
      <c r="CS290" s="114" t="n">
        <v>0</v>
      </c>
      <c r="CT290" s="114" t="n"/>
      <c r="CU290" s="114" t="n">
        <v>143064.9</v>
      </c>
      <c r="CV290" s="114" t="n">
        <v>19200</v>
      </c>
      <c r="CW290" s="115" t="n">
        <v>535453.14924576</v>
      </c>
      <c r="CZ290" s="117" t="s">
        <v>372</v>
      </c>
      <c r="DA290" s="119" t="n">
        <f aca="false" ca="true" dt2D="false" dtr="false" t="normal">SUBTOTAL(9, DB290:DP290)</f>
        <v>17110940.63</v>
      </c>
      <c r="DB290" s="114" t="n">
        <v>5599699.6</v>
      </c>
      <c r="DC290" s="114" t="n"/>
      <c r="DD290" s="114" t="n">
        <v>2421941.33</v>
      </c>
      <c r="DE290" s="114" t="n">
        <v>1626971.98</v>
      </c>
      <c r="DF290" s="114" t="n"/>
      <c r="DG290" s="114" t="n"/>
      <c r="DH290" s="114" t="n"/>
      <c r="DI290" s="114" t="n">
        <v>0</v>
      </c>
      <c r="DJ290" s="114" t="n">
        <v>7300062.82</v>
      </c>
      <c r="DK290" s="114" t="n">
        <v>0</v>
      </c>
      <c r="DL290" s="114" t="n">
        <v>0</v>
      </c>
      <c r="DM290" s="114" t="n"/>
      <c r="DN290" s="114" t="n">
        <v>143064.9</v>
      </c>
      <c r="DO290" s="114" t="n">
        <v>19200</v>
      </c>
      <c r="DP290" s="122" t="n"/>
      <c r="DQ290" s="3" t="n">
        <f aca="false" ca="false" dt2D="false" dtr="false" t="normal">N290-DA290</f>
        <v>0</v>
      </c>
      <c r="DS290" s="9" t="n"/>
    </row>
    <row hidden="false" ht="15" outlineLevel="0" r="291">
      <c r="A291" s="183" t="n">
        <f aca="false" ca="false" dt2D="false" dtr="false" t="normal">+A290+1</f>
        <v>272</v>
      </c>
      <c r="B291" s="184" t="n">
        <f aca="false" ca="false" dt2D="false" dtr="false" t="normal">+B290+1</f>
        <v>84</v>
      </c>
      <c r="C291" s="104" t="s">
        <v>111</v>
      </c>
      <c r="D291" s="104" t="s">
        <v>373</v>
      </c>
      <c r="E291" s="105" t="n">
        <v>1970</v>
      </c>
      <c r="F291" s="105" t="n">
        <v>2013</v>
      </c>
      <c r="G291" s="105" t="s">
        <v>68</v>
      </c>
      <c r="H291" s="105" t="n">
        <v>4</v>
      </c>
      <c r="I291" s="105" t="n">
        <v>4</v>
      </c>
      <c r="J291" s="106" t="n">
        <v>2722.8</v>
      </c>
      <c r="K291" s="106" t="n">
        <v>2468.7</v>
      </c>
      <c r="L291" s="106" t="n">
        <v>72.1</v>
      </c>
      <c r="M291" s="107" t="n">
        <v>146</v>
      </c>
      <c r="N291" s="108" t="n">
        <f aca="false" ca="false" dt2D="false" dtr="false" t="normal">SUM(P291:T291)</f>
        <v>16447028.85</v>
      </c>
      <c r="O291" s="114" t="n"/>
      <c r="P291" s="114" t="n">
        <v>3301463.24</v>
      </c>
      <c r="Q291" s="114" t="n"/>
      <c r="R291" s="114" t="n">
        <v>1018761</v>
      </c>
      <c r="S291" s="114" t="n">
        <v>11071937.5826097</v>
      </c>
      <c r="T291" s="114" t="n">
        <v>1054867.0273903</v>
      </c>
      <c r="U291" s="106" t="n">
        <v>10175.7369118931</v>
      </c>
      <c r="V291" s="106" t="n">
        <v>10175.7369118931</v>
      </c>
      <c r="W291" s="185" t="n">
        <v>2023</v>
      </c>
      <c r="X291" s="9" t="e">
        <f aca="false" ca="false" dt2D="false" dtr="false" t="normal">+#REF!-'[9]Приложение №1'!$P1473</f>
        <v>#REF!</v>
      </c>
      <c r="Z291" s="113" t="n">
        <f aca="false" ca="false" dt2D="false" dtr="false" t="normal">SUM(AA291:AO291)</f>
        <v>26878507.739999995</v>
      </c>
      <c r="AA291" s="106" t="n">
        <v>5890028.91603126</v>
      </c>
      <c r="AB291" s="106" t="n">
        <v>2098859.44768794</v>
      </c>
      <c r="AC291" s="106" t="n">
        <v>2192841.11516526</v>
      </c>
      <c r="AD291" s="106" t="n">
        <v>1372857.18643836</v>
      </c>
      <c r="AE291" s="106" t="n">
        <v>839964.14065872</v>
      </c>
      <c r="AF291" s="106" t="n"/>
      <c r="AG291" s="106" t="n">
        <v>226016.53592028</v>
      </c>
      <c r="AH291" s="106" t="n">
        <v>0</v>
      </c>
      <c r="AI291" s="106" t="n">
        <v>10767869.0495082</v>
      </c>
      <c r="AJ291" s="106" t="n">
        <v>0</v>
      </c>
      <c r="AK291" s="106" t="n">
        <v>0</v>
      </c>
      <c r="AL291" s="106" t="n">
        <v>0</v>
      </c>
      <c r="AM291" s="106" t="n">
        <v>2709828.5369</v>
      </c>
      <c r="AN291" s="114" t="n">
        <v>268785.0774</v>
      </c>
      <c r="AO291" s="115" t="n">
        <v>511457.73428998</v>
      </c>
      <c r="AP291" s="112" t="n">
        <f aca="false" ca="false" dt2D="false" dtr="false" t="normal">+N291-'Приложение №2'!E291</f>
        <v>0</v>
      </c>
      <c r="AQ291" s="1" t="n">
        <f aca="false" ca="false" dt2D="false" dtr="false" t="normal">1230267.29-95960.13</f>
        <v>1134307.1600000001</v>
      </c>
      <c r="AR291" s="3" t="n">
        <f aca="false" ca="false" dt2D="false" dtr="false" t="normal">+(K291*10+L291*20)*12*0.85</f>
        <v>266515.8</v>
      </c>
      <c r="AS291" s="3" t="n">
        <f aca="false" ca="false" dt2D="false" dtr="false" t="normal">+(K291*10+L291*20)*12*30</f>
        <v>9406440</v>
      </c>
      <c r="AT291" s="9" t="n">
        <f aca="false" ca="false" dt2D="false" dtr="false" t="normal">+S291-AS291</f>
        <v>1665497.5826097</v>
      </c>
      <c r="AU291" s="9" t="e">
        <f aca="false" ca="false" dt2D="false" dtr="false" t="normal">+P291-'[5]Приложение №1'!$P306</f>
        <v>#REF!</v>
      </c>
      <c r="AV291" s="9" t="e">
        <f aca="false" ca="false" dt2D="false" dtr="false" t="normal">+Q291-'[5]Приложение №1'!$Q306</f>
        <v>#REF!</v>
      </c>
      <c r="AW291" s="113" t="n">
        <f aca="false" ca="true" dt2D="false" dtr="false" t="normal">SUBTOTAL(9, AX291:BL291)</f>
        <v>25889637.380292</v>
      </c>
      <c r="AX291" s="106" t="n">
        <v>6438393.562734</v>
      </c>
      <c r="AY291" s="106" t="n">
        <v>2323154.770356</v>
      </c>
      <c r="AZ291" s="106" t="n">
        <v>2462247.36</v>
      </c>
      <c r="BA291" s="106" t="n">
        <v>1568819.974554</v>
      </c>
      <c r="BB291" s="106" t="n"/>
      <c r="BC291" s="106" t="n"/>
      <c r="BD291" s="106" t="n">
        <v>226016.53592028</v>
      </c>
      <c r="BE291" s="106" t="n">
        <v>0</v>
      </c>
      <c r="BF291" s="106" t="n">
        <v>11889999.423918</v>
      </c>
      <c r="BG291" s="106" t="n">
        <v>0</v>
      </c>
      <c r="BH291" s="106" t="n">
        <v>0</v>
      </c>
      <c r="BI291" s="106" t="n">
        <v>0</v>
      </c>
      <c r="BJ291" s="106" t="n">
        <v>386371.7851</v>
      </c>
      <c r="BK291" s="114" t="n">
        <v>50356.7251</v>
      </c>
      <c r="BL291" s="187" t="n">
        <v>544277.24260972</v>
      </c>
      <c r="BM291" s="113" t="n">
        <f aca="false" ca="true" dt2D="false" dtr="false" t="normal">SUBTOTAL(9, BN291:CB291)</f>
        <v>20619478.151819997</v>
      </c>
      <c r="BN291" s="106" t="n">
        <v>6438393.562734</v>
      </c>
      <c r="BO291" s="106" t="n">
        <v>2323154.770356</v>
      </c>
      <c r="BP291" s="106" t="n">
        <v>2462247.36</v>
      </c>
      <c r="BQ291" s="106" t="n">
        <v>1533694.94</v>
      </c>
      <c r="BR291" s="106" t="n"/>
      <c r="BS291" s="106" t="n"/>
      <c r="BT291" s="106" t="n">
        <v>226016.53592028</v>
      </c>
      <c r="BU291" s="106" t="n">
        <v>0</v>
      </c>
      <c r="BV291" s="106" t="n">
        <v>6654965.23</v>
      </c>
      <c r="BW291" s="106" t="n">
        <v>0</v>
      </c>
      <c r="BX291" s="106" t="n">
        <v>0</v>
      </c>
      <c r="BY291" s="106" t="n">
        <v>0</v>
      </c>
      <c r="BZ291" s="106" t="n">
        <v>386371.7851</v>
      </c>
      <c r="CA291" s="114" t="n">
        <v>50356.7251</v>
      </c>
      <c r="CB291" s="115" t="n">
        <v>544277.24260972</v>
      </c>
      <c r="CD291" s="116" t="n">
        <f aca="false" ca="false" dt2D="false" dtr="false" t="normal">+CD290+1</f>
        <v>272</v>
      </c>
      <c r="CE291" s="117" t="n">
        <f aca="false" ca="false" dt2D="false" dtr="false" t="normal">+CE290+1</f>
        <v>84</v>
      </c>
      <c r="CF291" s="104" t="s">
        <v>111</v>
      </c>
      <c r="CG291" s="117" t="s">
        <v>373</v>
      </c>
      <c r="CH291" s="118" t="n">
        <f aca="false" ca="true" dt2D="false" dtr="false" t="normal">SUBTOTAL(9, CI291:CW291)</f>
        <v>16991306.09260972</v>
      </c>
      <c r="CI291" s="114" t="n">
        <v>5635685.27</v>
      </c>
      <c r="CJ291" s="114" t="n"/>
      <c r="CK291" s="114" t="n">
        <v>2462247.36</v>
      </c>
      <c r="CL291" s="114" t="n">
        <v>1533694.94</v>
      </c>
      <c r="CM291" s="114" t="n"/>
      <c r="CN291" s="114" t="n"/>
      <c r="CO291" s="114" t="n"/>
      <c r="CP291" s="114" t="n">
        <v>0</v>
      </c>
      <c r="CQ291" s="114" t="n">
        <v>6654965.23</v>
      </c>
      <c r="CR291" s="114" t="n">
        <v>0</v>
      </c>
      <c r="CS291" s="114" t="n">
        <v>0</v>
      </c>
      <c r="CT291" s="114" t="n">
        <v>0</v>
      </c>
      <c r="CU291" s="114" t="n">
        <v>141236.05</v>
      </c>
      <c r="CV291" s="114" t="n">
        <v>19200</v>
      </c>
      <c r="CW291" s="115" t="n">
        <v>544277.24260972</v>
      </c>
      <c r="CZ291" s="117" t="s">
        <v>373</v>
      </c>
      <c r="DA291" s="119" t="n">
        <f aca="false" ca="true" dt2D="false" dtr="false" t="normal">SUBTOTAL(9, DB291:DP291)</f>
        <v>16447028.85</v>
      </c>
      <c r="DB291" s="114" t="n">
        <v>5635685.27</v>
      </c>
      <c r="DC291" s="114" t="n"/>
      <c r="DD291" s="114" t="n">
        <v>2462247.36</v>
      </c>
      <c r="DE291" s="114" t="n">
        <v>1533694.94</v>
      </c>
      <c r="DF291" s="114" t="n"/>
      <c r="DG291" s="114" t="n"/>
      <c r="DH291" s="114" t="n"/>
      <c r="DI291" s="114" t="n">
        <v>0</v>
      </c>
      <c r="DJ291" s="114" t="n">
        <v>6654965.23</v>
      </c>
      <c r="DK291" s="114" t="n">
        <v>0</v>
      </c>
      <c r="DL291" s="114" t="n">
        <v>0</v>
      </c>
      <c r="DM291" s="114" t="n">
        <v>0</v>
      </c>
      <c r="DN291" s="114" t="n">
        <v>141236.05</v>
      </c>
      <c r="DO291" s="114" t="n">
        <v>19200</v>
      </c>
      <c r="DP291" s="122" t="n"/>
      <c r="DQ291" s="3" t="n">
        <f aca="false" ca="false" dt2D="false" dtr="false" t="normal">N291-DA291</f>
        <v>0</v>
      </c>
      <c r="DS291" s="9" t="n"/>
    </row>
    <row hidden="false" ht="15" outlineLevel="0" r="292">
      <c r="A292" s="183" t="n">
        <f aca="false" ca="false" dt2D="false" dtr="false" t="normal">+A291+1</f>
        <v>273</v>
      </c>
      <c r="B292" s="184" t="n">
        <f aca="false" ca="false" dt2D="false" dtr="false" t="normal">+B291+1</f>
        <v>85</v>
      </c>
      <c r="C292" s="104" t="s">
        <v>111</v>
      </c>
      <c r="D292" s="117" t="s">
        <v>374</v>
      </c>
      <c r="E292" s="105" t="n">
        <v>1970</v>
      </c>
      <c r="F292" s="105" t="n">
        <v>2013</v>
      </c>
      <c r="G292" s="105" t="s">
        <v>68</v>
      </c>
      <c r="H292" s="105" t="n">
        <v>4</v>
      </c>
      <c r="I292" s="105" t="n">
        <v>4</v>
      </c>
      <c r="J292" s="106" t="n">
        <v>2981.5</v>
      </c>
      <c r="K292" s="106" t="n">
        <v>2738.8</v>
      </c>
      <c r="L292" s="106" t="n">
        <v>0</v>
      </c>
      <c r="M292" s="107" t="n">
        <v>153</v>
      </c>
      <c r="N292" s="108" t="n">
        <f aca="false" ca="false" dt2D="false" dtr="false" t="normal">SUM(P292:T292)</f>
        <v>15858041.98</v>
      </c>
      <c r="O292" s="114" t="n"/>
      <c r="P292" s="114" t="n">
        <v>8901315</v>
      </c>
      <c r="Q292" s="114" t="n"/>
      <c r="R292" s="114" t="n">
        <v>1403777.48</v>
      </c>
      <c r="S292" s="114" t="n">
        <v>5552949.5</v>
      </c>
      <c r="T292" s="114" t="n"/>
      <c r="U292" s="106" t="n">
        <v>10190.5104018665</v>
      </c>
      <c r="V292" s="106" t="n">
        <v>10190.5104018665</v>
      </c>
      <c r="W292" s="185" t="n">
        <v>2023</v>
      </c>
      <c r="X292" s="9" t="e">
        <f aca="false" ca="false" dt2D="false" dtr="false" t="normal">+#REF!-'[9]Приложение №1'!$P1089</f>
        <v>#REF!</v>
      </c>
      <c r="Z292" s="113" t="n">
        <f aca="false" ca="false" dt2D="false" dtr="false" t="normal">SUM(AA292:AO292)</f>
        <v>37346887.23</v>
      </c>
      <c r="AA292" s="106" t="n">
        <v>6507682.12980522</v>
      </c>
      <c r="AB292" s="106" t="n">
        <v>2318954.67953562</v>
      </c>
      <c r="AC292" s="106" t="n">
        <v>2422791.6618381</v>
      </c>
      <c r="AD292" s="106" t="n">
        <v>1516820.76651756</v>
      </c>
      <c r="AE292" s="106" t="n">
        <v>928046.31598098</v>
      </c>
      <c r="AF292" s="106" t="n"/>
      <c r="AG292" s="106" t="n">
        <v>249717.57989136</v>
      </c>
      <c r="AH292" s="106" t="n">
        <v>0</v>
      </c>
      <c r="AI292" s="106" t="n">
        <v>11897033.101632</v>
      </c>
      <c r="AJ292" s="106" t="n">
        <v>0</v>
      </c>
      <c r="AK292" s="106" t="n">
        <v>0</v>
      </c>
      <c r="AL292" s="106" t="n">
        <v>6662611.78552032</v>
      </c>
      <c r="AM292" s="106" t="n">
        <v>3758971.1671</v>
      </c>
      <c r="AN292" s="114" t="n">
        <v>373468.8723</v>
      </c>
      <c r="AO292" s="115" t="n">
        <v>710789.16987884</v>
      </c>
      <c r="AP292" s="112" t="n">
        <f aca="false" ca="false" dt2D="false" dtr="false" t="normal">+N292-'Приложение №2'!E292</f>
        <v>0</v>
      </c>
      <c r="AQ292" s="1" t="n">
        <f aca="false" ca="false" dt2D="false" dtr="false" t="normal">1220932.16-96512.28</f>
        <v>1124419.88</v>
      </c>
      <c r="AR292" s="3" t="n">
        <f aca="false" ca="false" dt2D="false" dtr="false" t="normal">+(K292*10+L292*20)*12*0.85</f>
        <v>279357.6</v>
      </c>
      <c r="AS292" s="3" t="n">
        <f aca="false" ca="false" dt2D="false" dtr="false" t="normal">+(K292*10+L292*20)*12*30</f>
        <v>9859680</v>
      </c>
      <c r="AT292" s="9" t="n">
        <f aca="false" ca="false" dt2D="false" dtr="false" t="normal">+S292-AS292</f>
        <v>-4306730.5</v>
      </c>
      <c r="AU292" s="9" t="e">
        <f aca="false" ca="false" dt2D="false" dtr="false" t="normal">+P292-'[5]Приложение №1'!$P307</f>
        <v>#REF!</v>
      </c>
      <c r="AV292" s="9" t="e">
        <f aca="false" ca="false" dt2D="false" dtr="false" t="normal">+Q292-'[5]Приложение №1'!$Q307</f>
        <v>#REF!</v>
      </c>
      <c r="AW292" s="113" t="n">
        <f aca="false" ca="true" dt2D="false" dtr="false" t="normal">SUBTOTAL(9, AX292:BL292)</f>
        <v>34130312.75803</v>
      </c>
      <c r="AX292" s="106" t="n">
        <v>7094689.910826</v>
      </c>
      <c r="AY292" s="106" t="n">
        <v>2547296.690526</v>
      </c>
      <c r="AZ292" s="106" t="n">
        <v>1704018.34</v>
      </c>
      <c r="BA292" s="106" t="n">
        <v>1334515.24</v>
      </c>
      <c r="BB292" s="106" t="n"/>
      <c r="BC292" s="106" t="n"/>
      <c r="BD292" s="106" t="n">
        <v>249717.57989136</v>
      </c>
      <c r="BE292" s="106" t="n">
        <v>0</v>
      </c>
      <c r="BF292" s="106" t="n">
        <v>13087063.849398</v>
      </c>
      <c r="BG292" s="106" t="n">
        <v>0</v>
      </c>
      <c r="BH292" s="106" t="n">
        <v>0</v>
      </c>
      <c r="BI292" s="106" t="n">
        <v>7353384.386586</v>
      </c>
      <c r="BJ292" s="106" t="n"/>
      <c r="BK292" s="114" t="n"/>
      <c r="BL292" s="187" t="n">
        <v>759626.76080264</v>
      </c>
      <c r="BM292" s="113" t="n">
        <f aca="false" ca="true" dt2D="false" dtr="false" t="normal">SUBTOTAL(9, BN292:CB292)</f>
        <v>26509372.922046006</v>
      </c>
      <c r="BN292" s="106" t="n">
        <v>7094689.910826</v>
      </c>
      <c r="BO292" s="106" t="n">
        <v>2547296.690526</v>
      </c>
      <c r="BP292" s="106" t="n">
        <v>1704018.34</v>
      </c>
      <c r="BQ292" s="106" t="n">
        <v>1334515.24</v>
      </c>
      <c r="BR292" s="106" t="n"/>
      <c r="BS292" s="106" t="n"/>
      <c r="BT292" s="106" t="n">
        <v>249717.57989136</v>
      </c>
      <c r="BU292" s="106" t="n">
        <v>0</v>
      </c>
      <c r="BV292" s="106" t="n">
        <v>6866520.98</v>
      </c>
      <c r="BW292" s="106" t="n">
        <v>0</v>
      </c>
      <c r="BX292" s="106" t="n">
        <v>0</v>
      </c>
      <c r="BY292" s="106" t="n">
        <v>5952987.42</v>
      </c>
      <c r="BZ292" s="106" t="n"/>
      <c r="CA292" s="114" t="n"/>
      <c r="CB292" s="115" t="n">
        <v>759626.76080264</v>
      </c>
      <c r="CD292" s="116" t="n">
        <f aca="false" ca="false" dt2D="false" dtr="false" t="normal">+CD291+1</f>
        <v>273</v>
      </c>
      <c r="CE292" s="117" t="n">
        <f aca="false" ca="false" dt2D="false" dtr="false" t="normal">+CE291+1</f>
        <v>85</v>
      </c>
      <c r="CF292" s="104" t="s">
        <v>111</v>
      </c>
      <c r="CG292" s="117" t="s">
        <v>374</v>
      </c>
      <c r="CH292" s="118" t="n">
        <f aca="false" ca="true" dt2D="false" dtr="false" t="normal">SUBTOTAL(9, CI292:CW292)</f>
        <v>16617668.74080264</v>
      </c>
      <c r="CI292" s="114" t="n"/>
      <c r="CJ292" s="114" t="n"/>
      <c r="CK292" s="114" t="n">
        <v>1704018.34</v>
      </c>
      <c r="CL292" s="114" t="n">
        <v>1334515.24</v>
      </c>
      <c r="CM292" s="114" t="n"/>
      <c r="CN292" s="114" t="n"/>
      <c r="CO292" s="114" t="n"/>
      <c r="CP292" s="114" t="n">
        <v>0</v>
      </c>
      <c r="CQ292" s="114" t="n">
        <v>6866520.98</v>
      </c>
      <c r="CR292" s="114" t="n">
        <v>0</v>
      </c>
      <c r="CS292" s="114" t="n">
        <v>0</v>
      </c>
      <c r="CT292" s="114" t="n">
        <v>5952987.42</v>
      </c>
      <c r="CU292" s="114" t="n"/>
      <c r="CV292" s="114" t="n"/>
      <c r="CW292" s="115" t="n">
        <v>759626.76080264</v>
      </c>
      <c r="CZ292" s="117" t="s">
        <v>374</v>
      </c>
      <c r="DA292" s="119" t="n">
        <f aca="false" ca="true" dt2D="false" dtr="false" t="normal">SUBTOTAL(9, DB292:DP292)</f>
        <v>15858041.98</v>
      </c>
      <c r="DB292" s="114" t="n"/>
      <c r="DC292" s="114" t="n"/>
      <c r="DD292" s="114" t="n">
        <v>1704018.34</v>
      </c>
      <c r="DE292" s="114" t="n">
        <v>1334515.24</v>
      </c>
      <c r="DF292" s="114" t="n"/>
      <c r="DG292" s="114" t="n"/>
      <c r="DH292" s="114" t="n"/>
      <c r="DI292" s="114" t="n">
        <v>0</v>
      </c>
      <c r="DJ292" s="114" t="n">
        <v>6866520.98</v>
      </c>
      <c r="DK292" s="114" t="n">
        <v>0</v>
      </c>
      <c r="DL292" s="114" t="n">
        <v>0</v>
      </c>
      <c r="DM292" s="114" t="n">
        <v>5952987.42</v>
      </c>
      <c r="DN292" s="114" t="n"/>
      <c r="DO292" s="114" t="n"/>
      <c r="DP292" s="122" t="n"/>
      <c r="DQ292" s="3" t="n">
        <f aca="false" ca="false" dt2D="false" dtr="false" t="normal">N292-DA292</f>
        <v>0</v>
      </c>
      <c r="DS292" s="9" t="n"/>
    </row>
    <row hidden="false" ht="15" outlineLevel="0" r="293">
      <c r="A293" s="183" t="n">
        <f aca="false" ca="false" dt2D="false" dtr="false" t="normal">+A292+1</f>
        <v>274</v>
      </c>
      <c r="B293" s="184" t="n">
        <f aca="false" ca="false" dt2D="false" dtr="false" t="normal">+B292+1</f>
        <v>86</v>
      </c>
      <c r="C293" s="104" t="s">
        <v>111</v>
      </c>
      <c r="D293" s="104" t="s">
        <v>375</v>
      </c>
      <c r="E293" s="105" t="n">
        <v>1972</v>
      </c>
      <c r="F293" s="105" t="n">
        <v>2013</v>
      </c>
      <c r="G293" s="105" t="s">
        <v>68</v>
      </c>
      <c r="H293" s="105" t="n">
        <v>4</v>
      </c>
      <c r="I293" s="105" t="n">
        <v>4</v>
      </c>
      <c r="J293" s="106" t="n">
        <v>4795.56</v>
      </c>
      <c r="K293" s="106" t="n">
        <v>3559.4</v>
      </c>
      <c r="L293" s="106" t="n">
        <v>0</v>
      </c>
      <c r="M293" s="107" t="n">
        <v>159</v>
      </c>
      <c r="N293" s="108" t="n">
        <f aca="false" ca="false" dt2D="false" dtr="false" t="normal">SUM(P293:T293)</f>
        <v>1512746.4</v>
      </c>
      <c r="O293" s="106" t="n"/>
      <c r="P293" s="114" t="n"/>
      <c r="Q293" s="114" t="n"/>
      <c r="R293" s="114" t="n">
        <v>1256015.48</v>
      </c>
      <c r="S293" s="114" t="n">
        <v>256730.92</v>
      </c>
      <c r="T293" s="114" t="n"/>
      <c r="U293" s="106" t="n">
        <v>426.995111535652</v>
      </c>
      <c r="V293" s="106" t="n">
        <v>426.995111535652</v>
      </c>
      <c r="W293" s="185" t="n">
        <v>2023</v>
      </c>
      <c r="X293" s="9" t="e">
        <f aca="false" ca="false" dt2D="false" dtr="false" t="normal">+S293-'[9]Приложение №1'!$P688</f>
        <v>#REF!</v>
      </c>
      <c r="Z293" s="113" t="n">
        <f aca="false" ca="false" dt2D="false" dtr="false" t="normal">SUM(AA293:AO293)</f>
        <v>1454339.57</v>
      </c>
      <c r="AA293" s="106" t="n">
        <v>0</v>
      </c>
      <c r="AB293" s="106" t="n">
        <v>0</v>
      </c>
      <c r="AC293" s="106" t="n">
        <v>0</v>
      </c>
      <c r="AD293" s="106" t="n">
        <v>0</v>
      </c>
      <c r="AE293" s="106" t="n">
        <v>1256015.48</v>
      </c>
      <c r="AF293" s="106" t="n"/>
      <c r="AG293" s="106" t="n">
        <v>0</v>
      </c>
      <c r="AH293" s="106" t="n">
        <v>0</v>
      </c>
      <c r="AI293" s="106" t="n">
        <v>0</v>
      </c>
      <c r="AJ293" s="106" t="n">
        <v>0</v>
      </c>
      <c r="AK293" s="106" t="n">
        <v>0</v>
      </c>
      <c r="AL293" s="106" t="n">
        <v>0</v>
      </c>
      <c r="AM293" s="106" t="n">
        <v>189224.09</v>
      </c>
      <c r="AN293" s="114" t="n">
        <v>2000</v>
      </c>
      <c r="AO293" s="115" t="n">
        <v>7100</v>
      </c>
      <c r="AP293" s="112" t="n">
        <f aca="false" ca="false" dt2D="false" dtr="false" t="normal">+N293-'Приложение №2'!E293</f>
        <v>0</v>
      </c>
      <c r="AQ293" s="1" t="n">
        <v>1597911.73</v>
      </c>
      <c r="AR293" s="3" t="n">
        <f aca="false" ca="false" dt2D="false" dtr="false" t="normal">+(K293*10+L293*20)*12*0.85</f>
        <v>363058.8</v>
      </c>
      <c r="AS293" s="3" t="n">
        <f aca="false" ca="false" dt2D="false" dtr="false" t="normal">+(K293*10+L293*20)*12*30</f>
        <v>12813840</v>
      </c>
      <c r="AT293" s="9" t="n">
        <f aca="false" ca="false" dt2D="false" dtr="false" t="normal">+S293-AS293</f>
        <v>-12557109.08</v>
      </c>
      <c r="AU293" s="9" t="e">
        <f aca="false" ca="false" dt2D="false" dtr="false" t="normal">+P293-'[5]Приложение №1'!$P308</f>
        <v>#REF!</v>
      </c>
      <c r="AV293" s="9" t="e">
        <f aca="false" ca="false" dt2D="false" dtr="false" t="normal">+Q293-'[5]Приложение №1'!$Q308</f>
        <v>#REF!</v>
      </c>
      <c r="AW293" s="113" t="n">
        <f aca="false" ca="true" dt2D="false" dtr="false" t="normal">SUBTOTAL(9, AX293:BL293)</f>
        <v>1519846.4</v>
      </c>
      <c r="AX293" s="106" t="n">
        <v>0</v>
      </c>
      <c r="AY293" s="106" t="n">
        <v>0</v>
      </c>
      <c r="AZ293" s="106" t="n">
        <v>0</v>
      </c>
      <c r="BA293" s="106" t="n">
        <v>0</v>
      </c>
      <c r="BB293" s="106" t="n">
        <v>1512746.4</v>
      </c>
      <c r="BC293" s="106" t="n"/>
      <c r="BD293" s="106" t="n"/>
      <c r="BE293" s="106" t="n">
        <v>0</v>
      </c>
      <c r="BF293" s="106" t="n">
        <v>0</v>
      </c>
      <c r="BG293" s="106" t="n">
        <v>0</v>
      </c>
      <c r="BH293" s="106" t="n">
        <v>0</v>
      </c>
      <c r="BI293" s="106" t="n">
        <v>0</v>
      </c>
      <c r="BJ293" s="106" t="n"/>
      <c r="BK293" s="114" t="n"/>
      <c r="BL293" s="187" t="n">
        <v>7100</v>
      </c>
      <c r="BM293" s="113" t="n">
        <f aca="false" ca="true" dt2D="false" dtr="false" t="normal">SUBTOTAL(9, BN293:CB293)</f>
        <v>1519846.4</v>
      </c>
      <c r="BN293" s="106" t="n">
        <v>0</v>
      </c>
      <c r="BO293" s="106" t="n">
        <v>0</v>
      </c>
      <c r="BP293" s="106" t="n">
        <v>0</v>
      </c>
      <c r="BQ293" s="106" t="n">
        <v>0</v>
      </c>
      <c r="BR293" s="106" t="n">
        <v>1512746.4</v>
      </c>
      <c r="BS293" s="106" t="n"/>
      <c r="BT293" s="106" t="n"/>
      <c r="BU293" s="106" t="n">
        <v>0</v>
      </c>
      <c r="BV293" s="106" t="n">
        <v>0</v>
      </c>
      <c r="BW293" s="106" t="n">
        <v>0</v>
      </c>
      <c r="BX293" s="106" t="n">
        <v>0</v>
      </c>
      <c r="BY293" s="106" t="n">
        <v>0</v>
      </c>
      <c r="BZ293" s="106" t="n"/>
      <c r="CA293" s="114" t="n"/>
      <c r="CB293" s="115" t="n">
        <v>7100</v>
      </c>
      <c r="CD293" s="116" t="n">
        <f aca="false" ca="false" dt2D="false" dtr="false" t="normal">+CD292+1</f>
        <v>274</v>
      </c>
      <c r="CE293" s="117" t="n">
        <f aca="false" ca="false" dt2D="false" dtr="false" t="normal">+CE292+1</f>
        <v>86</v>
      </c>
      <c r="CF293" s="104" t="s">
        <v>111</v>
      </c>
      <c r="CG293" s="117" t="s">
        <v>375</v>
      </c>
      <c r="CH293" s="118" t="n">
        <f aca="false" ca="true" dt2D="false" dtr="false" t="normal">SUBTOTAL(9, CI293:CW293)</f>
        <v>1519846.4</v>
      </c>
      <c r="CI293" s="114" t="n">
        <v>0</v>
      </c>
      <c r="CJ293" s="114" t="n">
        <v>0</v>
      </c>
      <c r="CK293" s="114" t="n">
        <v>0</v>
      </c>
      <c r="CL293" s="114" t="n">
        <v>0</v>
      </c>
      <c r="CM293" s="114" t="n">
        <v>1512746.4</v>
      </c>
      <c r="CN293" s="114" t="n"/>
      <c r="CO293" s="114" t="n"/>
      <c r="CP293" s="114" t="n">
        <v>0</v>
      </c>
      <c r="CQ293" s="114" t="n">
        <v>0</v>
      </c>
      <c r="CR293" s="114" t="n">
        <v>0</v>
      </c>
      <c r="CS293" s="114" t="n">
        <v>0</v>
      </c>
      <c r="CT293" s="114" t="n">
        <v>0</v>
      </c>
      <c r="CU293" s="114" t="n"/>
      <c r="CV293" s="114" t="n"/>
      <c r="CW293" s="115" t="n">
        <v>7100</v>
      </c>
      <c r="CZ293" s="117" t="s">
        <v>375</v>
      </c>
      <c r="DA293" s="119" t="n">
        <f aca="false" ca="true" dt2D="false" dtr="false" t="normal">SUBTOTAL(9, DB293:DP293)</f>
        <v>1512746.4</v>
      </c>
      <c r="DB293" s="114" t="n">
        <v>0</v>
      </c>
      <c r="DC293" s="114" t="n">
        <v>0</v>
      </c>
      <c r="DD293" s="114" t="n">
        <v>0</v>
      </c>
      <c r="DE293" s="114" t="n">
        <v>0</v>
      </c>
      <c r="DF293" s="114" t="n">
        <v>1512746.4</v>
      </c>
      <c r="DG293" s="114" t="n"/>
      <c r="DH293" s="114" t="n"/>
      <c r="DI293" s="114" t="n">
        <v>0</v>
      </c>
      <c r="DJ293" s="114" t="n">
        <v>0</v>
      </c>
      <c r="DK293" s="114" t="n">
        <v>0</v>
      </c>
      <c r="DL293" s="114" t="n">
        <v>0</v>
      </c>
      <c r="DM293" s="114" t="n">
        <v>0</v>
      </c>
      <c r="DN293" s="114" t="n"/>
      <c r="DO293" s="114" t="n"/>
      <c r="DP293" s="122" t="n"/>
      <c r="DQ293" s="3" t="n">
        <f aca="false" ca="false" dt2D="false" dtr="false" t="normal">N293-DA293</f>
        <v>0</v>
      </c>
      <c r="DS293" s="9" t="n"/>
    </row>
    <row hidden="false" ht="15" outlineLevel="0" r="294">
      <c r="A294" s="183" t="n">
        <f aca="false" ca="false" dt2D="false" dtr="false" t="normal">+A293+1</f>
        <v>275</v>
      </c>
      <c r="B294" s="184" t="n">
        <f aca="false" ca="false" dt2D="false" dtr="false" t="normal">+B293+1</f>
        <v>87</v>
      </c>
      <c r="C294" s="104" t="s">
        <v>111</v>
      </c>
      <c r="D294" s="104" t="s">
        <v>173</v>
      </c>
      <c r="E294" s="105" t="n">
        <v>1973</v>
      </c>
      <c r="F294" s="105" t="n">
        <v>2013</v>
      </c>
      <c r="G294" s="105" t="s">
        <v>68</v>
      </c>
      <c r="H294" s="105" t="n">
        <v>4</v>
      </c>
      <c r="I294" s="105" t="n">
        <v>4</v>
      </c>
      <c r="J294" s="106" t="n">
        <v>4678.76</v>
      </c>
      <c r="K294" s="106" t="n">
        <v>3451.8</v>
      </c>
      <c r="L294" s="106" t="n">
        <v>0</v>
      </c>
      <c r="M294" s="107" t="n">
        <v>168</v>
      </c>
      <c r="N294" s="108" t="n">
        <f aca="false" ca="false" dt2D="false" dtr="false" t="normal">SUM(P294:T294)</f>
        <v>1512746.4</v>
      </c>
      <c r="O294" s="106" t="n"/>
      <c r="P294" s="114" t="n"/>
      <c r="Q294" s="114" t="n"/>
      <c r="R294" s="114" t="n">
        <v>0</v>
      </c>
      <c r="S294" s="114" t="n">
        <v>1512746.4</v>
      </c>
      <c r="T294" s="114" t="n"/>
      <c r="U294" s="106" t="n">
        <v>440.390407903123</v>
      </c>
      <c r="V294" s="106" t="n">
        <v>440.390407903123</v>
      </c>
      <c r="W294" s="185" t="n">
        <v>2023</v>
      </c>
      <c r="X294" s="9" t="e">
        <f aca="false" ca="false" dt2D="false" dtr="false" t="normal">+S294-'[9]Приложение №1'!$P689</f>
        <v>#REF!</v>
      </c>
      <c r="Z294" s="113" t="n">
        <f aca="false" ca="false" dt2D="false" dtr="false" t="normal">SUM(AA294:AO294)</f>
        <v>1494080.68</v>
      </c>
      <c r="AA294" s="106" t="n">
        <v>0</v>
      </c>
      <c r="AB294" s="106" t="n">
        <v>0</v>
      </c>
      <c r="AC294" s="106" t="n">
        <v>0</v>
      </c>
      <c r="AD294" s="106" t="n">
        <v>0</v>
      </c>
      <c r="AE294" s="106" t="n">
        <v>1274871.31</v>
      </c>
      <c r="AF294" s="106" t="n"/>
      <c r="AG294" s="106" t="n">
        <v>0</v>
      </c>
      <c r="AH294" s="106" t="n">
        <v>0</v>
      </c>
      <c r="AI294" s="106" t="n">
        <v>0</v>
      </c>
      <c r="AJ294" s="106" t="n">
        <v>0</v>
      </c>
      <c r="AK294" s="106" t="n">
        <v>0</v>
      </c>
      <c r="AL294" s="106" t="n">
        <v>0</v>
      </c>
      <c r="AM294" s="106" t="n">
        <v>209316.16</v>
      </c>
      <c r="AN294" s="114" t="n">
        <v>2500</v>
      </c>
      <c r="AO294" s="115" t="n">
        <v>7393.21</v>
      </c>
      <c r="AP294" s="112" t="n">
        <f aca="false" ca="false" dt2D="false" dtr="false" t="normal">+N294-'Приложение №2'!E294</f>
        <v>0</v>
      </c>
      <c r="AQ294" s="9" t="n">
        <f aca="false" ca="false" dt2D="false" dtr="false" t="normal">1522745.97-R111</f>
        <v>-352083.6000000001</v>
      </c>
      <c r="AR294" s="3" t="n">
        <f aca="false" ca="false" dt2D="false" dtr="false" t="normal">+(K294*10+L294*20)*12*0.85</f>
        <v>352083.6</v>
      </c>
      <c r="AS294" s="3" t="n">
        <f aca="false" ca="false" dt2D="false" dtr="false" t="normal">+(K294*10+L294*20)*12*30-S111</f>
        <v>12356573.03</v>
      </c>
      <c r="AT294" s="9" t="n">
        <f aca="false" ca="false" dt2D="false" dtr="false" t="normal">+S294-AS294</f>
        <v>-10843826.629999999</v>
      </c>
      <c r="AU294" s="9" t="e">
        <f aca="false" ca="false" dt2D="false" dtr="false" t="normal">+P294-'[5]Приложение №1'!$P309</f>
        <v>#REF!</v>
      </c>
      <c r="AV294" s="9" t="e">
        <f aca="false" ca="false" dt2D="false" dtr="false" t="normal">+Q294-'[5]Приложение №1'!$Q309</f>
        <v>#REF!</v>
      </c>
      <c r="AW294" s="113" t="n">
        <f aca="false" ca="true" dt2D="false" dtr="false" t="normal">SUBTOTAL(9, AX294:BL294)</f>
        <v>1520139.6099999999</v>
      </c>
      <c r="AX294" s="106" t="n">
        <v>0</v>
      </c>
      <c r="AY294" s="106" t="n">
        <v>0</v>
      </c>
      <c r="AZ294" s="106" t="n">
        <v>0</v>
      </c>
      <c r="BA294" s="106" t="n">
        <v>0</v>
      </c>
      <c r="BB294" s="106" t="n">
        <v>1512746.4</v>
      </c>
      <c r="BC294" s="106" t="n"/>
      <c r="BD294" s="106" t="n"/>
      <c r="BE294" s="106" t="n">
        <v>0</v>
      </c>
      <c r="BF294" s="106" t="n">
        <v>0</v>
      </c>
      <c r="BG294" s="106" t="n">
        <v>0</v>
      </c>
      <c r="BH294" s="106" t="n">
        <v>0</v>
      </c>
      <c r="BI294" s="106" t="n"/>
      <c r="BJ294" s="106" t="n"/>
      <c r="BK294" s="114" t="n"/>
      <c r="BL294" s="187" t="n">
        <v>7393.21</v>
      </c>
      <c r="BM294" s="113" t="n">
        <f aca="false" ca="true" dt2D="false" dtr="false" t="normal">SUBTOTAL(9, BN294:CB294)</f>
        <v>1520139.6099999999</v>
      </c>
      <c r="BN294" s="106" t="n">
        <v>0</v>
      </c>
      <c r="BO294" s="106" t="n">
        <v>0</v>
      </c>
      <c r="BP294" s="106" t="n">
        <v>0</v>
      </c>
      <c r="BQ294" s="106" t="n">
        <v>0</v>
      </c>
      <c r="BR294" s="106" t="n">
        <v>1512746.4</v>
      </c>
      <c r="BS294" s="106" t="n"/>
      <c r="BT294" s="106" t="n"/>
      <c r="BU294" s="106" t="n">
        <v>0</v>
      </c>
      <c r="BV294" s="106" t="n">
        <v>0</v>
      </c>
      <c r="BW294" s="106" t="n">
        <v>0</v>
      </c>
      <c r="BX294" s="106" t="n">
        <v>0</v>
      </c>
      <c r="BY294" s="106" t="n"/>
      <c r="BZ294" s="106" t="n"/>
      <c r="CA294" s="114" t="n"/>
      <c r="CB294" s="115" t="n">
        <v>7393.21</v>
      </c>
      <c r="CD294" s="116" t="n">
        <f aca="false" ca="false" dt2D="false" dtr="false" t="normal">+CD293+1</f>
        <v>275</v>
      </c>
      <c r="CE294" s="117" t="n">
        <f aca="false" ca="false" dt2D="false" dtr="false" t="normal">+CE293+1</f>
        <v>87</v>
      </c>
      <c r="CF294" s="104" t="s">
        <v>111</v>
      </c>
      <c r="CG294" s="117" t="s">
        <v>173</v>
      </c>
      <c r="CH294" s="118" t="n">
        <f aca="false" ca="true" dt2D="false" dtr="false" t="normal">SUBTOTAL(9, CI294:CW294)</f>
        <v>1520139.6099999999</v>
      </c>
      <c r="CI294" s="114" t="n">
        <v>0</v>
      </c>
      <c r="CJ294" s="114" t="n">
        <v>0</v>
      </c>
      <c r="CK294" s="114" t="n">
        <v>0</v>
      </c>
      <c r="CL294" s="114" t="n">
        <v>0</v>
      </c>
      <c r="CM294" s="114" t="n">
        <v>1512746.4</v>
      </c>
      <c r="CN294" s="114" t="n"/>
      <c r="CO294" s="114" t="n"/>
      <c r="CP294" s="114" t="n">
        <v>0</v>
      </c>
      <c r="CQ294" s="114" t="n">
        <v>0</v>
      </c>
      <c r="CR294" s="114" t="n">
        <v>0</v>
      </c>
      <c r="CS294" s="114" t="n">
        <v>0</v>
      </c>
      <c r="CT294" s="114" t="n"/>
      <c r="CU294" s="114" t="n"/>
      <c r="CV294" s="114" t="n"/>
      <c r="CW294" s="115" t="n">
        <v>7393.21</v>
      </c>
      <c r="CZ294" s="117" t="s">
        <v>173</v>
      </c>
      <c r="DA294" s="119" t="n">
        <f aca="false" ca="true" dt2D="false" dtr="false" t="normal">SUBTOTAL(9, DB294:DP294)</f>
        <v>1512746.4</v>
      </c>
      <c r="DB294" s="114" t="n">
        <v>0</v>
      </c>
      <c r="DC294" s="114" t="n">
        <v>0</v>
      </c>
      <c r="DD294" s="114" t="n">
        <v>0</v>
      </c>
      <c r="DE294" s="114" t="n">
        <v>0</v>
      </c>
      <c r="DF294" s="114" t="n">
        <v>1512746.4</v>
      </c>
      <c r="DG294" s="114" t="n"/>
      <c r="DH294" s="114" t="n"/>
      <c r="DI294" s="114" t="n">
        <v>0</v>
      </c>
      <c r="DJ294" s="114" t="n">
        <v>0</v>
      </c>
      <c r="DK294" s="114" t="n">
        <v>0</v>
      </c>
      <c r="DL294" s="114" t="n">
        <v>0</v>
      </c>
      <c r="DM294" s="114" t="n"/>
      <c r="DN294" s="114" t="n"/>
      <c r="DO294" s="114" t="n"/>
      <c r="DP294" s="122" t="n"/>
      <c r="DQ294" s="3" t="n">
        <f aca="false" ca="false" dt2D="false" dtr="false" t="normal">N294-DA294</f>
        <v>0</v>
      </c>
      <c r="DS294" s="9" t="n"/>
    </row>
    <row hidden="false" ht="15" outlineLevel="0" r="295">
      <c r="A295" s="183" t="n">
        <f aca="false" ca="false" dt2D="false" dtr="false" t="normal">+A294+1</f>
        <v>276</v>
      </c>
      <c r="B295" s="184" t="n">
        <f aca="false" ca="false" dt2D="false" dtr="false" t="normal">+B294+1</f>
        <v>88</v>
      </c>
      <c r="C295" s="104" t="s">
        <v>111</v>
      </c>
      <c r="D295" s="104" t="s">
        <v>170</v>
      </c>
      <c r="E295" s="105" t="n">
        <v>1992</v>
      </c>
      <c r="F295" s="105" t="n">
        <v>2013</v>
      </c>
      <c r="G295" s="105" t="s">
        <v>68</v>
      </c>
      <c r="H295" s="105" t="n">
        <v>5</v>
      </c>
      <c r="I295" s="105" t="n">
        <v>4</v>
      </c>
      <c r="J295" s="106" t="n">
        <v>5274.7</v>
      </c>
      <c r="K295" s="106" t="n">
        <v>4397.95</v>
      </c>
      <c r="L295" s="106" t="n">
        <v>82.7</v>
      </c>
      <c r="M295" s="107" t="n">
        <v>351</v>
      </c>
      <c r="N295" s="108" t="n">
        <f aca="false" ca="false" dt2D="false" dtr="false" t="normal">SUM(P295:T295)</f>
        <v>5508552.49</v>
      </c>
      <c r="O295" s="106" t="n"/>
      <c r="P295" s="114" t="n"/>
      <c r="Q295" s="114" t="n"/>
      <c r="R295" s="114" t="n"/>
      <c r="S295" s="114" t="n">
        <v>5018775.67284708</v>
      </c>
      <c r="T295" s="114" t="n">
        <v>489776.81715292</v>
      </c>
      <c r="U295" s="114" t="n">
        <v>2328.42110694812</v>
      </c>
      <c r="V295" s="114" t="n">
        <v>2328.42110694812</v>
      </c>
      <c r="W295" s="185" t="n">
        <v>2023</v>
      </c>
      <c r="X295" s="9" t="e">
        <f aca="false" ca="false" dt2D="false" dtr="false" t="normal">+#REF!-'[9]Приложение №1'!$P1297</f>
        <v>#REF!</v>
      </c>
      <c r="Z295" s="113" t="n">
        <f aca="false" ca="false" dt2D="false" dtr="false" t="normal">SUM(AA295:AO295)</f>
        <v>73758689.84</v>
      </c>
      <c r="AA295" s="106" t="n">
        <v>6929151.73554786</v>
      </c>
      <c r="AB295" s="106" t="n">
        <v>4007317.87339926</v>
      </c>
      <c r="AC295" s="106" t="n">
        <v>4236031.7089398</v>
      </c>
      <c r="AD295" s="106" t="n">
        <v>3230010.1851276</v>
      </c>
      <c r="AE295" s="106" t="n">
        <v>0</v>
      </c>
      <c r="AF295" s="106" t="n"/>
      <c r="AG295" s="106" t="n">
        <v>344307.72949692</v>
      </c>
      <c r="AH295" s="106" t="n">
        <v>0</v>
      </c>
      <c r="AI295" s="106" t="n">
        <v>12334945.0707882</v>
      </c>
      <c r="AJ295" s="106" t="n">
        <v>0</v>
      </c>
      <c r="AK295" s="106" t="n">
        <v>23948365.8336569</v>
      </c>
      <c r="AL295" s="106" t="n">
        <v>9418585.1320218</v>
      </c>
      <c r="AM295" s="106" t="n">
        <v>7163024.8004</v>
      </c>
      <c r="AN295" s="114" t="n">
        <v>737586.8984</v>
      </c>
      <c r="AO295" s="115" t="n">
        <v>1409362.87222168</v>
      </c>
      <c r="AP295" s="112" t="n">
        <f aca="false" ca="false" dt2D="false" dtr="false" t="normal">+N295-'Приложение №2'!E295</f>
        <v>0</v>
      </c>
      <c r="AQ295" s="9" t="n">
        <f aca="false" ca="false" dt2D="false" dtr="false" t="normal">1987606.27-R108</f>
        <v>-370610.7000000002</v>
      </c>
      <c r="AR295" s="3" t="n">
        <f aca="false" ca="false" dt2D="false" dtr="false" t="normal">+(K295*10+L295*20)*12*0.85</f>
        <v>465461.7</v>
      </c>
      <c r="AS295" s="3" t="n">
        <f aca="false" ca="false" dt2D="false" dtr="false" t="normal">+(K295*10+L295*20)*12*30-S108</f>
        <v>3034035.8371529</v>
      </c>
      <c r="AT295" s="9" t="n">
        <f aca="false" ca="false" dt2D="false" dtr="false" t="normal">+S295-AS295</f>
        <v>1984739.8356941799</v>
      </c>
      <c r="AU295" s="9" t="e">
        <f aca="false" ca="false" dt2D="false" dtr="false" t="normal">+P295-'[5]Приложение №1'!$P310</f>
        <v>#REF!</v>
      </c>
      <c r="AV295" s="9" t="e">
        <f aca="false" ca="false" dt2D="false" dtr="false" t="normal">+Q295-'[5]Приложение №1'!$Q310</f>
        <v>#REF!</v>
      </c>
      <c r="AW295" s="113" t="n">
        <f aca="false" ca="true" dt2D="false" dtr="false" t="normal">SUBTOTAL(9, AX295:BL295)</f>
        <v>11699117.62284708</v>
      </c>
      <c r="AX295" s="106" t="n">
        <v>6146198.44</v>
      </c>
      <c r="AY295" s="106" t="n">
        <v>3984439.31</v>
      </c>
      <c r="AZ295" s="106" t="n"/>
      <c r="BA295" s="106" t="n"/>
      <c r="BB295" s="106" t="n"/>
      <c r="BC295" s="106" t="n"/>
      <c r="BD295" s="106" t="n"/>
      <c r="BE295" s="106" t="n"/>
      <c r="BF295" s="106" t="n"/>
      <c r="BG295" s="106" t="n"/>
      <c r="BH295" s="106" t="n"/>
      <c r="BI295" s="106" t="n"/>
      <c r="BJ295" s="106" t="n"/>
      <c r="BK295" s="114" t="n"/>
      <c r="BL295" s="187" t="n">
        <v>1568479.87284708</v>
      </c>
      <c r="BM295" s="113" t="n">
        <f aca="false" ca="true" dt2D="false" dtr="false" t="normal">SUBTOTAL(9, BN295:CB295)</f>
        <v>10432840.03284708</v>
      </c>
      <c r="BN295" s="106" t="n">
        <v>4879920.85</v>
      </c>
      <c r="BO295" s="106" t="n">
        <v>3984439.31</v>
      </c>
      <c r="BP295" s="106" t="n"/>
      <c r="BQ295" s="106" t="n"/>
      <c r="BR295" s="106" t="n"/>
      <c r="BS295" s="106" t="n"/>
      <c r="BT295" s="106" t="n"/>
      <c r="BU295" s="106" t="n"/>
      <c r="BV295" s="106" t="n"/>
      <c r="BW295" s="106" t="n"/>
      <c r="BX295" s="106" t="n"/>
      <c r="BY295" s="106" t="n"/>
      <c r="BZ295" s="106" t="n"/>
      <c r="CA295" s="114" t="n"/>
      <c r="CB295" s="115" t="n">
        <v>1568479.87284708</v>
      </c>
      <c r="CD295" s="116" t="n">
        <f aca="false" ca="false" dt2D="false" dtr="false" t="normal">+CD294+1</f>
        <v>276</v>
      </c>
      <c r="CE295" s="117" t="n">
        <f aca="false" ca="false" dt2D="false" dtr="false" t="normal">+CE294+1</f>
        <v>88</v>
      </c>
      <c r="CF295" s="104" t="s">
        <v>111</v>
      </c>
      <c r="CG295" s="117" t="s">
        <v>170</v>
      </c>
      <c r="CH295" s="118" t="n">
        <f aca="false" ca="true" dt2D="false" dtr="false" t="normal">SUBTOTAL(9, CI295:CW295)</f>
        <v>7077032.36284708</v>
      </c>
      <c r="CI295" s="114" t="n">
        <v>5508552.49</v>
      </c>
      <c r="CJ295" s="114" t="n"/>
      <c r="CK295" s="114" t="n"/>
      <c r="CL295" s="114" t="n"/>
      <c r="CM295" s="114" t="n"/>
      <c r="CN295" s="114" t="n"/>
      <c r="CO295" s="114" t="n"/>
      <c r="CP295" s="114" t="n"/>
      <c r="CQ295" s="114" t="n"/>
      <c r="CR295" s="114" t="n"/>
      <c r="CS295" s="114" t="n"/>
      <c r="CT295" s="114" t="n"/>
      <c r="CU295" s="114" t="n"/>
      <c r="CV295" s="114" t="n"/>
      <c r="CW295" s="115" t="n">
        <v>1568479.87284708</v>
      </c>
      <c r="CZ295" s="117" t="s">
        <v>170</v>
      </c>
      <c r="DA295" s="119" t="n">
        <f aca="false" ca="true" dt2D="false" dtr="false" t="normal">SUBTOTAL(9, DB295:DP295)</f>
        <v>5508552.49</v>
      </c>
      <c r="DB295" s="114" t="n">
        <v>5508552.49</v>
      </c>
      <c r="DC295" s="114" t="n"/>
      <c r="DD295" s="114" t="n"/>
      <c r="DE295" s="114" t="n"/>
      <c r="DF295" s="114" t="n"/>
      <c r="DG295" s="114" t="n"/>
      <c r="DH295" s="114" t="n"/>
      <c r="DI295" s="114" t="n"/>
      <c r="DJ295" s="114" t="n"/>
      <c r="DK295" s="114" t="n"/>
      <c r="DL295" s="114" t="n"/>
      <c r="DM295" s="114" t="n"/>
      <c r="DN295" s="114" t="n"/>
      <c r="DO295" s="114" t="n"/>
      <c r="DP295" s="122" t="n"/>
      <c r="DQ295" s="3" t="n">
        <f aca="false" ca="false" dt2D="false" dtr="false" t="normal">N295-DA295</f>
        <v>0</v>
      </c>
      <c r="DS295" s="9" t="n"/>
    </row>
    <row hidden="false" ht="15" outlineLevel="0" r="296">
      <c r="A296" s="183" t="n">
        <f aca="false" ca="false" dt2D="false" dtr="false" t="normal">+A295+1</f>
        <v>277</v>
      </c>
      <c r="B296" s="184" t="n">
        <f aca="false" ca="false" dt2D="false" dtr="false" t="normal">+B295+1</f>
        <v>89</v>
      </c>
      <c r="C296" s="104" t="s">
        <v>111</v>
      </c>
      <c r="D296" s="104" t="s">
        <v>171</v>
      </c>
      <c r="E296" s="105" t="n">
        <v>1987</v>
      </c>
      <c r="F296" s="105" t="n">
        <v>1987</v>
      </c>
      <c r="G296" s="105" t="s">
        <v>68</v>
      </c>
      <c r="H296" s="105" t="n">
        <v>5</v>
      </c>
      <c r="I296" s="105" t="n">
        <v>3</v>
      </c>
      <c r="J296" s="106" t="n">
        <v>5170.7</v>
      </c>
      <c r="K296" s="106" t="n">
        <v>2871.7</v>
      </c>
      <c r="L296" s="106" t="n">
        <v>2299</v>
      </c>
      <c r="M296" s="107" t="n">
        <v>334</v>
      </c>
      <c r="N296" s="108" t="n">
        <f aca="false" ca="false" dt2D="false" dtr="false" t="normal">SUM(P296:T296)</f>
        <v>4422689.51</v>
      </c>
      <c r="O296" s="114" t="n"/>
      <c r="P296" s="114" t="n">
        <v>1876558.66</v>
      </c>
      <c r="Q296" s="114" t="n"/>
      <c r="R296" s="114" t="n">
        <v>1137386.69</v>
      </c>
      <c r="S296" s="114" t="n">
        <v>1408744.16</v>
      </c>
      <c r="T296" s="114" t="n"/>
      <c r="U296" s="114" t="n">
        <v>2143.11037672055</v>
      </c>
      <c r="V296" s="114" t="n">
        <v>2143.11037672055</v>
      </c>
      <c r="W296" s="185" t="n">
        <v>2023</v>
      </c>
      <c r="X296" s="9" t="e">
        <f aca="false" ca="false" dt2D="false" dtr="false" t="normal">+#REF!-'[9]Приложение №1'!$P1295</f>
        <v>#REF!</v>
      </c>
      <c r="Z296" s="113" t="n">
        <f aca="false" ca="false" dt2D="false" dtr="false" t="normal">SUM(AA296:AO296)</f>
        <v>44376055.650000006</v>
      </c>
      <c r="AA296" s="106" t="n">
        <v>6705846.86431296</v>
      </c>
      <c r="AB296" s="106" t="n">
        <v>2389568.92118868</v>
      </c>
      <c r="AC296" s="106" t="n">
        <v>2496567.83231184</v>
      </c>
      <c r="AD296" s="106" t="n">
        <v>1563009.3139332</v>
      </c>
      <c r="AE296" s="106" t="n">
        <v>0</v>
      </c>
      <c r="AF296" s="106" t="n"/>
      <c r="AG296" s="106" t="n">
        <v>257321.70331308</v>
      </c>
      <c r="AH296" s="106" t="n">
        <v>0</v>
      </c>
      <c r="AI296" s="106" t="n">
        <v>12259308.3878538</v>
      </c>
      <c r="AJ296" s="106" t="n">
        <v>0</v>
      </c>
      <c r="AK296" s="106" t="n">
        <v>6365089.67499342</v>
      </c>
      <c r="AL296" s="106" t="n">
        <v>6865494.2663706</v>
      </c>
      <c r="AM296" s="106" t="n">
        <v>4179375.6532</v>
      </c>
      <c r="AN296" s="114" t="n">
        <v>443760.5565</v>
      </c>
      <c r="AO296" s="115" t="n">
        <v>850712.47602242</v>
      </c>
      <c r="AP296" s="112" t="n">
        <f aca="false" ca="false" dt2D="false" dtr="false" t="normal">+N296-'Приложение №2'!E296</f>
        <v>0</v>
      </c>
      <c r="AQ296" s="9" t="n">
        <f aca="false" ca="false" dt2D="false" dtr="false" t="normal">2578731.31-R109</f>
        <v>375477.29000000004</v>
      </c>
      <c r="AR296" s="3" t="n">
        <f aca="false" ca="false" dt2D="false" dtr="false" t="normal">+(K296*10+L296*20)*12*0.85</f>
        <v>761909.4</v>
      </c>
      <c r="AS296" s="3" t="n">
        <f aca="false" ca="false" dt2D="false" dtr="false" t="normal">+(K296*10+L296*20)*12*30-S109</f>
        <v>18653329.507799998</v>
      </c>
      <c r="AT296" s="9" t="n">
        <f aca="false" ca="false" dt2D="false" dtr="false" t="normal">+S296-AS296</f>
        <v>-17244585.347799998</v>
      </c>
      <c r="AU296" s="9" t="e">
        <f aca="false" ca="false" dt2D="false" dtr="false" t="normal">+P296-'[5]Приложение №1'!$P311</f>
        <v>#REF!</v>
      </c>
      <c r="AV296" s="9" t="e">
        <f aca="false" ca="false" dt2D="false" dtr="false" t="normal">+Q296-'[5]Приложение №1'!$Q311</f>
        <v>#REF!</v>
      </c>
      <c r="AW296" s="113" t="n">
        <f aca="false" ca="true" dt2D="false" dtr="false" t="normal">SUBTOTAL(9, AX296:BL296)</f>
        <v>11081380.824908921</v>
      </c>
      <c r="AX296" s="106" t="n">
        <v>5873059.19</v>
      </c>
      <c r="AY296" s="106" t="n">
        <v>2875942.18</v>
      </c>
      <c r="AZ296" s="106" t="n"/>
      <c r="BA296" s="106" t="n">
        <v>1546747.33</v>
      </c>
      <c r="BB296" s="106" t="n"/>
      <c r="BC296" s="106" t="n"/>
      <c r="BD296" s="106" t="n"/>
      <c r="BE296" s="106" t="n"/>
      <c r="BF296" s="106" t="n"/>
      <c r="BG296" s="106" t="n"/>
      <c r="BH296" s="106" t="n"/>
      <c r="BI296" s="106" t="n"/>
      <c r="BJ296" s="106" t="n"/>
      <c r="BK296" s="114" t="n"/>
      <c r="BL296" s="187" t="n">
        <v>785632.12490892</v>
      </c>
      <c r="BM296" s="113" t="n">
        <f aca="false" ca="true" dt2D="false" dtr="false" t="normal">SUBTOTAL(9, BN296:CB296)</f>
        <v>11081380.824908921</v>
      </c>
      <c r="BN296" s="106" t="n">
        <v>5873059.19</v>
      </c>
      <c r="BO296" s="106" t="n">
        <v>2875942.18</v>
      </c>
      <c r="BP296" s="106" t="n"/>
      <c r="BQ296" s="106" t="n">
        <v>1546747.33</v>
      </c>
      <c r="BR296" s="106" t="n"/>
      <c r="BS296" s="106" t="n"/>
      <c r="BT296" s="106" t="n"/>
      <c r="BU296" s="106" t="n"/>
      <c r="BV296" s="106" t="n"/>
      <c r="BW296" s="106" t="n"/>
      <c r="BX296" s="106" t="n"/>
      <c r="BY296" s="106" t="n"/>
      <c r="BZ296" s="106" t="n"/>
      <c r="CA296" s="114" t="n"/>
      <c r="CB296" s="115" t="n">
        <v>785632.12490892</v>
      </c>
      <c r="CD296" s="116" t="n">
        <f aca="false" ca="false" dt2D="false" dtr="false" t="normal">+CD295+1</f>
        <v>277</v>
      </c>
      <c r="CE296" s="117" t="n">
        <f aca="false" ca="false" dt2D="false" dtr="false" t="normal">+CE295+1</f>
        <v>89</v>
      </c>
      <c r="CF296" s="104" t="s">
        <v>111</v>
      </c>
      <c r="CG296" s="117" t="s">
        <v>171</v>
      </c>
      <c r="CH296" s="118" t="n">
        <f aca="false" ca="true" dt2D="false" dtr="false" t="normal">SUBTOTAL(9, CI296:CW296)</f>
        <v>5208321.63490892</v>
      </c>
      <c r="CI296" s="114" t="n"/>
      <c r="CJ296" s="114" t="n">
        <v>2875942.18</v>
      </c>
      <c r="CK296" s="114" t="n"/>
      <c r="CL296" s="114" t="n">
        <v>1546747.33</v>
      </c>
      <c r="CM296" s="114" t="n"/>
      <c r="CN296" s="114" t="n"/>
      <c r="CO296" s="114" t="n"/>
      <c r="CP296" s="114" t="n"/>
      <c r="CQ296" s="114" t="n"/>
      <c r="CR296" s="114" t="n"/>
      <c r="CS296" s="114" t="n"/>
      <c r="CT296" s="114" t="n"/>
      <c r="CU296" s="114" t="n"/>
      <c r="CV296" s="114" t="n"/>
      <c r="CW296" s="115" t="n">
        <v>785632.12490892</v>
      </c>
      <c r="CZ296" s="117" t="s">
        <v>171</v>
      </c>
      <c r="DA296" s="119" t="n">
        <f aca="false" ca="true" dt2D="false" dtr="false" t="normal">SUBTOTAL(9, DB296:DP296)</f>
        <v>4422689.51</v>
      </c>
      <c r="DB296" s="114" t="n"/>
      <c r="DC296" s="114" t="n">
        <v>2875942.18</v>
      </c>
      <c r="DD296" s="114" t="n"/>
      <c r="DE296" s="114" t="n">
        <v>1546747.33</v>
      </c>
      <c r="DF296" s="114" t="n"/>
      <c r="DG296" s="114" t="n"/>
      <c r="DH296" s="114" t="n"/>
      <c r="DI296" s="114" t="n"/>
      <c r="DJ296" s="114" t="n"/>
      <c r="DK296" s="114" t="n"/>
      <c r="DL296" s="114" t="n"/>
      <c r="DM296" s="114" t="n"/>
      <c r="DN296" s="114" t="n"/>
      <c r="DO296" s="114" t="n"/>
      <c r="DP296" s="122" t="n"/>
      <c r="DQ296" s="3" t="n">
        <f aca="false" ca="false" dt2D="false" dtr="false" t="normal">N296-DA296</f>
        <v>0</v>
      </c>
      <c r="DS296" s="9" t="n"/>
    </row>
    <row hidden="false" ht="15" outlineLevel="0" r="297">
      <c r="A297" s="183" t="n">
        <f aca="false" ca="false" dt2D="false" dtr="false" t="normal">+A296+1</f>
        <v>278</v>
      </c>
      <c r="B297" s="184" t="n">
        <f aca="false" ca="false" dt2D="false" dtr="false" t="normal">+B296+1</f>
        <v>90</v>
      </c>
      <c r="C297" s="104" t="s">
        <v>111</v>
      </c>
      <c r="D297" s="104" t="s">
        <v>176</v>
      </c>
      <c r="E297" s="105" t="n">
        <v>1980</v>
      </c>
      <c r="F297" s="105" t="n">
        <v>2008</v>
      </c>
      <c r="G297" s="105" t="s">
        <v>68</v>
      </c>
      <c r="H297" s="105" t="n">
        <v>5</v>
      </c>
      <c r="I297" s="105" t="n">
        <v>6</v>
      </c>
      <c r="J297" s="106" t="n">
        <v>7149.4</v>
      </c>
      <c r="K297" s="106" t="n">
        <v>6325.2</v>
      </c>
      <c r="L297" s="106" t="n">
        <v>0</v>
      </c>
      <c r="M297" s="107" t="n">
        <v>293</v>
      </c>
      <c r="N297" s="108" t="n">
        <f aca="false" ca="false" dt2D="false" dtr="false" t="normal">SUM(P297:T297)</f>
        <v>12520284.64</v>
      </c>
      <c r="O297" s="106" t="n"/>
      <c r="P297" s="114" t="n">
        <f aca="false" ca="false" dt2D="false" dtr="false" t="normal">18366557.28-16152899.91</f>
        <v>2213657.370000001</v>
      </c>
      <c r="Q297" s="114" t="n"/>
      <c r="R297" s="114" t="n">
        <v>2028430.14</v>
      </c>
      <c r="S297" s="114" t="n">
        <v>8278197.13</v>
      </c>
      <c r="T297" s="114" t="n"/>
      <c r="U297" s="106" t="n">
        <v>10739.0943856371</v>
      </c>
      <c r="V297" s="106" t="n">
        <v>10739.0943856371</v>
      </c>
      <c r="W297" s="185" t="n">
        <v>2023</v>
      </c>
      <c r="X297" s="9" t="e">
        <f aca="false" ca="false" dt2D="false" dtr="false" t="normal">+#REF!-'[9]Приложение №1'!$P1337</f>
        <v>#REF!</v>
      </c>
      <c r="Z297" s="113" t="n">
        <f aca="false" ca="false" dt2D="false" dtr="false" t="normal">SUM(AA297:AO297)</f>
        <v>114548451.67000006</v>
      </c>
      <c r="AA297" s="106" t="n">
        <v>10489330.2580412</v>
      </c>
      <c r="AB297" s="106" t="n">
        <v>6066266.44628592</v>
      </c>
      <c r="AC297" s="106" t="n">
        <v>6412492.79222706</v>
      </c>
      <c r="AD297" s="106" t="n">
        <v>4889580.2685996</v>
      </c>
      <c r="AE297" s="106" t="n">
        <v>1953287.22516102</v>
      </c>
      <c r="AF297" s="106" t="n"/>
      <c r="AG297" s="106" t="n">
        <v>521212.057926</v>
      </c>
      <c r="AH297" s="106" t="n">
        <v>0</v>
      </c>
      <c r="AI297" s="106" t="n">
        <v>18672604.894377</v>
      </c>
      <c r="AJ297" s="106" t="n">
        <v>0</v>
      </c>
      <c r="AK297" s="106" t="n">
        <v>36252968.3264713</v>
      </c>
      <c r="AL297" s="106" t="n">
        <v>14257827.475101</v>
      </c>
      <c r="AM297" s="106" t="n">
        <v>11711193.4519</v>
      </c>
      <c r="AN297" s="114" t="n">
        <v>1145484.5167</v>
      </c>
      <c r="AO297" s="115" t="n">
        <v>2176203.95720996</v>
      </c>
      <c r="AP297" s="112" t="n">
        <f aca="false" ca="false" dt2D="false" dtr="false" t="normal">+N297-'Приложение №2'!E297</f>
        <v>0</v>
      </c>
      <c r="AQ297" s="9" t="n">
        <f aca="false" ca="false" dt2D="false" dtr="false" t="normal">3044323.81-R114</f>
        <v>1383259.74</v>
      </c>
      <c r="AR297" s="3" t="n">
        <f aca="false" ca="false" dt2D="false" dtr="false" t="normal">+(K297*10+L297*20)*12*0.85</f>
        <v>645170.4</v>
      </c>
      <c r="AS297" s="3" t="n">
        <f aca="false" ca="false" dt2D="false" dtr="false" t="normal">+(K297*10+L297*20)*12*30-S114</f>
        <v>6727135.9594</v>
      </c>
      <c r="AT297" s="9" t="n">
        <f aca="false" ca="false" dt2D="false" dtr="false" t="normal">+S297-AS297</f>
        <v>1551061.1705999998</v>
      </c>
      <c r="AU297" s="9" t="e">
        <f aca="false" ca="false" dt2D="false" dtr="false" t="normal">+P297-'[5]Приложение №1'!$P313</f>
        <v>#REF!</v>
      </c>
      <c r="AV297" s="9" t="e">
        <f aca="false" ca="false" dt2D="false" dtr="false" t="normal">+Q297-'[5]Приложение №1'!$Q313</f>
        <v>#REF!</v>
      </c>
      <c r="AW297" s="113" t="n">
        <f aca="false" ca="true" dt2D="false" dtr="false" t="normal">SUBTOTAL(9, AX297:BL297)</f>
        <v>67926919.80803186</v>
      </c>
      <c r="AX297" s="106" t="n">
        <v>7864219.14</v>
      </c>
      <c r="AY297" s="104" t="n"/>
      <c r="AZ297" s="106" t="n">
        <v>2874656.38</v>
      </c>
      <c r="BA297" s="106" t="n">
        <v>1502641.16</v>
      </c>
      <c r="BB297" s="104" t="n"/>
      <c r="BC297" s="104" t="n"/>
      <c r="BD297" s="104" t="n"/>
      <c r="BE297" s="104" t="n"/>
      <c r="BF297" s="104" t="n"/>
      <c r="BG297" s="104" t="n"/>
      <c r="BH297" s="108" t="n">
        <v>36252968.3264713</v>
      </c>
      <c r="BI297" s="108" t="n">
        <v>15215386.67</v>
      </c>
      <c r="BJ297" s="106" t="n">
        <v>2584774.6794</v>
      </c>
      <c r="BK297" s="106" t="n">
        <v>286926.3893</v>
      </c>
      <c r="BL297" s="187" t="n">
        <f aca="false" ca="false" dt2D="false" dtr="false" t="normal">552568.07023182+792778.99262874</f>
        <v>1345347.0628605601</v>
      </c>
      <c r="BM297" s="113" t="n">
        <f aca="false" ca="true" dt2D="false" dtr="false" t="normal">SUBTOTAL(9, BN297:CB297)</f>
        <v>67926919.80803186</v>
      </c>
      <c r="BN297" s="106" t="n">
        <v>7864219.14</v>
      </c>
      <c r="BO297" s="104" t="n"/>
      <c r="BP297" s="106" t="n">
        <v>2874656.38</v>
      </c>
      <c r="BQ297" s="106" t="n">
        <v>1502641.16</v>
      </c>
      <c r="BR297" s="104" t="n"/>
      <c r="BS297" s="104" t="n"/>
      <c r="BT297" s="104" t="n"/>
      <c r="BU297" s="104" t="n"/>
      <c r="BV297" s="104" t="n"/>
      <c r="BW297" s="104" t="n"/>
      <c r="BX297" s="108" t="n">
        <v>36252968.3264713</v>
      </c>
      <c r="BY297" s="108" t="n">
        <v>15215386.67</v>
      </c>
      <c r="BZ297" s="106" t="n">
        <v>2584774.6794</v>
      </c>
      <c r="CA297" s="106" t="n">
        <v>286926.3893</v>
      </c>
      <c r="CB297" s="115" t="n">
        <f aca="false" ca="false" dt2D="false" dtr="false" t="normal">552568.07023182+792778.99262874</f>
        <v>1345347.0628605601</v>
      </c>
      <c r="CD297" s="116" t="n">
        <f aca="false" ca="false" dt2D="false" dtr="false" t="normal">+CD296+1</f>
        <v>278</v>
      </c>
      <c r="CE297" s="117" t="n">
        <f aca="false" ca="false" dt2D="false" dtr="false" t="normal">+CE296+1</f>
        <v>90</v>
      </c>
      <c r="CF297" s="104" t="s">
        <v>111</v>
      </c>
      <c r="CG297" s="117" t="s">
        <v>176</v>
      </c>
      <c r="CH297" s="118" t="n">
        <f aca="false" ca="true" dt2D="false" dtr="false" t="normal">SUBTOTAL(9, CI297:CW297)</f>
        <v>13711741.66286056</v>
      </c>
      <c r="CI297" s="114" t="n">
        <v>7864219.14</v>
      </c>
      <c r="CJ297" s="114" t="n"/>
      <c r="CK297" s="114" t="n">
        <v>2874656.38</v>
      </c>
      <c r="CL297" s="114" t="n">
        <v>1502641.16</v>
      </c>
      <c r="CM297" s="114" t="n"/>
      <c r="CN297" s="114" t="n"/>
      <c r="CO297" s="114" t="n"/>
      <c r="CP297" s="114" t="n"/>
      <c r="CQ297" s="114" t="n"/>
      <c r="CR297" s="114" t="n"/>
      <c r="CS297" s="114" t="n"/>
      <c r="CT297" s="114" t="n"/>
      <c r="CU297" s="114" t="n">
        <v>112877.92</v>
      </c>
      <c r="CV297" s="114" t="n">
        <v>12000</v>
      </c>
      <c r="CW297" s="115" t="n">
        <f aca="false" ca="false" dt2D="false" dtr="false" t="normal">552568.07023182+792778.99262874</f>
        <v>1345347.0628605601</v>
      </c>
      <c r="CZ297" s="117" t="s">
        <v>176</v>
      </c>
      <c r="DA297" s="119" t="n">
        <f aca="false" ca="true" dt2D="false" dtr="false" t="normal">SUBTOTAL(9, DB297:DP297)</f>
        <v>12520284.639999999</v>
      </c>
      <c r="DB297" s="114" t="n">
        <v>7864219.14</v>
      </c>
      <c r="DC297" s="114" t="n"/>
      <c r="DD297" s="114" t="n">
        <v>2874656.38</v>
      </c>
      <c r="DE297" s="114" t="n">
        <v>1502641.16</v>
      </c>
      <c r="DF297" s="114" t="n"/>
      <c r="DG297" s="114" t="n"/>
      <c r="DH297" s="114" t="n"/>
      <c r="DI297" s="114" t="n"/>
      <c r="DJ297" s="114" t="n"/>
      <c r="DK297" s="114" t="n"/>
      <c r="DL297" s="114" t="n"/>
      <c r="DM297" s="114" t="n"/>
      <c r="DN297" s="114" t="n">
        <v>112877.92</v>
      </c>
      <c r="DO297" s="114" t="n">
        <v>12000</v>
      </c>
      <c r="DP297" s="120" t="n">
        <f aca="false" ca="false" dt2D="false" dtr="false" t="normal">84308.92+34015.04+35566.08</f>
        <v>153890.03999999998</v>
      </c>
      <c r="DQ297" s="3" t="n">
        <f aca="false" ca="false" dt2D="false" dtr="false" t="normal">N297-DA297</f>
        <v>0</v>
      </c>
      <c r="DS297" s="9" t="n"/>
    </row>
    <row customFormat="true" hidden="false" ht="15" outlineLevel="0" r="298" s="129">
      <c r="A298" s="183" t="n">
        <f aca="false" ca="false" dt2D="false" dtr="false" t="normal">+A297+1</f>
        <v>279</v>
      </c>
      <c r="B298" s="184" t="n">
        <f aca="false" ca="false" dt2D="false" dtr="false" t="normal">+B297+1</f>
        <v>91</v>
      </c>
      <c r="C298" s="104" t="s">
        <v>111</v>
      </c>
      <c r="D298" s="104" t="s">
        <v>376</v>
      </c>
      <c r="E298" s="105" t="s">
        <v>377</v>
      </c>
      <c r="F298" s="105" t="n"/>
      <c r="G298" s="105" t="s">
        <v>68</v>
      </c>
      <c r="H298" s="105" t="s">
        <v>104</v>
      </c>
      <c r="I298" s="105" t="s">
        <v>128</v>
      </c>
      <c r="J298" s="106" t="n">
        <v>7651.5</v>
      </c>
      <c r="K298" s="106" t="n">
        <v>6138</v>
      </c>
      <c r="L298" s="106" t="n">
        <v>119</v>
      </c>
      <c r="M298" s="107" t="n">
        <v>293</v>
      </c>
      <c r="N298" s="108" t="n">
        <f aca="false" ca="false" dt2D="false" dtr="false" t="normal">SUM(P298:T298)</f>
        <v>3423941.280000003</v>
      </c>
      <c r="O298" s="106" t="n">
        <v>0</v>
      </c>
      <c r="P298" s="114" t="n"/>
      <c r="Q298" s="114" t="n">
        <v>0</v>
      </c>
      <c r="R298" s="114" t="n">
        <v>259780.512857143</v>
      </c>
      <c r="S298" s="114" t="n">
        <v>3164160.76714286</v>
      </c>
      <c r="T298" s="114" t="n"/>
      <c r="U298" s="106" t="n">
        <v>4087.92981950943</v>
      </c>
      <c r="V298" s="106" t="n">
        <v>4087.92981950943</v>
      </c>
      <c r="W298" s="185" t="n">
        <v>2023</v>
      </c>
      <c r="X298" s="129" t="n">
        <v>2205585.94</v>
      </c>
      <c r="Y298" s="129" t="n">
        <f aca="false" ca="false" dt2D="false" dtr="false" t="normal">+(K298*9.1+L298*18.19)*12</f>
        <v>696244.9199999999</v>
      </c>
      <c r="AA298" s="130" t="e">
        <f aca="false" ca="false" dt2D="false" dtr="false" t="normal">+N298-'[8]Приложение № 2'!E299</f>
        <v>#REF!</v>
      </c>
      <c r="AD298" s="130" t="e">
        <f aca="false" ca="false" dt2D="false" dtr="false" t="normal">+N298-'[8]Приложение № 2'!E299</f>
        <v>#REF!</v>
      </c>
      <c r="AP298" s="112" t="n">
        <f aca="false" ca="false" dt2D="false" dtr="false" t="normal">+N298-'Приложение №2'!E298</f>
        <v>0</v>
      </c>
      <c r="AQ298" s="129" t="n">
        <v>2725811.3</v>
      </c>
      <c r="AR298" s="3" t="n">
        <f aca="false" ca="false" dt2D="false" dtr="false" t="normal">+(K298*10+L298*20)*12*0.85</f>
        <v>650352</v>
      </c>
      <c r="AS298" s="3" t="n">
        <f aca="false" ca="false" dt2D="false" dtr="false" t="normal">+(K298*10+L298*20)*12*30</f>
        <v>22953600</v>
      </c>
      <c r="AT298" s="9" t="n">
        <f aca="false" ca="false" dt2D="false" dtr="false" t="normal">+S298-AS298</f>
        <v>-19789439.232857138</v>
      </c>
      <c r="AU298" s="9" t="e">
        <f aca="false" ca="false" dt2D="false" dtr="false" t="normal">+P298-'[5]Приложение №1'!$P314</f>
        <v>#REF!</v>
      </c>
      <c r="AV298" s="9" t="e">
        <f aca="false" ca="false" dt2D="false" dtr="false" t="normal">+Q298-'[5]Приложение №1'!$Q314</f>
        <v>#REF!</v>
      </c>
      <c r="AW298" s="113" t="n">
        <f aca="false" ca="true" dt2D="false" dtr="false" t="normal">SUBTOTAL(9, AX298:BL298)</f>
        <v>25578176.880670574</v>
      </c>
      <c r="AX298" s="106" t="n"/>
      <c r="AY298" s="106" t="n"/>
      <c r="AZ298" s="106" t="n">
        <v>6092197.78575243</v>
      </c>
      <c r="BA298" s="106" t="n"/>
      <c r="BB298" s="106" t="n"/>
      <c r="BC298" s="106" t="n"/>
      <c r="BD298" s="106" t="n"/>
      <c r="BE298" s="106" t="n"/>
      <c r="BF298" s="106" t="n"/>
      <c r="BG298" s="106" t="n"/>
      <c r="BH298" s="13" t="n"/>
      <c r="BI298" s="106" t="n">
        <v>16788121.9830905</v>
      </c>
      <c r="BJ298" s="106" t="n">
        <v>1515314.38489256</v>
      </c>
      <c r="BK298" s="114" t="n">
        <v>50298.009528</v>
      </c>
      <c r="BL298" s="187" t="n">
        <v>1132244.71740708</v>
      </c>
      <c r="BM298" s="113" t="n">
        <f aca="false" ca="true" dt2D="false" dtr="false" t="normal">SUBTOTAL(9, BN298:CB298)</f>
        <v>22780170.704918142</v>
      </c>
      <c r="BN298" s="106" t="n"/>
      <c r="BO298" s="106" t="n"/>
      <c r="BP298" s="192" t="n">
        <v>3294191.61</v>
      </c>
      <c r="BQ298" s="106" t="n"/>
      <c r="BR298" s="106" t="n"/>
      <c r="BS298" s="106" t="n"/>
      <c r="BT298" s="106" t="n"/>
      <c r="BU298" s="106" t="n"/>
      <c r="BV298" s="106" t="n"/>
      <c r="BW298" s="106" t="n"/>
      <c r="BX298" s="13" t="n"/>
      <c r="BY298" s="106" t="n">
        <v>16788121.9830905</v>
      </c>
      <c r="BZ298" s="106" t="n">
        <v>1515314.38489256</v>
      </c>
      <c r="CA298" s="114" t="n">
        <v>50298.009528</v>
      </c>
      <c r="CB298" s="115" t="n">
        <v>1132244.71740708</v>
      </c>
      <c r="CD298" s="116" t="n">
        <f aca="false" ca="false" dt2D="false" dtr="false" t="normal">+CD297+1</f>
        <v>279</v>
      </c>
      <c r="CE298" s="117" t="n">
        <f aca="false" ca="false" dt2D="false" dtr="false" t="normal">+CE297+1</f>
        <v>91</v>
      </c>
      <c r="CF298" s="104" t="s">
        <v>111</v>
      </c>
      <c r="CG298" s="117" t="s">
        <v>376</v>
      </c>
      <c r="CH298" s="118" t="n">
        <f aca="false" ca="true" dt2D="false" dtr="false" t="normal">SUBTOTAL(9, CI298:CW298)</f>
        <v>4556185.99740708</v>
      </c>
      <c r="CI298" s="114" t="n"/>
      <c r="CJ298" s="114" t="n"/>
      <c r="CK298" s="114" t="n">
        <v>3294191.61</v>
      </c>
      <c r="CL298" s="114" t="n"/>
      <c r="CM298" s="114" t="n"/>
      <c r="CN298" s="114" t="n"/>
      <c r="CO298" s="114" t="n"/>
      <c r="CP298" s="114" t="n"/>
      <c r="CQ298" s="114" t="n"/>
      <c r="CR298" s="114" t="n"/>
      <c r="CS298" s="114" t="n"/>
      <c r="CT298" s="114" t="n"/>
      <c r="CU298" s="114" t="n">
        <v>125749.67</v>
      </c>
      <c r="CV298" s="114" t="n">
        <v>4000</v>
      </c>
      <c r="CW298" s="115" t="n">
        <v>1132244.71740708</v>
      </c>
      <c r="CZ298" s="117" t="s">
        <v>376</v>
      </c>
      <c r="DA298" s="119" t="n">
        <f aca="false" ca="true" dt2D="false" dtr="false" t="normal">SUBTOTAL(9, DB298:DP298)</f>
        <v>3423941.28</v>
      </c>
      <c r="DB298" s="114" t="n"/>
      <c r="DC298" s="114" t="n"/>
      <c r="DD298" s="114" t="n">
        <v>3294191.61</v>
      </c>
      <c r="DE298" s="114" t="n"/>
      <c r="DF298" s="114" t="n"/>
      <c r="DG298" s="114" t="n"/>
      <c r="DH298" s="114" t="n"/>
      <c r="DI298" s="114" t="n"/>
      <c r="DJ298" s="114" t="n"/>
      <c r="DK298" s="114" t="n"/>
      <c r="DL298" s="114" t="n"/>
      <c r="DM298" s="114" t="n"/>
      <c r="DN298" s="114" t="n">
        <v>125749.67</v>
      </c>
      <c r="DO298" s="114" t="n">
        <v>4000</v>
      </c>
      <c r="DP298" s="122" t="n"/>
      <c r="DQ298" s="3" t="n">
        <f aca="false" ca="false" dt2D="false" dtr="false" t="normal">N298-DA298</f>
        <v>0</v>
      </c>
      <c r="DS298" s="9" t="n"/>
    </row>
    <row hidden="false" ht="15" outlineLevel="0" r="299">
      <c r="A299" s="183" t="n">
        <f aca="false" ca="false" dt2D="false" dtr="false" t="normal">+A298+1</f>
        <v>280</v>
      </c>
      <c r="B299" s="184" t="n">
        <f aca="false" ca="false" dt2D="false" dtr="false" t="normal">+B298+1</f>
        <v>92</v>
      </c>
      <c r="C299" s="117" t="s">
        <v>111</v>
      </c>
      <c r="D299" s="117" t="s">
        <v>179</v>
      </c>
      <c r="E299" s="105" t="n">
        <v>1975</v>
      </c>
      <c r="F299" s="105" t="n">
        <v>2013</v>
      </c>
      <c r="G299" s="105" t="s">
        <v>68</v>
      </c>
      <c r="H299" s="105" t="n">
        <v>4</v>
      </c>
      <c r="I299" s="105" t="n">
        <v>4</v>
      </c>
      <c r="J299" s="106" t="n">
        <v>2912.6</v>
      </c>
      <c r="K299" s="106" t="n">
        <v>2004.3</v>
      </c>
      <c r="L299" s="106" t="n">
        <v>902.2</v>
      </c>
      <c r="M299" s="107" t="n">
        <v>104</v>
      </c>
      <c r="N299" s="108" t="n">
        <f aca="false" ca="false" dt2D="false" dtr="false" t="normal">SUM(P299:T299)</f>
        <v>11419908.12</v>
      </c>
      <c r="O299" s="114" t="n"/>
      <c r="P299" s="114" t="n">
        <v>2562698.09</v>
      </c>
      <c r="Q299" s="114" t="n"/>
      <c r="R299" s="114" t="n">
        <v>282303.76</v>
      </c>
      <c r="S299" s="114" t="n">
        <v>8574906.27</v>
      </c>
      <c r="T299" s="114" t="n"/>
      <c r="U299" s="106" t="n">
        <v>7493.7221680114</v>
      </c>
      <c r="V299" s="106" t="n">
        <v>7493.7221680114</v>
      </c>
      <c r="W299" s="185" t="n">
        <v>2023</v>
      </c>
      <c r="X299" s="9" t="e">
        <f aca="false" ca="false" dt2D="false" dtr="false" t="normal">+#REF!-'[9]Приложение №1'!$P1015</f>
        <v>#REF!</v>
      </c>
      <c r="Z299" s="113" t="n">
        <f aca="false" ca="false" dt2D="false" dtr="false" t="normal">SUM(AA299:AO299)</f>
        <v>33480583.039704</v>
      </c>
      <c r="AA299" s="106" t="n">
        <v>4910426.6191344</v>
      </c>
      <c r="AB299" s="106" t="n">
        <v>1749786.87633204</v>
      </c>
      <c r="AC299" s="106" t="n">
        <v>1828137.95042928</v>
      </c>
      <c r="AD299" s="106" t="n">
        <v>1144529.94457704</v>
      </c>
      <c r="AE299" s="106" t="n">
        <v>818458.35</v>
      </c>
      <c r="AF299" s="106" t="n"/>
      <c r="AG299" s="106" t="n">
        <v>188426.5127934</v>
      </c>
      <c r="AH299" s="106" t="n">
        <v>0</v>
      </c>
      <c r="AI299" s="106" t="n">
        <v>8977006.9994346</v>
      </c>
      <c r="AJ299" s="106" t="n">
        <v>0</v>
      </c>
      <c r="AK299" s="106" t="n">
        <v>4660903.59852558</v>
      </c>
      <c r="AL299" s="106" t="n">
        <v>5027330.10252228</v>
      </c>
      <c r="AM299" s="106" t="n">
        <v>3221989.0268</v>
      </c>
      <c r="AN299" s="114" t="n">
        <v>327170.5365</v>
      </c>
      <c r="AO299" s="115" t="n">
        <v>626416.52265538</v>
      </c>
      <c r="AP299" s="112" t="n">
        <f aca="false" ca="false" dt2D="false" dtr="false" t="normal">+N299-'Приложение №2'!E299</f>
        <v>0</v>
      </c>
      <c r="AQ299" s="1" t="n">
        <v>1936703.42</v>
      </c>
      <c r="AR299" s="3" t="n">
        <f aca="false" ca="false" dt2D="false" dtr="false" t="normal">+(K299*10+L299*20)*12*0.85</f>
        <v>388487.39999999997</v>
      </c>
      <c r="AS299" s="3" t="n">
        <f aca="false" ca="false" dt2D="false" dtr="false" t="normal">+(K299*10+L299*20)*12*30</f>
        <v>13711320</v>
      </c>
      <c r="AT299" s="9" t="n">
        <f aca="false" ca="false" dt2D="false" dtr="false" t="normal">+S299-AS299</f>
        <v>-5136413.73</v>
      </c>
      <c r="AU299" s="9" t="e">
        <f aca="false" ca="false" dt2D="false" dtr="false" t="normal">+P299-'[5]Приложение №1'!$P315</f>
        <v>#REF!</v>
      </c>
      <c r="AV299" s="9" t="e">
        <f aca="false" ca="false" dt2D="false" dtr="false" t="normal">+Q299-'[5]Приложение №1'!$Q315</f>
        <v>#REF!</v>
      </c>
      <c r="AW299" s="113" t="n">
        <f aca="false" ca="true" dt2D="false" dtr="false" t="normal">SUBTOTAL(9, AX299:BL299)</f>
        <v>21780503.481325135</v>
      </c>
      <c r="AX299" s="106" t="n">
        <v>6939356.64374314</v>
      </c>
      <c r="AY299" s="106" t="n">
        <v>0</v>
      </c>
      <c r="AZ299" s="106" t="n">
        <v>0</v>
      </c>
      <c r="BA299" s="106" t="n">
        <v>0</v>
      </c>
      <c r="BB299" s="106" t="n">
        <v>818458.35</v>
      </c>
      <c r="BC299" s="106" t="n"/>
      <c r="BD299" s="106" t="n">
        <v>266268.265969023</v>
      </c>
      <c r="BE299" s="106" t="n">
        <v>0</v>
      </c>
      <c r="BF299" s="106" t="n">
        <v>6490827.11</v>
      </c>
      <c r="BG299" s="106" t="n">
        <v>0</v>
      </c>
      <c r="BH299" s="106" t="n">
        <v>0</v>
      </c>
      <c r="BI299" s="106" t="n">
        <v>7104547.28899068</v>
      </c>
      <c r="BJ299" s="106" t="n"/>
      <c r="BK299" s="114" t="n"/>
      <c r="BL299" s="187" t="n">
        <v>161045.822622292</v>
      </c>
      <c r="BM299" s="113" t="n">
        <f aca="false" ca="true" dt2D="false" dtr="false" t="normal">SUBTOTAL(9, BN299:CB299)</f>
        <v>22658967.491325133</v>
      </c>
      <c r="BN299" s="106" t="n">
        <v>6939356.64374314</v>
      </c>
      <c r="BO299" s="106" t="n">
        <v>0</v>
      </c>
      <c r="BP299" s="106" t="n">
        <v>0</v>
      </c>
      <c r="BQ299" s="106" t="n">
        <v>0</v>
      </c>
      <c r="BR299" s="106" t="n">
        <v>818458.35</v>
      </c>
      <c r="BS299" s="106" t="n"/>
      <c r="BT299" s="106" t="n">
        <v>266268.265969023</v>
      </c>
      <c r="BU299" s="106" t="n">
        <v>0</v>
      </c>
      <c r="BV299" s="106" t="n">
        <v>7369291.12</v>
      </c>
      <c r="BW299" s="106" t="n">
        <v>0</v>
      </c>
      <c r="BX299" s="106" t="n">
        <v>0</v>
      </c>
      <c r="BY299" s="106" t="n">
        <v>7104547.28899068</v>
      </c>
      <c r="BZ299" s="106" t="n"/>
      <c r="CA299" s="114" t="n"/>
      <c r="CB299" s="115" t="n">
        <v>161045.822622292</v>
      </c>
      <c r="CD299" s="116" t="n">
        <f aca="false" ca="false" dt2D="false" dtr="false" t="normal">+CD298+1</f>
        <v>280</v>
      </c>
      <c r="CE299" s="117" t="n">
        <f aca="false" ca="false" dt2D="false" dtr="false" t="normal">+CE298+1</f>
        <v>92</v>
      </c>
      <c r="CF299" s="104" t="s">
        <v>111</v>
      </c>
      <c r="CG299" s="117" t="s">
        <v>179</v>
      </c>
      <c r="CH299" s="118" t="n">
        <f aca="false" ca="true" dt2D="false" dtr="false" t="normal">SUBTOTAL(9, CI299:CW299)</f>
        <v>11580953.942622293</v>
      </c>
      <c r="CI299" s="114" t="n"/>
      <c r="CJ299" s="114" t="n">
        <v>0</v>
      </c>
      <c r="CK299" s="114" t="n">
        <v>0</v>
      </c>
      <c r="CL299" s="114" t="n">
        <v>0</v>
      </c>
      <c r="CM299" s="114" t="n"/>
      <c r="CN299" s="114" t="n"/>
      <c r="CO299" s="114" t="n"/>
      <c r="CP299" s="114" t="n">
        <v>0</v>
      </c>
      <c r="CQ299" s="114" t="n">
        <v>7369291.12</v>
      </c>
      <c r="CR299" s="114" t="n">
        <v>0</v>
      </c>
      <c r="CS299" s="114" t="n">
        <v>0</v>
      </c>
      <c r="CT299" s="114" t="n">
        <v>4050617</v>
      </c>
      <c r="CU299" s="114" t="n"/>
      <c r="CV299" s="114" t="n"/>
      <c r="CW299" s="115" t="n">
        <v>161045.822622292</v>
      </c>
      <c r="CZ299" s="117" t="s">
        <v>179</v>
      </c>
      <c r="DA299" s="119" t="n">
        <f aca="false" ca="true" dt2D="false" dtr="false" t="normal">SUBTOTAL(9, DB299:DP299)</f>
        <v>11419908.120000001</v>
      </c>
      <c r="DB299" s="114" t="n"/>
      <c r="DC299" s="114" t="n">
        <v>0</v>
      </c>
      <c r="DD299" s="114" t="n">
        <v>0</v>
      </c>
      <c r="DE299" s="114" t="n">
        <v>0</v>
      </c>
      <c r="DF299" s="114" t="n"/>
      <c r="DG299" s="114" t="n"/>
      <c r="DH299" s="114" t="n"/>
      <c r="DI299" s="114" t="n">
        <v>0</v>
      </c>
      <c r="DJ299" s="114" t="n">
        <v>7369291.12</v>
      </c>
      <c r="DK299" s="114" t="n">
        <v>0</v>
      </c>
      <c r="DL299" s="114" t="n">
        <v>0</v>
      </c>
      <c r="DM299" s="114" t="n">
        <v>4050617</v>
      </c>
      <c r="DN299" s="114" t="n"/>
      <c r="DO299" s="114" t="n"/>
      <c r="DP299" s="122" t="n"/>
      <c r="DQ299" s="3" t="n">
        <f aca="false" ca="false" dt2D="false" dtr="false" t="normal">N299-DA299</f>
        <v>0</v>
      </c>
      <c r="DS299" s="9" t="n"/>
    </row>
    <row hidden="false" ht="15" outlineLevel="0" r="300">
      <c r="A300" s="183" t="n">
        <f aca="false" ca="false" dt2D="false" dtr="false" t="normal">+A299+1</f>
        <v>281</v>
      </c>
      <c r="B300" s="184" t="n">
        <f aca="false" ca="false" dt2D="false" dtr="false" t="normal">+B299+1</f>
        <v>93</v>
      </c>
      <c r="C300" s="104" t="s">
        <v>111</v>
      </c>
      <c r="D300" s="104" t="s">
        <v>378</v>
      </c>
      <c r="E300" s="105" t="n">
        <v>1994</v>
      </c>
      <c r="F300" s="105" t="n">
        <v>2013</v>
      </c>
      <c r="G300" s="105" t="s">
        <v>68</v>
      </c>
      <c r="H300" s="105" t="n">
        <v>4</v>
      </c>
      <c r="I300" s="105" t="n">
        <v>2</v>
      </c>
      <c r="J300" s="106" t="n">
        <v>1882.24</v>
      </c>
      <c r="K300" s="106" t="n">
        <v>1768.8</v>
      </c>
      <c r="L300" s="106" t="n">
        <v>0</v>
      </c>
      <c r="M300" s="107" t="n">
        <v>61</v>
      </c>
      <c r="N300" s="108" t="n">
        <f aca="false" ca="false" dt2D="false" dtr="false" t="normal">SUM(P300:T300)</f>
        <v>1566527.8599999999</v>
      </c>
      <c r="O300" s="106" t="n"/>
      <c r="P300" s="114" t="n"/>
      <c r="Q300" s="114" t="n"/>
      <c r="R300" s="114" t="n">
        <v>1133727.23751542</v>
      </c>
      <c r="S300" s="114" t="n">
        <v>432800.62248458</v>
      </c>
      <c r="T300" s="114" t="n"/>
      <c r="U300" s="114" t="n">
        <v>889.584500621891</v>
      </c>
      <c r="V300" s="114" t="n">
        <v>1315.283020064</v>
      </c>
      <c r="W300" s="185" t="n">
        <v>2023</v>
      </c>
      <c r="X300" s="9" t="e">
        <f aca="false" ca="false" dt2D="false" dtr="false" t="normal">+#REF!-'[9]Приложение №1'!$P692</f>
        <v>#REF!</v>
      </c>
      <c r="Z300" s="113" t="n">
        <f aca="false" ca="false" dt2D="false" dtr="false" t="normal">SUM(AA300:AO300)</f>
        <v>6275488.260000001</v>
      </c>
      <c r="AA300" s="106" t="n">
        <v>0</v>
      </c>
      <c r="AB300" s="106" t="n">
        <v>0</v>
      </c>
      <c r="AC300" s="106" t="n">
        <v>1539824.22751542</v>
      </c>
      <c r="AD300" s="106" t="n">
        <v>0</v>
      </c>
      <c r="AE300" s="106" t="n">
        <v>0</v>
      </c>
      <c r="AF300" s="106" t="n"/>
      <c r="AG300" s="106" t="n">
        <v>0</v>
      </c>
      <c r="AH300" s="106" t="n">
        <v>0</v>
      </c>
      <c r="AI300" s="106" t="n">
        <v>0</v>
      </c>
      <c r="AJ300" s="106" t="n">
        <v>0</v>
      </c>
      <c r="AK300" s="106" t="n">
        <v>3925837.37448462</v>
      </c>
      <c r="AL300" s="106" t="n">
        <v>0</v>
      </c>
      <c r="AM300" s="106" t="n">
        <v>627548.826</v>
      </c>
      <c r="AN300" s="114" t="n">
        <v>62754.8826</v>
      </c>
      <c r="AO300" s="115" t="n">
        <v>119522.94939996</v>
      </c>
      <c r="AP300" s="112" t="n">
        <f aca="false" ca="false" dt2D="false" dtr="false" t="normal">+N300-'Приложение №2'!E300</f>
        <v>0</v>
      </c>
      <c r="AQ300" s="1" t="n">
        <v>977961.59</v>
      </c>
      <c r="AR300" s="3" t="n">
        <f aca="false" ca="false" dt2D="false" dtr="false" t="normal">+(K300*10.5+L300*21)*12*0.85</f>
        <v>189438.47999999998</v>
      </c>
      <c r="AS300" s="3" t="n">
        <f aca="false" ca="false" dt2D="false" dtr="false" t="normal">+(K300*10.5+L300*21)*12*30</f>
        <v>6686064</v>
      </c>
      <c r="AT300" s="9" t="n">
        <f aca="false" ca="false" dt2D="false" dtr="false" t="normal">+S300-AS300</f>
        <v>-6253263.37751542</v>
      </c>
      <c r="AU300" s="9" t="e">
        <f aca="false" ca="false" dt2D="false" dtr="false" t="normal">+P300-'[5]Приложение №1'!$P598</f>
        <v>#REF!</v>
      </c>
      <c r="AV300" s="9" t="e">
        <f aca="false" ca="false" dt2D="false" dtr="false" t="normal">+Q300-'[5]Приложение №1'!$Q598</f>
        <v>#REF!</v>
      </c>
      <c r="AW300" s="186" t="n">
        <f aca="false" ca="true" dt2D="false" dtr="false" t="normal">SUBTOTAL(9, AX300:BL300)</f>
        <v>1573497.0647</v>
      </c>
      <c r="AX300" s="106" t="n">
        <v>0</v>
      </c>
      <c r="AY300" s="106" t="n">
        <v>0</v>
      </c>
      <c r="AZ300" s="106" t="n">
        <v>1539824.22751542</v>
      </c>
      <c r="BA300" s="106" t="n">
        <v>0</v>
      </c>
      <c r="BB300" s="106" t="n">
        <v>0</v>
      </c>
      <c r="BC300" s="106" t="n"/>
      <c r="BD300" s="106" t="n"/>
      <c r="BE300" s="106" t="n">
        <v>0</v>
      </c>
      <c r="BF300" s="106" t="n">
        <v>0</v>
      </c>
      <c r="BG300" s="106" t="n">
        <v>0</v>
      </c>
      <c r="BH300" s="106" t="n"/>
      <c r="BI300" s="106" t="n">
        <v>0</v>
      </c>
      <c r="BJ300" s="106" t="n"/>
      <c r="BK300" s="114" t="n"/>
      <c r="BL300" s="187" t="n">
        <v>33672.83718458</v>
      </c>
      <c r="BM300" s="186" t="n">
        <f aca="false" ca="true" dt2D="false" dtr="false" t="normal">SUBTOTAL(9, BN300:CB300)</f>
        <v>1573497.0647</v>
      </c>
      <c r="BN300" s="106" t="n">
        <v>0</v>
      </c>
      <c r="BO300" s="106" t="n">
        <v>0</v>
      </c>
      <c r="BP300" s="106" t="n">
        <v>1539824.22751542</v>
      </c>
      <c r="BQ300" s="106" t="n">
        <v>0</v>
      </c>
      <c r="BR300" s="106" t="n">
        <v>0</v>
      </c>
      <c r="BS300" s="106" t="n"/>
      <c r="BT300" s="106" t="n"/>
      <c r="BU300" s="106" t="n">
        <v>0</v>
      </c>
      <c r="BV300" s="106" t="n">
        <v>0</v>
      </c>
      <c r="BW300" s="106" t="n">
        <v>0</v>
      </c>
      <c r="BX300" s="106" t="n"/>
      <c r="BY300" s="106" t="n">
        <v>0</v>
      </c>
      <c r="BZ300" s="106" t="n"/>
      <c r="CA300" s="114" t="n"/>
      <c r="CB300" s="115" t="n">
        <v>33672.83718458</v>
      </c>
      <c r="CD300" s="116" t="n">
        <f aca="false" ca="false" dt2D="false" dtr="false" t="normal">+CD299+1</f>
        <v>281</v>
      </c>
      <c r="CE300" s="117" t="n">
        <f aca="false" ca="false" dt2D="false" dtr="false" t="normal">+CE299+1</f>
        <v>93</v>
      </c>
      <c r="CF300" s="104" t="s">
        <v>111</v>
      </c>
      <c r="CG300" s="117" t="s">
        <v>378</v>
      </c>
      <c r="CH300" s="188" t="n">
        <f aca="false" ca="true" dt2D="false" dtr="false" t="normal">SUBTOTAL(9, CI300:CW300)</f>
        <v>1600200.6971845801</v>
      </c>
      <c r="CI300" s="114" t="n">
        <v>0</v>
      </c>
      <c r="CJ300" s="114" t="n">
        <v>0</v>
      </c>
      <c r="CK300" s="114" t="n">
        <v>1566527.86</v>
      </c>
      <c r="CL300" s="114" t="n">
        <v>0</v>
      </c>
      <c r="CM300" s="114" t="n">
        <v>0</v>
      </c>
      <c r="CN300" s="114" t="n"/>
      <c r="CO300" s="114" t="n"/>
      <c r="CP300" s="114" t="n">
        <v>0</v>
      </c>
      <c r="CQ300" s="114" t="n">
        <v>0</v>
      </c>
      <c r="CR300" s="114" t="n">
        <v>0</v>
      </c>
      <c r="CS300" s="114" t="n"/>
      <c r="CT300" s="114" t="n">
        <v>0</v>
      </c>
      <c r="CU300" s="114" t="n"/>
      <c r="CV300" s="114" t="n"/>
      <c r="CW300" s="115" t="n">
        <v>33672.83718458</v>
      </c>
      <c r="CZ300" s="117" t="s">
        <v>378</v>
      </c>
      <c r="DA300" s="189" t="n">
        <f aca="false" ca="true" dt2D="false" dtr="false" t="normal">SUBTOTAL(9, DB300:DP300)</f>
        <v>1566527.86</v>
      </c>
      <c r="DB300" s="114" t="n">
        <v>0</v>
      </c>
      <c r="DC300" s="114" t="n">
        <v>0</v>
      </c>
      <c r="DD300" s="114" t="n">
        <v>1566527.86</v>
      </c>
      <c r="DE300" s="114" t="n">
        <v>0</v>
      </c>
      <c r="DF300" s="114" t="n">
        <v>0</v>
      </c>
      <c r="DG300" s="114" t="n"/>
      <c r="DH300" s="114" t="n"/>
      <c r="DI300" s="114" t="n">
        <v>0</v>
      </c>
      <c r="DJ300" s="114" t="n">
        <v>0</v>
      </c>
      <c r="DK300" s="114" t="n">
        <v>0</v>
      </c>
      <c r="DL300" s="114" t="n"/>
      <c r="DM300" s="114" t="n">
        <v>0</v>
      </c>
      <c r="DN300" s="114" t="n"/>
      <c r="DO300" s="114" t="n"/>
      <c r="DP300" s="122" t="n"/>
      <c r="DQ300" s="3" t="n">
        <f aca="false" ca="false" dt2D="false" dtr="false" t="normal">N300-DA300</f>
        <v>0</v>
      </c>
      <c r="DS300" s="9" t="n"/>
    </row>
    <row hidden="false" ht="15" outlineLevel="0" r="301">
      <c r="A301" s="183" t="n">
        <f aca="false" ca="false" dt2D="false" dtr="false" t="normal">+A300+1</f>
        <v>282</v>
      </c>
      <c r="B301" s="184" t="n">
        <f aca="false" ca="false" dt2D="false" dtr="false" t="normal">+B300+1</f>
        <v>94</v>
      </c>
      <c r="C301" s="117" t="s">
        <v>111</v>
      </c>
      <c r="D301" s="117" t="s">
        <v>180</v>
      </c>
      <c r="E301" s="105" t="n">
        <v>1993</v>
      </c>
      <c r="F301" s="105" t="n">
        <v>2013</v>
      </c>
      <c r="G301" s="105" t="s">
        <v>68</v>
      </c>
      <c r="H301" s="105" t="n">
        <v>5</v>
      </c>
      <c r="I301" s="105" t="n">
        <v>2</v>
      </c>
      <c r="J301" s="106" t="n">
        <v>2382.7</v>
      </c>
      <c r="K301" s="106" t="n">
        <v>2177.75</v>
      </c>
      <c r="L301" s="106" t="n">
        <v>0</v>
      </c>
      <c r="M301" s="107" t="n">
        <v>103</v>
      </c>
      <c r="N301" s="108" t="n">
        <f aca="false" ca="false" dt2D="false" dtr="false" t="normal">SUM(P301:T301)</f>
        <v>2910825.5700000003</v>
      </c>
      <c r="O301" s="114" t="n"/>
      <c r="P301" s="114" t="n">
        <v>1924919.06</v>
      </c>
      <c r="Q301" s="114" t="n"/>
      <c r="R301" s="114" t="n">
        <v>72722.84</v>
      </c>
      <c r="S301" s="114" t="n">
        <v>913183.67</v>
      </c>
      <c r="T301" s="114" t="n"/>
      <c r="U301" s="114" t="n">
        <v>1336.62062679371</v>
      </c>
      <c r="V301" s="114" t="n">
        <v>1316.283020064</v>
      </c>
      <c r="W301" s="185" t="n">
        <v>2023</v>
      </c>
      <c r="X301" s="9" t="n"/>
      <c r="Z301" s="113" t="n"/>
      <c r="AA301" s="106" t="n"/>
      <c r="AB301" s="106" t="n"/>
      <c r="AC301" s="106" t="n"/>
      <c r="AD301" s="106" t="n"/>
      <c r="AE301" s="106" t="n"/>
      <c r="AF301" s="106" t="n"/>
      <c r="AG301" s="106" t="n"/>
      <c r="AH301" s="106" t="n"/>
      <c r="AI301" s="106" t="n"/>
      <c r="AJ301" s="106" t="n"/>
      <c r="AK301" s="106" t="n"/>
      <c r="AL301" s="106" t="n"/>
      <c r="AM301" s="106" t="n"/>
      <c r="AN301" s="114" t="n"/>
      <c r="AO301" s="115" t="n"/>
      <c r="AP301" s="112" t="n"/>
      <c r="AT301" s="9" t="n"/>
      <c r="AU301" s="9" t="n"/>
      <c r="AV301" s="9" t="n"/>
      <c r="AW301" s="186" t="n"/>
      <c r="AX301" s="106" t="n"/>
      <c r="AY301" s="106" t="n"/>
      <c r="AZ301" s="106" t="n"/>
      <c r="BA301" s="106" t="n"/>
      <c r="BB301" s="106" t="n"/>
      <c r="BC301" s="106" t="n"/>
      <c r="BD301" s="106" t="n"/>
      <c r="BE301" s="106" t="n"/>
      <c r="BF301" s="106" t="n"/>
      <c r="BG301" s="106" t="n"/>
      <c r="BH301" s="106" t="n"/>
      <c r="BI301" s="106" t="n"/>
      <c r="BJ301" s="106" t="n"/>
      <c r="BK301" s="114" t="n"/>
      <c r="BL301" s="187" t="n"/>
      <c r="BM301" s="186" t="n">
        <f aca="false" ca="true" dt2D="false" dtr="false" t="normal">SUBTOTAL(9, BN301:CB301)</f>
        <v>2910825.57</v>
      </c>
      <c r="BN301" s="106" t="n">
        <v>2910825.57</v>
      </c>
      <c r="BO301" s="106" t="n"/>
      <c r="BP301" s="106" t="n"/>
      <c r="BQ301" s="106" t="n"/>
      <c r="BR301" s="106" t="n"/>
      <c r="BS301" s="106" t="n"/>
      <c r="BT301" s="106" t="n"/>
      <c r="BU301" s="106" t="n"/>
      <c r="BV301" s="106" t="n"/>
      <c r="BW301" s="106" t="n"/>
      <c r="BX301" s="106" t="n"/>
      <c r="BY301" s="106" t="n"/>
      <c r="BZ301" s="106" t="n"/>
      <c r="CA301" s="114" t="n"/>
      <c r="CB301" s="115" t="n"/>
      <c r="CD301" s="116" t="n">
        <f aca="false" ca="false" dt2D="false" dtr="false" t="normal">+CD300+1</f>
        <v>282</v>
      </c>
      <c r="CE301" s="117" t="n">
        <f aca="false" ca="false" dt2D="false" dtr="false" t="normal">+CE300+1</f>
        <v>94</v>
      </c>
      <c r="CF301" s="104" t="s">
        <v>111</v>
      </c>
      <c r="CG301" s="117" t="s">
        <v>180</v>
      </c>
      <c r="CH301" s="188" t="n">
        <f aca="false" ca="true" dt2D="false" dtr="false" t="normal">SUBTOTAL(9, CI301:CW301)</f>
        <v>2910825.57</v>
      </c>
      <c r="CI301" s="114" t="n">
        <v>2910825.57</v>
      </c>
      <c r="CJ301" s="114" t="n"/>
      <c r="CK301" s="114" t="n"/>
      <c r="CL301" s="114" t="n"/>
      <c r="CM301" s="114" t="n"/>
      <c r="CN301" s="114" t="n"/>
      <c r="CO301" s="114" t="n"/>
      <c r="CP301" s="114" t="n"/>
      <c r="CQ301" s="114" t="n"/>
      <c r="CR301" s="114" t="n"/>
      <c r="CS301" s="114" t="n"/>
      <c r="CT301" s="114" t="n"/>
      <c r="CU301" s="114" t="n"/>
      <c r="CV301" s="114" t="n"/>
      <c r="CW301" s="115" t="n"/>
      <c r="CZ301" s="117" t="s">
        <v>180</v>
      </c>
      <c r="DA301" s="189" t="n">
        <f aca="false" ca="true" dt2D="false" dtr="false" t="normal">SUBTOTAL(9, DB301:DP301)</f>
        <v>2910825.57</v>
      </c>
      <c r="DB301" s="114" t="n">
        <v>2910825.57</v>
      </c>
      <c r="DC301" s="114" t="n"/>
      <c r="DD301" s="114" t="n"/>
      <c r="DE301" s="114" t="n"/>
      <c r="DF301" s="114" t="n"/>
      <c r="DG301" s="114" t="n"/>
      <c r="DH301" s="114" t="n"/>
      <c r="DI301" s="114" t="n"/>
      <c r="DJ301" s="114" t="n"/>
      <c r="DK301" s="114" t="n"/>
      <c r="DL301" s="114" t="n"/>
      <c r="DM301" s="114" t="n"/>
      <c r="DN301" s="114" t="n"/>
      <c r="DO301" s="114" t="n"/>
      <c r="DP301" s="115" t="n"/>
      <c r="DQ301" s="3" t="n">
        <f aca="false" ca="false" dt2D="false" dtr="false" t="normal">N301-DA301</f>
        <v>0</v>
      </c>
      <c r="DS301" s="9" t="n"/>
    </row>
    <row hidden="false" ht="15" outlineLevel="0" r="302">
      <c r="A302" s="183" t="n">
        <f aca="false" ca="false" dt2D="false" dtr="false" t="normal">+A301+1</f>
        <v>283</v>
      </c>
      <c r="B302" s="184" t="n">
        <f aca="false" ca="false" dt2D="false" dtr="false" t="normal">+B301+1</f>
        <v>95</v>
      </c>
      <c r="C302" s="104" t="s">
        <v>111</v>
      </c>
      <c r="D302" s="104" t="s">
        <v>379</v>
      </c>
      <c r="E302" s="105" t="n">
        <v>1968</v>
      </c>
      <c r="F302" s="105" t="n">
        <v>2013</v>
      </c>
      <c r="G302" s="105" t="s">
        <v>68</v>
      </c>
      <c r="H302" s="105" t="n">
        <v>4</v>
      </c>
      <c r="I302" s="105" t="n">
        <v>2</v>
      </c>
      <c r="J302" s="106" t="n">
        <v>1340.1</v>
      </c>
      <c r="K302" s="106" t="n">
        <v>1250.1</v>
      </c>
      <c r="L302" s="106" t="n">
        <v>0</v>
      </c>
      <c r="M302" s="107" t="n">
        <v>47</v>
      </c>
      <c r="N302" s="108" t="n">
        <f aca="false" ca="false" dt2D="false" dtr="false" t="normal">SUM(P302:T302)</f>
        <v>491444.899</v>
      </c>
      <c r="O302" s="106" t="n"/>
      <c r="P302" s="114" t="n"/>
      <c r="Q302" s="114" t="n"/>
      <c r="R302" s="114" t="n">
        <v>491444.899</v>
      </c>
      <c r="S302" s="114" t="n"/>
      <c r="T302" s="114" t="n"/>
      <c r="U302" s="106" t="n">
        <v>395.445983050956</v>
      </c>
      <c r="V302" s="106" t="n">
        <v>395.445983050956</v>
      </c>
      <c r="W302" s="185" t="n">
        <v>2023</v>
      </c>
      <c r="X302" s="9" t="e">
        <f aca="false" ca="false" dt2D="false" dtr="false" t="normal">+#REF!-'[9]Приложение №1'!$P696</f>
        <v>#REF!</v>
      </c>
      <c r="Z302" s="113" t="n">
        <f aca="false" ca="false" dt2D="false" dtr="false" t="normal">SUM(AA302:AO302)</f>
        <v>7345879.354412001</v>
      </c>
      <c r="AA302" s="106" t="n">
        <v>0</v>
      </c>
      <c r="AB302" s="106" t="n">
        <v>0</v>
      </c>
      <c r="AC302" s="106" t="n">
        <v>0</v>
      </c>
      <c r="AD302" s="106" t="n">
        <v>0</v>
      </c>
      <c r="AE302" s="106" t="n">
        <v>491444.9</v>
      </c>
      <c r="AF302" s="106" t="n"/>
      <c r="AG302" s="106" t="n">
        <v>0</v>
      </c>
      <c r="AH302" s="106" t="n">
        <v>0</v>
      </c>
      <c r="AI302" s="106" t="n">
        <v>0</v>
      </c>
      <c r="AJ302" s="106" t="n">
        <v>0</v>
      </c>
      <c r="AK302" s="106" t="n">
        <v>2817572.53491042</v>
      </c>
      <c r="AL302" s="106" t="n">
        <v>3039081.78670572</v>
      </c>
      <c r="AM302" s="106" t="n">
        <v>797894.041</v>
      </c>
      <c r="AN302" s="114" t="n">
        <v>68910.7991</v>
      </c>
      <c r="AO302" s="115" t="n">
        <v>130975.29269586</v>
      </c>
      <c r="AP302" s="112" t="n">
        <f aca="false" ca="false" dt2D="false" dtr="false" t="normal">+N302-'Приложение №2'!E302</f>
        <v>0</v>
      </c>
      <c r="AQ302" s="1" t="n">
        <v>547627.87</v>
      </c>
      <c r="AR302" s="3" t="n">
        <f aca="false" ca="false" dt2D="false" dtr="false" t="normal">+(K302*10+L302*20)*12*0.85</f>
        <v>127510.2</v>
      </c>
      <c r="AS302" s="3" t="n">
        <f aca="false" ca="false" dt2D="false" dtr="false" t="normal">+(K302*10+L302*20)*12*30</f>
        <v>4500360</v>
      </c>
      <c r="AT302" s="9" t="n">
        <f aca="false" ca="false" dt2D="false" dtr="false" t="normal">+S302-AS302</f>
        <v>-4500360</v>
      </c>
      <c r="AU302" s="9" t="e">
        <f aca="false" ca="false" dt2D="false" dtr="false" t="normal">+P302-'[5]Приложение №1'!$P316</f>
        <v>#REF!</v>
      </c>
      <c r="AV302" s="9" t="e">
        <f aca="false" ca="false" dt2D="false" dtr="false" t="normal">+Q302-'[5]Приложение №1'!$Q316</f>
        <v>#REF!</v>
      </c>
      <c r="AW302" s="113" t="n">
        <f aca="false" ca="true" dt2D="false" dtr="false" t="normal">SUBTOTAL(9, AX302:BL302)</f>
        <v>494347.023412</v>
      </c>
      <c r="AX302" s="106" t="n">
        <v>0</v>
      </c>
      <c r="AY302" s="106" t="n">
        <v>0</v>
      </c>
      <c r="AZ302" s="106" t="n">
        <v>0</v>
      </c>
      <c r="BA302" s="106" t="n">
        <v>0</v>
      </c>
      <c r="BB302" s="106" t="n">
        <v>491444.899</v>
      </c>
      <c r="BC302" s="106" t="n"/>
      <c r="BD302" s="106" t="n"/>
      <c r="BE302" s="106" t="n">
        <v>0</v>
      </c>
      <c r="BF302" s="106" t="n">
        <v>0</v>
      </c>
      <c r="BG302" s="106" t="n">
        <v>0</v>
      </c>
      <c r="BH302" s="106" t="n"/>
      <c r="BI302" s="106" t="n"/>
      <c r="BJ302" s="106" t="n"/>
      <c r="BK302" s="114" t="n"/>
      <c r="BL302" s="187" t="n">
        <v>2902.124412</v>
      </c>
      <c r="BM302" s="113" t="n">
        <f aca="false" ca="true" dt2D="false" dtr="false" t="normal">SUBTOTAL(9, BN302:CB302)</f>
        <v>494347.023412</v>
      </c>
      <c r="BN302" s="106" t="n">
        <v>0</v>
      </c>
      <c r="BO302" s="106" t="n">
        <v>0</v>
      </c>
      <c r="BP302" s="106" t="n">
        <v>0</v>
      </c>
      <c r="BQ302" s="106" t="n">
        <v>0</v>
      </c>
      <c r="BR302" s="106" t="n">
        <v>491444.899</v>
      </c>
      <c r="BS302" s="106" t="n"/>
      <c r="BT302" s="106" t="n"/>
      <c r="BU302" s="106" t="n">
        <v>0</v>
      </c>
      <c r="BV302" s="106" t="n">
        <v>0</v>
      </c>
      <c r="BW302" s="106" t="n">
        <v>0</v>
      </c>
      <c r="BX302" s="106" t="n"/>
      <c r="BY302" s="106" t="n"/>
      <c r="BZ302" s="106" t="n"/>
      <c r="CA302" s="114" t="n"/>
      <c r="CB302" s="115" t="n">
        <v>2902.124412</v>
      </c>
      <c r="CD302" s="116" t="n">
        <f aca="false" ca="false" dt2D="false" dtr="false" t="normal">+CD301+1</f>
        <v>283</v>
      </c>
      <c r="CE302" s="117" t="n">
        <f aca="false" ca="false" dt2D="false" dtr="false" t="normal">+CE301+1</f>
        <v>95</v>
      </c>
      <c r="CF302" s="104" t="s">
        <v>111</v>
      </c>
      <c r="CG302" s="117" t="s">
        <v>379</v>
      </c>
      <c r="CH302" s="118" t="n">
        <f aca="false" ca="true" dt2D="false" dtr="false" t="normal">SUBTOTAL(9, CI302:CW302)</f>
        <v>494347.023412</v>
      </c>
      <c r="CI302" s="114" t="n">
        <v>0</v>
      </c>
      <c r="CJ302" s="114" t="n">
        <v>0</v>
      </c>
      <c r="CK302" s="114" t="n">
        <v>0</v>
      </c>
      <c r="CL302" s="114" t="n">
        <v>0</v>
      </c>
      <c r="CM302" s="114" t="n">
        <v>491444.899</v>
      </c>
      <c r="CN302" s="114" t="n"/>
      <c r="CO302" s="114" t="n"/>
      <c r="CP302" s="114" t="n">
        <v>0</v>
      </c>
      <c r="CQ302" s="114" t="n">
        <v>0</v>
      </c>
      <c r="CR302" s="114" t="n">
        <v>0</v>
      </c>
      <c r="CS302" s="114" t="n"/>
      <c r="CT302" s="114" t="n"/>
      <c r="CU302" s="114" t="n"/>
      <c r="CV302" s="114" t="n"/>
      <c r="CW302" s="115" t="n">
        <v>2902.124412</v>
      </c>
      <c r="CZ302" s="117" t="s">
        <v>379</v>
      </c>
      <c r="DA302" s="119" t="n">
        <f aca="false" ca="true" dt2D="false" dtr="false" t="normal">SUBTOTAL(9, DB302:DP302)</f>
        <v>491444.899</v>
      </c>
      <c r="DB302" s="114" t="n">
        <v>0</v>
      </c>
      <c r="DC302" s="114" t="n">
        <v>0</v>
      </c>
      <c r="DD302" s="114" t="n">
        <v>0</v>
      </c>
      <c r="DE302" s="114" t="n">
        <v>0</v>
      </c>
      <c r="DF302" s="114" t="n">
        <v>491444.899</v>
      </c>
      <c r="DG302" s="114" t="n"/>
      <c r="DH302" s="114" t="n"/>
      <c r="DI302" s="114" t="n">
        <v>0</v>
      </c>
      <c r="DJ302" s="114" t="n">
        <v>0</v>
      </c>
      <c r="DK302" s="114" t="n">
        <v>0</v>
      </c>
      <c r="DL302" s="114" t="n"/>
      <c r="DM302" s="114" t="n"/>
      <c r="DN302" s="114" t="n"/>
      <c r="DO302" s="114" t="n"/>
      <c r="DP302" s="122" t="n"/>
      <c r="DQ302" s="3" t="n">
        <f aca="false" ca="false" dt2D="false" dtr="false" t="normal">N302-DA302</f>
        <v>0</v>
      </c>
      <c r="DS302" s="9" t="n"/>
    </row>
    <row hidden="false" ht="15" outlineLevel="0" r="303">
      <c r="A303" s="183" t="n">
        <f aca="false" ca="false" dt2D="false" dtr="false" t="normal">+A302+1</f>
        <v>284</v>
      </c>
      <c r="B303" s="184" t="n">
        <f aca="false" ca="false" dt2D="false" dtr="false" t="normal">+B302+1</f>
        <v>96</v>
      </c>
      <c r="C303" s="117" t="s">
        <v>111</v>
      </c>
      <c r="D303" s="117" t="s">
        <v>380</v>
      </c>
      <c r="E303" s="105" t="n">
        <v>1973</v>
      </c>
      <c r="F303" s="105" t="n">
        <v>2011</v>
      </c>
      <c r="G303" s="105" t="s">
        <v>68</v>
      </c>
      <c r="H303" s="105" t="n">
        <v>5</v>
      </c>
      <c r="I303" s="105" t="n">
        <v>4</v>
      </c>
      <c r="J303" s="106" t="n">
        <v>3343.7</v>
      </c>
      <c r="K303" s="106" t="n">
        <v>3061.9</v>
      </c>
      <c r="L303" s="106" t="n">
        <v>0</v>
      </c>
      <c r="M303" s="107" t="n">
        <v>160</v>
      </c>
      <c r="N303" s="108" t="n">
        <f aca="false" ca="false" dt2D="false" dtr="false" t="normal">SUM(P303:T303)</f>
        <v>12925050.760000002</v>
      </c>
      <c r="O303" s="114" t="n"/>
      <c r="P303" s="114" t="n">
        <v>8170424.74</v>
      </c>
      <c r="Q303" s="114" t="n"/>
      <c r="R303" s="114" t="n">
        <v>1696801.81</v>
      </c>
      <c r="S303" s="114" t="n">
        <v>3057824.21</v>
      </c>
      <c r="T303" s="114" t="n"/>
      <c r="U303" s="106" t="n">
        <v>5206.53421589557</v>
      </c>
      <c r="V303" s="106" t="n">
        <v>5206.53421589557</v>
      </c>
      <c r="W303" s="185" t="n">
        <v>2023</v>
      </c>
      <c r="X303" s="9" t="e">
        <f aca="false" ca="false" dt2D="false" dtr="false" t="normal">+#REF!-'[9]Приложение №1'!$P900</f>
        <v>#REF!</v>
      </c>
      <c r="Z303" s="113" t="n">
        <f aca="false" ca="false" dt2D="false" dtr="false" t="normal">SUM(AA303:AO303)</f>
        <v>26291754.259999998</v>
      </c>
      <c r="AA303" s="106" t="n">
        <v>0</v>
      </c>
      <c r="AB303" s="106" t="n">
        <v>0</v>
      </c>
      <c r="AC303" s="106" t="n">
        <v>2724296.20082046</v>
      </c>
      <c r="AD303" s="106" t="n">
        <v>0</v>
      </c>
      <c r="AE303" s="106" t="n">
        <v>0</v>
      </c>
      <c r="AF303" s="106" t="n"/>
      <c r="AG303" s="106" t="n">
        <v>0</v>
      </c>
      <c r="AH303" s="106" t="n">
        <v>0</v>
      </c>
      <c r="AI303" s="106" t="n">
        <v>13377560.5381698</v>
      </c>
      <c r="AJ303" s="106" t="n">
        <v>0</v>
      </c>
      <c r="AK303" s="106" t="n">
        <v>6945691.362309</v>
      </c>
      <c r="AL303" s="106" t="n">
        <v>0</v>
      </c>
      <c r="AM303" s="106" t="n">
        <v>2477285.4183</v>
      </c>
      <c r="AN303" s="114" t="n">
        <v>262917.5426</v>
      </c>
      <c r="AO303" s="115" t="n">
        <v>504003.19780074</v>
      </c>
      <c r="AP303" s="112" t="n">
        <f aca="false" ca="false" dt2D="false" dtr="false" t="normal">+N303-'Приложение №2'!E303</f>
        <v>0</v>
      </c>
      <c r="AQ303" s="1" t="n">
        <v>1384488.01</v>
      </c>
      <c r="AR303" s="3" t="n">
        <f aca="false" ca="false" dt2D="false" dtr="false" t="normal">+(K303*10+L303*20)*12*0.85</f>
        <v>312313.8</v>
      </c>
      <c r="AS303" s="3" t="n">
        <f aca="false" ca="false" dt2D="false" dtr="false" t="normal">+(K303*10+L303*20)*12*30</f>
        <v>11022840</v>
      </c>
      <c r="AT303" s="9" t="n">
        <f aca="false" ca="false" dt2D="false" dtr="false" t="normal">+S303-AS303</f>
        <v>-7965015.79</v>
      </c>
      <c r="AU303" s="9" t="e">
        <f aca="false" ca="false" dt2D="false" dtr="false" t="normal">+P303-'[5]Приложение №1'!$P319</f>
        <v>#REF!</v>
      </c>
      <c r="AV303" s="9" t="e">
        <f aca="false" ca="false" dt2D="false" dtr="false" t="normal">+Q303-'[5]Приложение №1'!$Q319</f>
        <v>#REF!</v>
      </c>
      <c r="AW303" s="113" t="n">
        <f aca="false" ca="true" dt2D="false" dtr="false" t="normal">SUBTOTAL(9, AX303:BL303)</f>
        <v>16196844.68565066</v>
      </c>
      <c r="AX303" s="106" t="n">
        <v>0</v>
      </c>
      <c r="AY303" s="106" t="n">
        <v>0</v>
      </c>
      <c r="AZ303" s="106" t="n">
        <v>2724296.20082046</v>
      </c>
      <c r="BA303" s="106" t="n">
        <v>0</v>
      </c>
      <c r="BB303" s="106" t="n">
        <v>0</v>
      </c>
      <c r="BC303" s="106" t="n"/>
      <c r="BD303" s="106" t="n"/>
      <c r="BE303" s="106" t="n">
        <v>0</v>
      </c>
      <c r="BF303" s="106" t="n">
        <v>13180008.33</v>
      </c>
      <c r="BG303" s="106" t="n">
        <v>0</v>
      </c>
      <c r="BH303" s="106" t="n"/>
      <c r="BI303" s="106" t="n">
        <v>0</v>
      </c>
      <c r="BJ303" s="106" t="n"/>
      <c r="BK303" s="114" t="n"/>
      <c r="BL303" s="187" t="n">
        <v>292540.1548302</v>
      </c>
      <c r="BM303" s="113" t="n">
        <f aca="false" ca="true" dt2D="false" dtr="false" t="normal">SUBTOTAL(9, BN303:CB303)</f>
        <v>15941887.11565066</v>
      </c>
      <c r="BN303" s="106" t="n">
        <v>0</v>
      </c>
      <c r="BO303" s="106" t="n">
        <v>0</v>
      </c>
      <c r="BP303" s="106" t="n">
        <v>2724296.20082046</v>
      </c>
      <c r="BQ303" s="106" t="n">
        <v>0</v>
      </c>
      <c r="BR303" s="106" t="n">
        <v>0</v>
      </c>
      <c r="BS303" s="106" t="n"/>
      <c r="BT303" s="106" t="n"/>
      <c r="BU303" s="106" t="n">
        <v>0</v>
      </c>
      <c r="BV303" s="106" t="n">
        <v>12925050.76</v>
      </c>
      <c r="BW303" s="106" t="n">
        <v>0</v>
      </c>
      <c r="BX303" s="106" t="n"/>
      <c r="BY303" s="106" t="n">
        <v>0</v>
      </c>
      <c r="BZ303" s="106" t="n"/>
      <c r="CA303" s="114" t="n"/>
      <c r="CB303" s="115" t="n">
        <v>292540.1548302</v>
      </c>
      <c r="CD303" s="116" t="n">
        <f aca="false" ca="false" dt2D="false" dtr="false" t="normal">+CD302+1</f>
        <v>284</v>
      </c>
      <c r="CE303" s="117" t="n">
        <f aca="false" ca="false" dt2D="false" dtr="false" t="normal">+CE302+1</f>
        <v>96</v>
      </c>
      <c r="CF303" s="104" t="s">
        <v>111</v>
      </c>
      <c r="CG303" s="117" t="s">
        <v>380</v>
      </c>
      <c r="CH303" s="118" t="n">
        <f aca="false" ca="true" dt2D="false" dtr="false" t="normal">SUBTOTAL(9, CI303:CW303)</f>
        <v>13217590.9148302</v>
      </c>
      <c r="CI303" s="114" t="n">
        <v>0</v>
      </c>
      <c r="CJ303" s="114" t="n">
        <v>0</v>
      </c>
      <c r="CK303" s="114" t="n"/>
      <c r="CL303" s="114" t="n">
        <v>0</v>
      </c>
      <c r="CM303" s="114" t="n">
        <v>0</v>
      </c>
      <c r="CN303" s="114" t="n"/>
      <c r="CO303" s="114" t="n"/>
      <c r="CP303" s="114" t="n">
        <v>0</v>
      </c>
      <c r="CQ303" s="114" t="n">
        <v>12925050.76</v>
      </c>
      <c r="CR303" s="114" t="n">
        <v>0</v>
      </c>
      <c r="CS303" s="114" t="n"/>
      <c r="CT303" s="114" t="n">
        <v>0</v>
      </c>
      <c r="CU303" s="114" t="n"/>
      <c r="CV303" s="114" t="n"/>
      <c r="CW303" s="115" t="n">
        <v>292540.1548302</v>
      </c>
      <c r="CZ303" s="117" t="s">
        <v>380</v>
      </c>
      <c r="DA303" s="119" t="n">
        <f aca="false" ca="true" dt2D="false" dtr="false" t="normal">SUBTOTAL(9, DB303:DP303)</f>
        <v>12925050.76</v>
      </c>
      <c r="DB303" s="114" t="n">
        <v>0</v>
      </c>
      <c r="DC303" s="114" t="n">
        <v>0</v>
      </c>
      <c r="DD303" s="114" t="n"/>
      <c r="DE303" s="114" t="n">
        <v>0</v>
      </c>
      <c r="DF303" s="114" t="n">
        <v>0</v>
      </c>
      <c r="DG303" s="114" t="n"/>
      <c r="DH303" s="114" t="n"/>
      <c r="DI303" s="114" t="n">
        <v>0</v>
      </c>
      <c r="DJ303" s="114" t="n">
        <v>12925050.76</v>
      </c>
      <c r="DK303" s="114" t="n">
        <v>0</v>
      </c>
      <c r="DL303" s="114" t="n"/>
      <c r="DM303" s="114" t="n">
        <v>0</v>
      </c>
      <c r="DN303" s="114" t="n"/>
      <c r="DO303" s="114" t="n"/>
      <c r="DP303" s="122" t="n"/>
      <c r="DQ303" s="3" t="n">
        <f aca="false" ca="false" dt2D="false" dtr="false" t="normal">N303-DA303</f>
        <v>0</v>
      </c>
      <c r="DS303" s="9" t="n"/>
    </row>
    <row hidden="false" ht="15" outlineLevel="0" r="304">
      <c r="A304" s="183" t="n">
        <f aca="false" ca="false" dt2D="false" dtr="false" t="normal">+A303+1</f>
        <v>285</v>
      </c>
      <c r="B304" s="184" t="n">
        <f aca="false" ca="false" dt2D="false" dtr="false" t="normal">+B303+1</f>
        <v>97</v>
      </c>
      <c r="C304" s="104" t="s">
        <v>111</v>
      </c>
      <c r="D304" s="104" t="s">
        <v>381</v>
      </c>
      <c r="E304" s="105" t="n">
        <v>1971</v>
      </c>
      <c r="F304" s="105" t="n">
        <v>2013</v>
      </c>
      <c r="G304" s="105" t="s">
        <v>68</v>
      </c>
      <c r="H304" s="105" t="n">
        <v>4</v>
      </c>
      <c r="I304" s="105" t="n">
        <v>4</v>
      </c>
      <c r="J304" s="106" t="n">
        <v>3003.8</v>
      </c>
      <c r="K304" s="106" t="n">
        <v>2693.7</v>
      </c>
      <c r="L304" s="106" t="n">
        <v>0</v>
      </c>
      <c r="M304" s="107" t="n">
        <v>120</v>
      </c>
      <c r="N304" s="108" t="n">
        <f aca="false" ca="false" dt2D="false" dtr="false" t="normal">SUM(P304:T304)</f>
        <v>8010112.43</v>
      </c>
      <c r="O304" s="106" t="n"/>
      <c r="P304" s="114" t="n">
        <v>0</v>
      </c>
      <c r="Q304" s="114" t="n"/>
      <c r="R304" s="114" t="n">
        <v>495408.6</v>
      </c>
      <c r="S304" s="114" t="n">
        <v>7514703.83</v>
      </c>
      <c r="T304" s="114" t="n"/>
      <c r="U304" s="106" t="n">
        <v>3814.02659601257</v>
      </c>
      <c r="V304" s="106" t="n">
        <v>3814.02659601257</v>
      </c>
      <c r="W304" s="185" t="n">
        <v>2023</v>
      </c>
      <c r="X304" s="9" t="e">
        <f aca="false" ca="false" dt2D="false" dtr="false" t="normal">+#REF!-'[9]Приложение №1'!$P701</f>
        <v>#REF!</v>
      </c>
      <c r="Z304" s="113" t="n">
        <f aca="false" ca="false" dt2D="false" dtr="false" t="normal">SUM(AA304:AO304)</f>
        <v>21441082.737894002</v>
      </c>
      <c r="AA304" s="106" t="n">
        <v>0</v>
      </c>
      <c r="AB304" s="106" t="n">
        <v>2296919.63043102</v>
      </c>
      <c r="AC304" s="106" t="n">
        <v>2399769.94378506</v>
      </c>
      <c r="AD304" s="106" t="n">
        <v>0</v>
      </c>
      <c r="AE304" s="106" t="n">
        <v>1020388.92</v>
      </c>
      <c r="AF304" s="106" t="n"/>
      <c r="AG304" s="106" t="n">
        <v>247344.72404292</v>
      </c>
      <c r="AH304" s="106" t="n">
        <v>0</v>
      </c>
      <c r="AI304" s="106" t="n">
        <v>0</v>
      </c>
      <c r="AJ304" s="106" t="n">
        <v>0</v>
      </c>
      <c r="AK304" s="106" t="n">
        <v>6118299.9556224</v>
      </c>
      <c r="AL304" s="106" t="n">
        <v>6599302.67054226</v>
      </c>
      <c r="AM304" s="106" t="n">
        <v>2162864.8599</v>
      </c>
      <c r="AN304" s="114" t="n">
        <v>205857.477</v>
      </c>
      <c r="AO304" s="115" t="n">
        <v>390334.55657034</v>
      </c>
      <c r="AP304" s="112" t="n">
        <f aca="false" ca="false" dt2D="false" dtr="false" t="normal">+N304-'Приложение №2'!E304</f>
        <v>0</v>
      </c>
      <c r="AQ304" s="1" t="n">
        <f aca="false" ca="false" dt2D="false" dtr="false" t="normal">1245150.45-129665.9434</f>
        <v>1115484.5066</v>
      </c>
      <c r="AR304" s="3" t="n">
        <f aca="false" ca="false" dt2D="false" dtr="false" t="normal">+(K304*10+L304*20)*12*0.85</f>
        <v>274757.39999999997</v>
      </c>
      <c r="AS304" s="3" t="n">
        <f aca="false" ca="false" dt2D="false" dtr="false" t="normal">+(K304*10+L304*20)*12*30-552777.2166</f>
        <v>9144542.7834</v>
      </c>
      <c r="AT304" s="9" t="n">
        <f aca="false" ca="false" dt2D="false" dtr="false" t="normal">+S304-AS304</f>
        <v>-1629838.953399999</v>
      </c>
      <c r="AU304" s="9" t="e">
        <f aca="false" ca="false" dt2D="false" dtr="false" t="normal">+P304-'[5]Приложение №1'!$P321</f>
        <v>#REF!</v>
      </c>
      <c r="AV304" s="9" t="e">
        <f aca="false" ca="false" dt2D="false" dtr="false" t="normal">+Q304-'[5]Приложение №1'!$Q321</f>
        <v>#REF!</v>
      </c>
      <c r="AW304" s="113" t="n">
        <f aca="false" ca="true" dt2D="false" dtr="false" t="normal">SUBTOTAL(9, AX304:BL304)</f>
        <v>10273843.44167906</v>
      </c>
      <c r="AX304" s="106" t="n"/>
      <c r="AY304" s="106" t="n"/>
      <c r="AZ304" s="106" t="n">
        <v>2399769.94378506</v>
      </c>
      <c r="BA304" s="106" t="n">
        <v>0</v>
      </c>
      <c r="BB304" s="106" t="n">
        <v>1020388.92</v>
      </c>
      <c r="BC304" s="106" t="n"/>
      <c r="BD304" s="106" t="n"/>
      <c r="BE304" s="106" t="n"/>
      <c r="BF304" s="106" t="n"/>
      <c r="BG304" s="106" t="n"/>
      <c r="BH304" s="106" t="n"/>
      <c r="BI304" s="106" t="n">
        <v>6849574.25</v>
      </c>
      <c r="BJ304" s="106" t="n"/>
      <c r="BK304" s="114" t="n"/>
      <c r="BL304" s="187" t="n">
        <v>4110.327894</v>
      </c>
      <c r="BM304" s="113" t="n">
        <f aca="false" ca="true" dt2D="false" dtr="false" t="normal">SUBTOTAL(9, BN304:CB304)</f>
        <v>10419561.67167906</v>
      </c>
      <c r="BN304" s="106" t="n"/>
      <c r="BO304" s="106" t="n"/>
      <c r="BP304" s="106" t="n">
        <v>2399769.94378506</v>
      </c>
      <c r="BQ304" s="106" t="n">
        <v>0</v>
      </c>
      <c r="BR304" s="106" t="n">
        <v>1020388.92</v>
      </c>
      <c r="BS304" s="106" t="n"/>
      <c r="BT304" s="106" t="n"/>
      <c r="BU304" s="106" t="n"/>
      <c r="BV304" s="106" t="n"/>
      <c r="BW304" s="106" t="n"/>
      <c r="BX304" s="106" t="n"/>
      <c r="BY304" s="192" t="n">
        <v>6995292.48</v>
      </c>
      <c r="BZ304" s="106" t="n"/>
      <c r="CA304" s="114" t="n"/>
      <c r="CB304" s="115" t="n">
        <v>4110.327894</v>
      </c>
      <c r="CD304" s="116" t="n">
        <f aca="false" ca="false" dt2D="false" dtr="false" t="normal">+CD303+1</f>
        <v>285</v>
      </c>
      <c r="CE304" s="117" t="n">
        <f aca="false" ca="false" dt2D="false" dtr="false" t="normal">+CE303+1</f>
        <v>97</v>
      </c>
      <c r="CF304" s="104" t="s">
        <v>111</v>
      </c>
      <c r="CG304" s="117" t="s">
        <v>381</v>
      </c>
      <c r="CH304" s="118" t="n">
        <f aca="false" ca="true" dt2D="false" dtr="false" t="normal">SUBTOTAL(9, CI304:CW304)</f>
        <v>8014222.757894001</v>
      </c>
      <c r="CI304" s="114" t="n"/>
      <c r="CJ304" s="114" t="n"/>
      <c r="CK304" s="114" t="n"/>
      <c r="CL304" s="114" t="n">
        <v>0</v>
      </c>
      <c r="CM304" s="114" t="n">
        <v>1014819.95</v>
      </c>
      <c r="CN304" s="114" t="n"/>
      <c r="CO304" s="114" t="n"/>
      <c r="CP304" s="114" t="n"/>
      <c r="CQ304" s="114" t="n"/>
      <c r="CR304" s="114" t="n"/>
      <c r="CS304" s="114" t="n"/>
      <c r="CT304" s="114" t="n">
        <v>6995292.48</v>
      </c>
      <c r="CU304" s="114" t="n"/>
      <c r="CV304" s="114" t="n"/>
      <c r="CW304" s="115" t="n">
        <v>4110.327894</v>
      </c>
      <c r="CZ304" s="117" t="s">
        <v>381</v>
      </c>
      <c r="DA304" s="119" t="n">
        <f aca="false" ca="true" dt2D="false" dtr="false" t="normal">SUBTOTAL(9, DB304:DP304)</f>
        <v>8010112.430000001</v>
      </c>
      <c r="DB304" s="114" t="n"/>
      <c r="DC304" s="114" t="n"/>
      <c r="DD304" s="114" t="n"/>
      <c r="DE304" s="114" t="n">
        <v>0</v>
      </c>
      <c r="DF304" s="114" t="n">
        <v>1014819.95</v>
      </c>
      <c r="DG304" s="114" t="n"/>
      <c r="DH304" s="114" t="n"/>
      <c r="DI304" s="114" t="n"/>
      <c r="DJ304" s="114" t="n"/>
      <c r="DK304" s="114" t="n"/>
      <c r="DL304" s="114" t="n"/>
      <c r="DM304" s="114" t="n">
        <v>6995292.48</v>
      </c>
      <c r="DN304" s="114" t="n"/>
      <c r="DO304" s="114" t="n"/>
      <c r="DP304" s="122" t="n"/>
      <c r="DQ304" s="3" t="n">
        <f aca="false" ca="false" dt2D="false" dtr="false" t="normal">N304-DA304</f>
        <v>0</v>
      </c>
      <c r="DS304" s="9" t="n"/>
    </row>
    <row customFormat="true" hidden="false" ht="15" outlineLevel="0" r="305" s="129">
      <c r="A305" s="183" t="n">
        <f aca="false" ca="false" dt2D="false" dtr="false" t="normal">+A304+1</f>
        <v>286</v>
      </c>
      <c r="B305" s="184" t="n">
        <f aca="false" ca="false" dt2D="false" dtr="false" t="normal">+B304+1</f>
        <v>98</v>
      </c>
      <c r="C305" s="104" t="s">
        <v>184</v>
      </c>
      <c r="D305" s="104" t="s">
        <v>382</v>
      </c>
      <c r="E305" s="105" t="s">
        <v>345</v>
      </c>
      <c r="F305" s="105" t="n"/>
      <c r="G305" s="105" t="s">
        <v>68</v>
      </c>
      <c r="H305" s="105" t="s">
        <v>187</v>
      </c>
      <c r="I305" s="105" t="s">
        <v>148</v>
      </c>
      <c r="J305" s="106" t="n">
        <v>3411.7</v>
      </c>
      <c r="K305" s="106" t="n">
        <v>2190.7</v>
      </c>
      <c r="L305" s="106" t="n">
        <v>1221</v>
      </c>
      <c r="M305" s="107" t="n">
        <v>86</v>
      </c>
      <c r="N305" s="108" t="n">
        <f aca="false" ca="false" dt2D="false" dtr="false" t="normal">SUM(P305:T305)</f>
        <v>2065046.7599999998</v>
      </c>
      <c r="O305" s="106" t="n">
        <v>0</v>
      </c>
      <c r="P305" s="114" t="n"/>
      <c r="Q305" s="114" t="n">
        <v>0</v>
      </c>
      <c r="R305" s="114" t="n">
        <v>710919.86</v>
      </c>
      <c r="S305" s="114" t="n">
        <v>1354126.9</v>
      </c>
      <c r="T305" s="114" t="n"/>
      <c r="U305" s="114" t="n">
        <v>14950.9382357458</v>
      </c>
      <c r="V305" s="114" t="n">
        <v>1322.283020064</v>
      </c>
      <c r="W305" s="185" t="n">
        <v>2023</v>
      </c>
      <c r="X305" s="129" t="n">
        <v>1858783.44</v>
      </c>
      <c r="Y305" s="129" t="n">
        <f aca="false" ca="false" dt2D="false" dtr="false" t="normal">+(K305*9.1+L305*18.19)*12</f>
        <v>505744.32</v>
      </c>
      <c r="AA305" s="130" t="e">
        <f aca="false" ca="false" dt2D="false" dtr="false" t="normal">+N305-'[8]Приложение № 2'!E309</f>
        <v>#REF!</v>
      </c>
      <c r="AD305" s="130" t="e">
        <f aca="false" ca="false" dt2D="false" dtr="false" t="normal">+N305-'[8]Приложение № 2'!E309</f>
        <v>#REF!</v>
      </c>
      <c r="AP305" s="112" t="n">
        <f aca="false" ca="false" dt2D="false" dtr="false" t="normal">+N305-'Приложение №2'!E305</f>
        <v>0</v>
      </c>
      <c r="AQ305" s="121" t="n">
        <v>2892323.62</v>
      </c>
      <c r="AR305" s="3" t="n">
        <f aca="false" ca="false" dt2D="false" dtr="false" t="normal">+(K305*10.5+L305*21)*12*0.85</f>
        <v>496162.1699999999</v>
      </c>
      <c r="AS305" s="3" t="n">
        <f aca="false" ca="false" dt2D="false" dtr="false" t="normal">+(K305*10.5+L305*21)*12*30</f>
        <v>17511606</v>
      </c>
      <c r="AT305" s="9" t="n">
        <f aca="false" ca="false" dt2D="false" dtr="false" t="normal">+S305-AS305</f>
        <v>-16157479.1</v>
      </c>
      <c r="AU305" s="9" t="e">
        <f aca="false" ca="false" dt2D="false" dtr="false" t="normal">+P305-'[5]Приложение №1'!$P344</f>
        <v>#REF!</v>
      </c>
      <c r="AV305" s="9" t="e">
        <f aca="false" ca="false" dt2D="false" dtr="false" t="normal">+Q305-'[5]Приложение №1'!$Q344</f>
        <v>#REF!</v>
      </c>
      <c r="AW305" s="186" t="n">
        <f aca="false" ca="true" dt2D="false" dtr="false" t="normal">SUBTOTAL(9, AX305:BL305)</f>
        <v>32753020.393048245</v>
      </c>
      <c r="AX305" s="106" t="n">
        <v>8145536.92119679</v>
      </c>
      <c r="AY305" s="106" t="n"/>
      <c r="AZ305" s="106" t="n">
        <v>3032559.0353824</v>
      </c>
      <c r="BA305" s="106" t="n"/>
      <c r="BB305" s="106" t="n"/>
      <c r="BC305" s="106" t="n"/>
      <c r="BD305" s="106" t="n">
        <v>312550.298643218</v>
      </c>
      <c r="BE305" s="106" t="n">
        <v>0</v>
      </c>
      <c r="BF305" s="106" t="n">
        <v>0</v>
      </c>
      <c r="BG305" s="106" t="n">
        <v>0</v>
      </c>
      <c r="BH305" s="106" t="n">
        <v>7731612.43662763</v>
      </c>
      <c r="BI305" s="106" t="n">
        <v>8339440.55938397</v>
      </c>
      <c r="BJ305" s="106" t="n">
        <v>4071050.8610671</v>
      </c>
      <c r="BK305" s="114" t="n">
        <v>387157.945608278</v>
      </c>
      <c r="BL305" s="187" t="n">
        <v>733112.335138862</v>
      </c>
      <c r="BM305" s="186" t="n">
        <f aca="false" ca="true" dt2D="false" dtr="false" t="normal">SUBTOTAL(9, BN305:CB305)</f>
        <v>32753020.393048245</v>
      </c>
      <c r="BN305" s="106" t="n">
        <v>8145536.92119679</v>
      </c>
      <c r="BO305" s="106" t="n"/>
      <c r="BP305" s="106" t="n">
        <v>3032559.0353824</v>
      </c>
      <c r="BQ305" s="106" t="n"/>
      <c r="BR305" s="106" t="n"/>
      <c r="BS305" s="106" t="n"/>
      <c r="BT305" s="106" t="n">
        <v>312550.298643218</v>
      </c>
      <c r="BU305" s="106" t="n">
        <v>0</v>
      </c>
      <c r="BV305" s="106" t="n">
        <v>0</v>
      </c>
      <c r="BW305" s="106" t="n">
        <v>0</v>
      </c>
      <c r="BX305" s="106" t="n">
        <v>7731612.43662763</v>
      </c>
      <c r="BY305" s="106" t="n">
        <v>8339440.55938397</v>
      </c>
      <c r="BZ305" s="106" t="n">
        <v>4071050.8610671</v>
      </c>
      <c r="CA305" s="114" t="n">
        <v>387157.945608278</v>
      </c>
      <c r="CB305" s="115" t="n">
        <v>733112.335138862</v>
      </c>
      <c r="CD305" s="116" t="n">
        <f aca="false" ca="false" dt2D="false" dtr="false" t="normal">+CD304+1</f>
        <v>286</v>
      </c>
      <c r="CE305" s="117" t="n">
        <f aca="false" ca="false" dt2D="false" dtr="false" t="normal">+CE304+1</f>
        <v>98</v>
      </c>
      <c r="CF305" s="104" t="s">
        <v>111</v>
      </c>
      <c r="CG305" s="117" t="s">
        <v>382</v>
      </c>
      <c r="CH305" s="188" t="n">
        <f aca="false" ca="true" dt2D="false" dtr="false" t="normal">SUBTOTAL(9, CI305:CW305)</f>
        <v>2798159.095138862</v>
      </c>
      <c r="CI305" s="114" t="n"/>
      <c r="CJ305" s="114" t="n"/>
      <c r="CK305" s="114" t="n">
        <v>1394976.29</v>
      </c>
      <c r="CL305" s="114" t="n"/>
      <c r="CM305" s="114" t="n"/>
      <c r="CN305" s="114" t="n"/>
      <c r="CO305" s="114" t="n"/>
      <c r="CP305" s="114" t="n">
        <v>0</v>
      </c>
      <c r="CQ305" s="114" t="n">
        <v>0</v>
      </c>
      <c r="CR305" s="114" t="n">
        <v>0</v>
      </c>
      <c r="CS305" s="114" t="n"/>
      <c r="CT305" s="114" t="n">
        <v>397050</v>
      </c>
      <c r="CU305" s="114" t="n">
        <v>266163.33</v>
      </c>
      <c r="CV305" s="114" t="n">
        <v>6857.14</v>
      </c>
      <c r="CW305" s="115" t="n">
        <v>733112.335138862</v>
      </c>
      <c r="CZ305" s="117" t="s">
        <v>382</v>
      </c>
      <c r="DA305" s="189" t="n">
        <f aca="false" ca="true" dt2D="false" dtr="false" t="normal">SUBTOTAL(9, DB305:DP305)</f>
        <v>2065046.76</v>
      </c>
      <c r="DB305" s="114" t="n"/>
      <c r="DC305" s="114" t="n"/>
      <c r="DD305" s="114" t="n">
        <v>1394976.29</v>
      </c>
      <c r="DE305" s="114" t="n"/>
      <c r="DF305" s="114" t="n"/>
      <c r="DG305" s="114" t="n"/>
      <c r="DH305" s="114" t="n"/>
      <c r="DI305" s="114" t="n">
        <v>0</v>
      </c>
      <c r="DJ305" s="114" t="n">
        <v>0</v>
      </c>
      <c r="DK305" s="114" t="n">
        <v>0</v>
      </c>
      <c r="DL305" s="114" t="n"/>
      <c r="DM305" s="114" t="n">
        <v>397050</v>
      </c>
      <c r="DN305" s="114" t="n">
        <v>266163.33</v>
      </c>
      <c r="DO305" s="114" t="n">
        <v>6857.14</v>
      </c>
      <c r="DP305" s="122" t="n"/>
      <c r="DQ305" s="3" t="n">
        <f aca="false" ca="false" dt2D="false" dtr="false" t="normal">N305-DA305</f>
        <v>0</v>
      </c>
      <c r="DS305" s="9" t="n"/>
    </row>
    <row customFormat="true" hidden="false" ht="15" outlineLevel="0" r="306" s="129">
      <c r="A306" s="183" t="n">
        <f aca="false" ca="false" dt2D="false" dtr="false" t="normal">+A305+1</f>
        <v>287</v>
      </c>
      <c r="B306" s="184" t="n">
        <f aca="false" ca="false" dt2D="false" dtr="false" t="normal">+B305+1</f>
        <v>99</v>
      </c>
      <c r="C306" s="117" t="s">
        <v>184</v>
      </c>
      <c r="D306" s="117" t="s">
        <v>383</v>
      </c>
      <c r="E306" s="105" t="s">
        <v>384</v>
      </c>
      <c r="F306" s="105" t="n"/>
      <c r="G306" s="105" t="s">
        <v>68</v>
      </c>
      <c r="H306" s="105" t="s">
        <v>187</v>
      </c>
      <c r="I306" s="105" t="s">
        <v>128</v>
      </c>
      <c r="J306" s="106" t="n">
        <v>5051.19</v>
      </c>
      <c r="K306" s="106" t="n">
        <v>4630.8</v>
      </c>
      <c r="L306" s="106" t="n">
        <v>0</v>
      </c>
      <c r="M306" s="107" t="n">
        <v>233</v>
      </c>
      <c r="N306" s="108" t="n">
        <f aca="false" ca="false" dt2D="false" dtr="false" t="normal">SUM(P306:T306)</f>
        <v>24468478.450000003</v>
      </c>
      <c r="O306" s="114" t="n">
        <v>0</v>
      </c>
      <c r="P306" s="114" t="n">
        <v>15061072.96</v>
      </c>
      <c r="Q306" s="114" t="n">
        <v>0</v>
      </c>
      <c r="R306" s="114" t="n">
        <v>1286566.96</v>
      </c>
      <c r="S306" s="114" t="n">
        <v>8120838.53</v>
      </c>
      <c r="T306" s="114" t="n"/>
      <c r="U306" s="114" t="n">
        <v>9933.74579874802</v>
      </c>
      <c r="V306" s="114" t="n">
        <v>1323.283020064</v>
      </c>
      <c r="W306" s="185" t="n">
        <v>2023</v>
      </c>
      <c r="X306" s="129" t="n">
        <v>1795085.95</v>
      </c>
      <c r="Y306" s="129" t="n">
        <f aca="false" ca="false" dt2D="false" dtr="false" t="normal">+(K306*9.1+L306*18.19)*12</f>
        <v>505683.36</v>
      </c>
      <c r="AA306" s="130" t="e">
        <f aca="false" ca="false" dt2D="false" dtr="false" t="normal">+N306-'[8]Приложение № 2'!E308</f>
        <v>#REF!</v>
      </c>
      <c r="AD306" s="130" t="e">
        <f aca="false" ca="false" dt2D="false" dtr="false" t="normal">+N306-'[8]Приложение № 2'!E308</f>
        <v>#REF!</v>
      </c>
      <c r="AP306" s="112" t="n">
        <f aca="false" ca="false" dt2D="false" dtr="false" t="normal">+N306-'Приложение №2'!E306</f>
        <v>0</v>
      </c>
      <c r="AQ306" s="121" t="n">
        <v>2825636.52</v>
      </c>
      <c r="AR306" s="3" t="n">
        <f aca="false" ca="false" dt2D="false" dtr="false" t="normal">+(K306*10.5+L306*21)*12*0.85</f>
        <v>495958.68000000005</v>
      </c>
      <c r="AS306" s="3" t="n">
        <f aca="false" ca="false" dt2D="false" dtr="false" t="normal">+(K306*10.5+L306*21)*12*30</f>
        <v>17504424</v>
      </c>
      <c r="AT306" s="9" t="n">
        <f aca="false" ca="false" dt2D="false" dtr="false" t="normal">+S306-AS306</f>
        <v>-9383585.469999999</v>
      </c>
      <c r="AU306" s="9" t="e">
        <f aca="false" ca="false" dt2D="false" dtr="false" t="normal">+P306-'[5]Приложение №1'!$P343</f>
        <v>#REF!</v>
      </c>
      <c r="AV306" s="9" t="e">
        <f aca="false" ca="false" dt2D="false" dtr="false" t="normal">+Q306-'[5]Приложение №1'!$Q343</f>
        <v>#REF!</v>
      </c>
      <c r="AW306" s="186" t="n">
        <f aca="false" ca="true" dt2D="false" dtr="false" t="normal">SUBTOTAL(9, AX306:BL306)</f>
        <v>46001190.04484233</v>
      </c>
      <c r="AX306" s="106" t="n"/>
      <c r="AY306" s="106" t="n"/>
      <c r="AZ306" s="106" t="n">
        <v>4497893.30188724</v>
      </c>
      <c r="BA306" s="106" t="n"/>
      <c r="BB306" s="106" t="n"/>
      <c r="BC306" s="106" t="n"/>
      <c r="BD306" s="106" t="n"/>
      <c r="BE306" s="106" t="n"/>
      <c r="BF306" s="106" t="n">
        <v>21981498.4895779</v>
      </c>
      <c r="BG306" s="106" t="n"/>
      <c r="BH306" s="106" t="n"/>
      <c r="BI306" s="106" t="n">
        <v>12368954.783286</v>
      </c>
      <c r="BJ306" s="106" t="n">
        <v>5496977.66361253</v>
      </c>
      <c r="BK306" s="114" t="n">
        <v>568685.028051038</v>
      </c>
      <c r="BL306" s="187" t="n">
        <v>1087180.77842762</v>
      </c>
      <c r="BM306" s="186" t="n">
        <f aca="false" ca="true" dt2D="false" dtr="false" t="normal">SUBTOTAL(9, BN306:CB306)</f>
        <v>46001190.04484233</v>
      </c>
      <c r="BN306" s="106" t="n"/>
      <c r="BO306" s="106" t="n"/>
      <c r="BP306" s="106" t="n">
        <v>4497893.30188724</v>
      </c>
      <c r="BQ306" s="106" t="n"/>
      <c r="BR306" s="106" t="n"/>
      <c r="BS306" s="106" t="n"/>
      <c r="BT306" s="106" t="n"/>
      <c r="BU306" s="106" t="n"/>
      <c r="BV306" s="106" t="n">
        <v>21981498.4895779</v>
      </c>
      <c r="BW306" s="106" t="n"/>
      <c r="BX306" s="106" t="n"/>
      <c r="BY306" s="106" t="n">
        <v>12368954.783286</v>
      </c>
      <c r="BZ306" s="106" t="n">
        <v>5496977.66361253</v>
      </c>
      <c r="CA306" s="114" t="n">
        <v>568685.028051038</v>
      </c>
      <c r="CB306" s="115" t="n">
        <v>1087180.77842762</v>
      </c>
      <c r="CD306" s="116" t="n">
        <f aca="false" ca="false" dt2D="false" dtr="false" t="normal">+CD305+1</f>
        <v>287</v>
      </c>
      <c r="CE306" s="117" t="n">
        <f aca="false" ca="false" dt2D="false" dtr="false" t="normal">+CE305+1</f>
        <v>99</v>
      </c>
      <c r="CF306" s="104" t="s">
        <v>111</v>
      </c>
      <c r="CG306" s="117" t="s">
        <v>383</v>
      </c>
      <c r="CH306" s="188" t="n">
        <f aca="false" ca="true" dt2D="false" dtr="false" t="normal">SUBTOTAL(9, CI306:CW306)</f>
        <v>25555659.22842762</v>
      </c>
      <c r="CI306" s="114" t="n"/>
      <c r="CJ306" s="114" t="n"/>
      <c r="CK306" s="114" t="n"/>
      <c r="CL306" s="114" t="n"/>
      <c r="CM306" s="114" t="n"/>
      <c r="CN306" s="114" t="n"/>
      <c r="CO306" s="114" t="n"/>
      <c r="CP306" s="114" t="n"/>
      <c r="CQ306" s="114" t="n">
        <v>16572168.38</v>
      </c>
      <c r="CR306" s="114" t="n"/>
      <c r="CS306" s="114" t="n"/>
      <c r="CT306" s="114" t="n">
        <v>7332571.26</v>
      </c>
      <c r="CU306" s="114" t="n">
        <v>557738.81</v>
      </c>
      <c r="CV306" s="114" t="n">
        <v>6000</v>
      </c>
      <c r="CW306" s="115" t="n">
        <v>1087180.77842762</v>
      </c>
      <c r="CZ306" s="117" t="s">
        <v>383</v>
      </c>
      <c r="DA306" s="189" t="n">
        <f aca="false" ca="true" dt2D="false" dtr="false" t="normal">SUBTOTAL(9, DB306:DP306)</f>
        <v>24468478.45</v>
      </c>
      <c r="DB306" s="114" t="n"/>
      <c r="DC306" s="114" t="n"/>
      <c r="DD306" s="114" t="n"/>
      <c r="DE306" s="114" t="n"/>
      <c r="DF306" s="114" t="n"/>
      <c r="DG306" s="114" t="n"/>
      <c r="DH306" s="114" t="n"/>
      <c r="DI306" s="114" t="n"/>
      <c r="DJ306" s="114" t="n">
        <v>16572168.38</v>
      </c>
      <c r="DK306" s="114" t="n"/>
      <c r="DL306" s="114" t="n"/>
      <c r="DM306" s="114" t="n">
        <v>7332571.26</v>
      </c>
      <c r="DN306" s="114" t="n">
        <v>557738.81</v>
      </c>
      <c r="DO306" s="114" t="n">
        <v>6000</v>
      </c>
      <c r="DP306" s="122" t="n"/>
      <c r="DQ306" s="3" t="n">
        <f aca="false" ca="false" dt2D="false" dtr="false" t="normal">N306-DA306</f>
        <v>0</v>
      </c>
      <c r="DS306" s="9" t="n"/>
    </row>
    <row hidden="false" ht="15" outlineLevel="0" r="307">
      <c r="A307" s="183" t="n">
        <f aca="false" ca="false" dt2D="false" dtr="false" t="normal">+A306+1</f>
        <v>288</v>
      </c>
      <c r="B307" s="184" t="n">
        <f aca="false" ca="false" dt2D="false" dtr="false" t="normal">+B306+1</f>
        <v>100</v>
      </c>
      <c r="C307" s="117" t="s">
        <v>111</v>
      </c>
      <c r="D307" s="117" t="s">
        <v>181</v>
      </c>
      <c r="E307" s="105" t="n">
        <v>1966</v>
      </c>
      <c r="F307" s="105" t="n">
        <v>2013</v>
      </c>
      <c r="G307" s="105" t="s">
        <v>68</v>
      </c>
      <c r="H307" s="105" t="n">
        <v>4</v>
      </c>
      <c r="I307" s="105" t="n">
        <v>6</v>
      </c>
      <c r="J307" s="106" t="n">
        <v>2829.5</v>
      </c>
      <c r="K307" s="106" t="n">
        <v>2537.8</v>
      </c>
      <c r="L307" s="106" t="n">
        <v>230.6</v>
      </c>
      <c r="M307" s="107" t="n">
        <v>144</v>
      </c>
      <c r="N307" s="108" t="n">
        <f aca="false" ca="false" dt2D="false" dtr="false" t="normal">SUM(P307:T307)</f>
        <v>11911375.76</v>
      </c>
      <c r="O307" s="114" t="n"/>
      <c r="P307" s="114" t="n">
        <f aca="false" ca="false" dt2D="false" dtr="false" t="normal">2935208.39-218044.34</f>
        <v>2717164.0500000003</v>
      </c>
      <c r="Q307" s="114" t="n"/>
      <c r="R307" s="114" t="n">
        <v>509273.2</v>
      </c>
      <c r="S307" s="114" t="n">
        <v>8684938.51</v>
      </c>
      <c r="T307" s="114" t="n"/>
      <c r="U307" s="114" t="n">
        <v>9188.10009785138</v>
      </c>
      <c r="V307" s="114" t="n">
        <v>1324.283020064</v>
      </c>
      <c r="W307" s="185" t="n">
        <v>2023</v>
      </c>
      <c r="X307" s="9" t="e">
        <f aca="false" ca="false" dt2D="false" dtr="false" t="normal">+#REF!-'[9]Приложение №1'!$P1642</f>
        <v>#REF!</v>
      </c>
      <c r="Z307" s="113" t="n">
        <f aca="false" ca="false" dt2D="false" dtr="false" t="normal">SUM(AA307:AO307)</f>
        <v>15087934.029999997</v>
      </c>
      <c r="AA307" s="106" t="n">
        <v>6065034.64028826</v>
      </c>
      <c r="AB307" s="106" t="n">
        <v>2161221.1824525</v>
      </c>
      <c r="AC307" s="106" t="n">
        <v>2257995.25038738</v>
      </c>
      <c r="AD307" s="106" t="n">
        <v>1413647.79602172</v>
      </c>
      <c r="AE307" s="106" t="n">
        <v>864921.32273358</v>
      </c>
      <c r="AF307" s="106" t="n"/>
      <c r="AG307" s="106" t="n">
        <v>232731.98563608</v>
      </c>
      <c r="AH307" s="106" t="n">
        <v>0</v>
      </c>
      <c r="AI307" s="106" t="n">
        <v>0</v>
      </c>
      <c r="AJ307" s="106" t="n">
        <v>0</v>
      </c>
      <c r="AK307" s="106" t="n">
        <v>0</v>
      </c>
      <c r="AL307" s="106" t="n">
        <v>0</v>
      </c>
      <c r="AM307" s="106" t="n">
        <v>1657316.1065</v>
      </c>
      <c r="AN307" s="114" t="n">
        <v>150879.3403</v>
      </c>
      <c r="AO307" s="115" t="n">
        <v>284186.40568048</v>
      </c>
      <c r="AP307" s="112" t="n">
        <f aca="false" ca="false" dt2D="false" dtr="false" t="normal">+N307-'Приложение №2'!E307</f>
        <v>0</v>
      </c>
      <c r="AQ307" s="135" t="n">
        <v>1632407.51</v>
      </c>
      <c r="AR307" s="3" t="n">
        <f aca="false" ca="false" dt2D="false" dtr="false" t="normal">+(K307*10.5+L307*21)*12*0.85</f>
        <v>321192.89999999997</v>
      </c>
      <c r="AS307" s="3" t="n">
        <f aca="false" ca="false" dt2D="false" dtr="false" t="normal">+(K307*10.5+L307*21)*12*30</f>
        <v>11336220</v>
      </c>
      <c r="AT307" s="9" t="n">
        <f aca="false" ca="false" dt2D="false" dtr="false" t="normal">+S307-AS307</f>
        <v>-2651281.49</v>
      </c>
      <c r="AU307" s="9" t="n"/>
      <c r="AV307" s="9" t="n"/>
      <c r="AW307" s="186" t="n">
        <f aca="false" ca="true" dt2D="false" dtr="false" t="normal">SUBTOTAL(9, AX307:BL307)</f>
        <v>23317560.42832726</v>
      </c>
      <c r="AX307" s="106" t="n"/>
      <c r="AY307" s="106" t="n"/>
      <c r="AZ307" s="106" t="n"/>
      <c r="BA307" s="106" t="n"/>
      <c r="BB307" s="106" t="n"/>
      <c r="BC307" s="106" t="n"/>
      <c r="BD307" s="106" t="n"/>
      <c r="BE307" s="106" t="n"/>
      <c r="BF307" s="106" t="n">
        <v>12083403.5969648</v>
      </c>
      <c r="BG307" s="106" t="n">
        <v>0</v>
      </c>
      <c r="BH307" s="106" t="n"/>
      <c r="BI307" s="106" t="n">
        <v>7268144.64</v>
      </c>
      <c r="BJ307" s="106" t="n">
        <v>2732058.44006605</v>
      </c>
      <c r="BK307" s="114" t="n">
        <v>286925.447518385</v>
      </c>
      <c r="BL307" s="187" t="n">
        <v>947028.303778021</v>
      </c>
      <c r="BM307" s="186" t="n">
        <f aca="false" ca="true" dt2D="false" dtr="false" t="normal">SUBTOTAL(9, BN307:CB307)</f>
        <v>23317560.42832726</v>
      </c>
      <c r="BN307" s="106" t="n"/>
      <c r="BO307" s="106" t="n"/>
      <c r="BP307" s="106" t="n"/>
      <c r="BQ307" s="106" t="n"/>
      <c r="BR307" s="106" t="n"/>
      <c r="BS307" s="106" t="n"/>
      <c r="BT307" s="106" t="n"/>
      <c r="BU307" s="106" t="n"/>
      <c r="BV307" s="106" t="n">
        <v>12083403.5969648</v>
      </c>
      <c r="BW307" s="106" t="n">
        <v>0</v>
      </c>
      <c r="BX307" s="106" t="n"/>
      <c r="BY307" s="106" t="n">
        <v>7268144.64</v>
      </c>
      <c r="BZ307" s="106" t="n">
        <v>2732058.44006605</v>
      </c>
      <c r="CA307" s="114" t="n">
        <v>286925.447518385</v>
      </c>
      <c r="CB307" s="115" t="n">
        <v>947028.303778021</v>
      </c>
      <c r="CD307" s="116" t="n">
        <f aca="false" ca="false" dt2D="false" dtr="false" t="normal">+CD306+1</f>
        <v>288</v>
      </c>
      <c r="CE307" s="117" t="n">
        <f aca="false" ca="false" dt2D="false" dtr="false" t="normal">+CE306+1</f>
        <v>100</v>
      </c>
      <c r="CF307" s="104" t="s">
        <v>111</v>
      </c>
      <c r="CG307" s="117" t="s">
        <v>181</v>
      </c>
      <c r="CH307" s="188" t="n">
        <f aca="false" ca="true" dt2D="false" dtr="false" t="normal">SUBTOTAL(9, CI307:CW307)</f>
        <v>12858404.06377802</v>
      </c>
      <c r="CI307" s="114" t="n"/>
      <c r="CJ307" s="114" t="n"/>
      <c r="CK307" s="114" t="n"/>
      <c r="CL307" s="114" t="n"/>
      <c r="CM307" s="114" t="n"/>
      <c r="CN307" s="114" t="n"/>
      <c r="CO307" s="114" t="n"/>
      <c r="CP307" s="114" t="n"/>
      <c r="CQ307" s="114" t="n">
        <v>11436125.95</v>
      </c>
      <c r="CR307" s="114" t="n">
        <v>0</v>
      </c>
      <c r="CS307" s="114" t="n"/>
      <c r="CT307" s="114" t="n"/>
      <c r="CU307" s="114" t="n">
        <v>459249.81</v>
      </c>
      <c r="CV307" s="114" t="n">
        <v>16000</v>
      </c>
      <c r="CW307" s="115" t="n">
        <v>947028.303778021</v>
      </c>
      <c r="CZ307" s="117" t="s">
        <v>181</v>
      </c>
      <c r="DA307" s="189" t="n">
        <f aca="false" ca="true" dt2D="false" dtr="false" t="normal">SUBTOTAL(9, DB307:DP307)</f>
        <v>11911375.76</v>
      </c>
      <c r="DB307" s="114" t="n"/>
      <c r="DC307" s="114" t="n"/>
      <c r="DD307" s="114" t="n"/>
      <c r="DE307" s="114" t="n"/>
      <c r="DF307" s="114" t="n"/>
      <c r="DG307" s="114" t="n"/>
      <c r="DH307" s="114" t="n"/>
      <c r="DI307" s="114" t="n"/>
      <c r="DJ307" s="114" t="n">
        <v>11436125.95</v>
      </c>
      <c r="DK307" s="114" t="n">
        <v>0</v>
      </c>
      <c r="DL307" s="114" t="n"/>
      <c r="DM307" s="114" t="n"/>
      <c r="DN307" s="114" t="n">
        <v>459249.81</v>
      </c>
      <c r="DO307" s="114" t="n">
        <v>16000</v>
      </c>
      <c r="DP307" s="122" t="n"/>
      <c r="DQ307" s="3" t="n">
        <f aca="false" ca="false" dt2D="false" dtr="false" t="normal">N307-DA307</f>
        <v>0</v>
      </c>
      <c r="DS307" s="9" t="n"/>
    </row>
    <row customFormat="true" hidden="false" ht="15" outlineLevel="0" r="308" s="129">
      <c r="A308" s="183" t="n">
        <f aca="false" ca="false" dt2D="false" dtr="false" t="normal">+A307+1</f>
        <v>289</v>
      </c>
      <c r="B308" s="184" t="n">
        <f aca="false" ca="false" dt2D="false" dtr="false" t="normal">+B307+1</f>
        <v>101</v>
      </c>
      <c r="C308" s="117" t="s">
        <v>184</v>
      </c>
      <c r="D308" s="117" t="s">
        <v>385</v>
      </c>
      <c r="E308" s="105" t="s">
        <v>186</v>
      </c>
      <c r="F308" s="105" t="n"/>
      <c r="G308" s="105" t="s">
        <v>68</v>
      </c>
      <c r="H308" s="105" t="s">
        <v>187</v>
      </c>
      <c r="I308" s="105" t="s">
        <v>187</v>
      </c>
      <c r="J308" s="106" t="n">
        <v>3950.89</v>
      </c>
      <c r="K308" s="106" t="n">
        <v>3454.6</v>
      </c>
      <c r="L308" s="106" t="n">
        <v>0</v>
      </c>
      <c r="M308" s="107" t="n">
        <v>153</v>
      </c>
      <c r="N308" s="108" t="n">
        <f aca="false" ca="false" dt2D="false" dtr="false" t="normal">SUM(P308:T308)</f>
        <v>33900034.11</v>
      </c>
      <c r="O308" s="114" t="n">
        <v>0</v>
      </c>
      <c r="P308" s="114" t="n">
        <v>25340403.56</v>
      </c>
      <c r="Q308" s="114" t="n">
        <v>0</v>
      </c>
      <c r="R308" s="114" t="n">
        <v>2414088.95</v>
      </c>
      <c r="S308" s="114" t="n">
        <v>6145541.6</v>
      </c>
      <c r="T308" s="114" t="n"/>
      <c r="U308" s="114" t="n">
        <v>17703.248516676</v>
      </c>
      <c r="V308" s="114" t="n">
        <v>1327.283020064</v>
      </c>
      <c r="W308" s="185" t="n">
        <v>2023</v>
      </c>
      <c r="X308" s="129" t="n">
        <v>1263644.15</v>
      </c>
      <c r="Y308" s="129" t="n">
        <f aca="false" ca="false" dt2D="false" dtr="false" t="normal">+(K308*9.1+L308*18.19)*12</f>
        <v>377242.31999999995</v>
      </c>
      <c r="AA308" s="130" t="e">
        <f aca="false" ca="false" dt2D="false" dtr="false" t="normal">+N308-'[8]Приложение № 2'!E308</f>
        <v>#REF!</v>
      </c>
      <c r="AD308" s="130" t="e">
        <f aca="false" ca="false" dt2D="false" dtr="false" t="normal">+N308-'[8]Приложение № 2'!E308</f>
        <v>#REF!</v>
      </c>
      <c r="AP308" s="112" t="n">
        <f aca="false" ca="false" dt2D="false" dtr="false" t="normal">+N308-'Приложение №2'!E308</f>
        <v>0</v>
      </c>
      <c r="AQ308" s="121" t="n">
        <v>2044101.29</v>
      </c>
      <c r="AR308" s="3" t="n">
        <f aca="false" ca="false" dt2D="false" dtr="false" t="normal">+(K308*10.5+L308*21)*12*0.85</f>
        <v>369987.66</v>
      </c>
      <c r="AS308" s="3" t="n">
        <f aca="false" ca="false" dt2D="false" dtr="false" t="normal">+(K308*10.5+L308*21)*12*30</f>
        <v>13058388</v>
      </c>
      <c r="AT308" s="9" t="n">
        <f aca="false" ca="false" dt2D="false" dtr="false" t="normal">+S308-AS308</f>
        <v>-6912846.4</v>
      </c>
      <c r="AU308" s="9" t="e">
        <f aca="false" ca="false" dt2D="false" dtr="false" t="normal">+P308-'[5]Приложение №1'!$P343</f>
        <v>#REF!</v>
      </c>
      <c r="AV308" s="9" t="e">
        <f aca="false" ca="false" dt2D="false" dtr="false" t="normal">+Q308-'[5]Приложение №1'!$Q343</f>
        <v>#REF!</v>
      </c>
      <c r="AW308" s="186" t="n">
        <f aca="false" ca="true" dt2D="false" dtr="false" t="normal">SUBTOTAL(9, AX308:BL308)</f>
        <v>61157642.32570885</v>
      </c>
      <c r="AX308" s="106" t="n"/>
      <c r="AY308" s="106" t="n"/>
      <c r="AZ308" s="106" t="n"/>
      <c r="BA308" s="106" t="n"/>
      <c r="BB308" s="106" t="n"/>
      <c r="BC308" s="106" t="n"/>
      <c r="BD308" s="106" t="n"/>
      <c r="BE308" s="106" t="n">
        <v>0</v>
      </c>
      <c r="BF308" s="106" t="n">
        <v>19539237.221928</v>
      </c>
      <c r="BG308" s="106" t="n">
        <v>0</v>
      </c>
      <c r="BH308" s="106" t="n">
        <v>26121995.7416145</v>
      </c>
      <c r="BI308" s="106" t="n">
        <v>11011049.1693283</v>
      </c>
      <c r="BJ308" s="106" t="n">
        <v>2004018.85045511</v>
      </c>
      <c r="BK308" s="114" t="n">
        <v>809410.423197164</v>
      </c>
      <c r="BL308" s="187" t="n">
        <v>1671930.91918577</v>
      </c>
      <c r="BM308" s="186" t="n">
        <f aca="false" ca="true" dt2D="false" dtr="false" t="normal">SUBTOTAL(9, BN308:CB308)</f>
        <v>48848710.36216635</v>
      </c>
      <c r="BN308" s="106" t="n"/>
      <c r="BO308" s="106" t="n"/>
      <c r="BP308" s="106" t="n"/>
      <c r="BQ308" s="106" t="n"/>
      <c r="BR308" s="106" t="n"/>
      <c r="BS308" s="106" t="n"/>
      <c r="BT308" s="106" t="n"/>
      <c r="BU308" s="106" t="n">
        <v>0</v>
      </c>
      <c r="BV308" s="106" t="n">
        <v>12001166</v>
      </c>
      <c r="BW308" s="106" t="n">
        <v>0</v>
      </c>
      <c r="BX308" s="106" t="n">
        <v>21351135</v>
      </c>
      <c r="BY308" s="106" t="n">
        <v>11011049.1693283</v>
      </c>
      <c r="BZ308" s="106" t="n">
        <v>2004018.85045511</v>
      </c>
      <c r="CA308" s="114" t="n">
        <v>809410.423197164</v>
      </c>
      <c r="CB308" s="115" t="n">
        <v>1671930.91918577</v>
      </c>
      <c r="CD308" s="116" t="n">
        <f aca="false" ca="false" dt2D="false" dtr="false" t="normal">+CD307+1</f>
        <v>289</v>
      </c>
      <c r="CE308" s="117" t="n">
        <f aca="false" ca="false" dt2D="false" dtr="false" t="normal">+CE307+1</f>
        <v>101</v>
      </c>
      <c r="CF308" s="104" t="s">
        <v>111</v>
      </c>
      <c r="CG308" s="117" t="s">
        <v>385</v>
      </c>
      <c r="CH308" s="188" t="n">
        <f aca="false" ca="true" dt2D="false" dtr="false" t="normal">SUBTOTAL(9, CI308:CW308)</f>
        <v>35571965.02918577</v>
      </c>
      <c r="CI308" s="114" t="n"/>
      <c r="CJ308" s="114" t="n"/>
      <c r="CK308" s="114" t="n"/>
      <c r="CL308" s="114" t="n"/>
      <c r="CM308" s="114" t="n"/>
      <c r="CN308" s="114" t="n"/>
      <c r="CO308" s="114" t="n"/>
      <c r="CP308" s="114" t="n">
        <v>0</v>
      </c>
      <c r="CQ308" s="114" t="n">
        <v>12001166</v>
      </c>
      <c r="CR308" s="114" t="n">
        <v>0</v>
      </c>
      <c r="CS308" s="114" t="n">
        <v>21351135</v>
      </c>
      <c r="CT308" s="114" t="n"/>
      <c r="CU308" s="114" t="n">
        <v>544304.54</v>
      </c>
      <c r="CV308" s="114" t="n">
        <v>3428.57</v>
      </c>
      <c r="CW308" s="115" t="n">
        <v>1671930.91918577</v>
      </c>
      <c r="CZ308" s="117" t="s">
        <v>385</v>
      </c>
      <c r="DA308" s="189" t="n">
        <f aca="false" ca="true" dt2D="false" dtr="false" t="normal">SUBTOTAL(9, DB308:DP308)</f>
        <v>33900034.11</v>
      </c>
      <c r="DB308" s="114" t="n"/>
      <c r="DC308" s="114" t="n"/>
      <c r="DD308" s="114" t="n"/>
      <c r="DE308" s="114" t="n"/>
      <c r="DF308" s="114" t="n"/>
      <c r="DG308" s="114" t="n"/>
      <c r="DH308" s="114" t="n"/>
      <c r="DI308" s="114" t="n">
        <v>0</v>
      </c>
      <c r="DJ308" s="114" t="n">
        <v>12001166</v>
      </c>
      <c r="DK308" s="114" t="n">
        <v>0</v>
      </c>
      <c r="DL308" s="114" t="n">
        <v>21351135</v>
      </c>
      <c r="DM308" s="114" t="n"/>
      <c r="DN308" s="114" t="n">
        <v>544304.54</v>
      </c>
      <c r="DO308" s="114" t="n">
        <v>3428.57</v>
      </c>
      <c r="DP308" s="122" t="n"/>
      <c r="DQ308" s="3" t="n">
        <f aca="false" ca="false" dt2D="false" dtr="false" t="normal">N308-DA308</f>
        <v>0</v>
      </c>
      <c r="DS308" s="9" t="n"/>
    </row>
    <row hidden="false" ht="15" outlineLevel="0" r="309">
      <c r="A309" s="183" t="n">
        <f aca="false" ca="false" dt2D="false" dtr="false" t="normal">+A308+1</f>
        <v>290</v>
      </c>
      <c r="B309" s="184" t="n">
        <f aca="false" ca="false" dt2D="false" dtr="false" t="normal">+B308+1</f>
        <v>102</v>
      </c>
      <c r="C309" s="104" t="s">
        <v>111</v>
      </c>
      <c r="D309" s="104" t="s">
        <v>183</v>
      </c>
      <c r="E309" s="105" t="n">
        <v>1995</v>
      </c>
      <c r="F309" s="105" t="n">
        <v>2013</v>
      </c>
      <c r="G309" s="105" t="s">
        <v>68</v>
      </c>
      <c r="H309" s="105" t="n">
        <v>5</v>
      </c>
      <c r="I309" s="105" t="n">
        <v>2</v>
      </c>
      <c r="J309" s="106" t="n">
        <v>2325.7</v>
      </c>
      <c r="K309" s="106" t="n">
        <v>1861.6</v>
      </c>
      <c r="L309" s="106" t="n">
        <v>0</v>
      </c>
      <c r="M309" s="107" t="n">
        <v>45</v>
      </c>
      <c r="N309" s="108" t="n">
        <f aca="false" ca="false" dt2D="false" dtr="false" t="normal">SUM(P309:T309)</f>
        <v>786855.4100000001</v>
      </c>
      <c r="O309" s="106" t="n"/>
      <c r="P309" s="114" t="n"/>
      <c r="Q309" s="114" t="n"/>
      <c r="R309" s="114" t="n">
        <v>754929.79</v>
      </c>
      <c r="S309" s="114" t="n">
        <v>31925.6200000001</v>
      </c>
      <c r="T309" s="114" t="n"/>
      <c r="U309" s="106" t="n">
        <v>764.176261660851</v>
      </c>
      <c r="V309" s="106" t="n">
        <v>764.176261660851</v>
      </c>
      <c r="W309" s="185" t="n">
        <v>2023</v>
      </c>
      <c r="X309" s="9" t="e">
        <f aca="false" ca="false" dt2D="false" dtr="false" t="normal">+#REF!-'[9]Приложение №1'!$P1294</f>
        <v>#REF!</v>
      </c>
      <c r="Z309" s="113" t="n">
        <f aca="false" ca="false" dt2D="false" dtr="false" t="normal">SUM(AA309:AO309)</f>
        <v>24619973.59</v>
      </c>
      <c r="AA309" s="106" t="n">
        <v>4453931.47703322</v>
      </c>
      <c r="AB309" s="106" t="n">
        <v>1587118.89355698</v>
      </c>
      <c r="AC309" s="106" t="n">
        <v>1658186.10096636</v>
      </c>
      <c r="AD309" s="106" t="n">
        <v>1038129.34401372</v>
      </c>
      <c r="AE309" s="106" t="n">
        <v>0</v>
      </c>
      <c r="AF309" s="106" t="n"/>
      <c r="AG309" s="106" t="n">
        <v>170909.54989416</v>
      </c>
      <c r="AH309" s="106" t="n">
        <v>0</v>
      </c>
      <c r="AI309" s="106" t="n">
        <v>8142464.419425</v>
      </c>
      <c r="AJ309" s="106" t="n">
        <v>0</v>
      </c>
      <c r="AK309" s="106" t="n">
        <v>0</v>
      </c>
      <c r="AL309" s="106" t="n">
        <v>4559967.08465298</v>
      </c>
      <c r="AM309" s="106" t="n">
        <v>2290484.5944</v>
      </c>
      <c r="AN309" s="114" t="n">
        <v>246199.7359</v>
      </c>
      <c r="AO309" s="115" t="n">
        <v>472582.39015758</v>
      </c>
      <c r="AP309" s="112" t="n">
        <f aca="false" ca="false" dt2D="false" dtr="false" t="normal">+N309-'Приложение №2'!E309</f>
        <v>0</v>
      </c>
      <c r="AQ309" s="1" t="n">
        <v>717879.06</v>
      </c>
      <c r="AR309" s="3" t="n">
        <f aca="false" ca="false" dt2D="false" dtr="false" t="normal">+(K309*10+L309*20)*12*0.85</f>
        <v>189883.19999999998</v>
      </c>
      <c r="AS309" s="3" t="n">
        <f aca="false" ca="false" dt2D="false" dtr="false" t="normal">+(K309*10+L309*20)*12*30</f>
        <v>6701760</v>
      </c>
      <c r="AT309" s="9" t="n">
        <f aca="false" ca="false" dt2D="false" dtr="false" t="normal">+S309-AS309</f>
        <v>-6669834.38</v>
      </c>
      <c r="AU309" s="9" t="e">
        <f aca="false" ca="false" dt2D="false" dtr="false" t="normal">+P309-'[5]Приложение №1'!$P323</f>
        <v>#REF!</v>
      </c>
      <c r="AV309" s="9" t="e">
        <f aca="false" ca="false" dt2D="false" dtr="false" t="normal">+Q309-'[5]Приложение №1'!$Q323</f>
        <v>#REF!</v>
      </c>
      <c r="AW309" s="113" t="n">
        <f aca="false" ca="true" dt2D="false" dtr="false" t="normal">SUBTOTAL(9, AX309:BL309)</f>
        <v>1422590.52870784</v>
      </c>
      <c r="AX309" s="106" t="n"/>
      <c r="AY309" s="106" t="n"/>
      <c r="AZ309" s="106" t="n"/>
      <c r="BA309" s="106" t="n">
        <v>754929.79</v>
      </c>
      <c r="BB309" s="106" t="n">
        <v>0</v>
      </c>
      <c r="BC309" s="106" t="n"/>
      <c r="BD309" s="106" t="n"/>
      <c r="BE309" s="106" t="n">
        <v>0</v>
      </c>
      <c r="BF309" s="106" t="n"/>
      <c r="BG309" s="106" t="n">
        <v>0</v>
      </c>
      <c r="BH309" s="106" t="n">
        <v>0</v>
      </c>
      <c r="BI309" s="106" t="n"/>
      <c r="BJ309" s="106" t="n">
        <v>160007.0122</v>
      </c>
      <c r="BK309" s="114" t="n">
        <v>24000</v>
      </c>
      <c r="BL309" s="187" t="n">
        <v>483653.72650784</v>
      </c>
      <c r="BM309" s="113" t="n">
        <f aca="false" ca="true" dt2D="false" dtr="false" t="normal">SUBTOTAL(9, BN309:CB309)</f>
        <v>1422590.52870784</v>
      </c>
      <c r="BN309" s="106" t="n"/>
      <c r="BO309" s="106" t="n"/>
      <c r="BP309" s="106" t="n"/>
      <c r="BQ309" s="106" t="n">
        <v>754929.79</v>
      </c>
      <c r="BR309" s="106" t="n">
        <v>0</v>
      </c>
      <c r="BS309" s="106" t="n"/>
      <c r="BT309" s="106" t="n"/>
      <c r="BU309" s="106" t="n">
        <v>0</v>
      </c>
      <c r="BV309" s="106" t="n"/>
      <c r="BW309" s="106" t="n">
        <v>0</v>
      </c>
      <c r="BX309" s="106" t="n">
        <v>0</v>
      </c>
      <c r="BY309" s="106" t="n"/>
      <c r="BZ309" s="106" t="n">
        <v>160007.0122</v>
      </c>
      <c r="CA309" s="114" t="n">
        <v>24000</v>
      </c>
      <c r="CB309" s="115" t="n">
        <v>483653.72650784</v>
      </c>
      <c r="CD309" s="116" t="n">
        <f aca="false" ca="false" dt2D="false" dtr="false" t="normal">+CD308+1</f>
        <v>290</v>
      </c>
      <c r="CE309" s="117" t="n">
        <f aca="false" ca="false" dt2D="false" dtr="false" t="normal">+CE308+1</f>
        <v>102</v>
      </c>
      <c r="CF309" s="104" t="s">
        <v>111</v>
      </c>
      <c r="CG309" s="117" t="s">
        <v>183</v>
      </c>
      <c r="CH309" s="118" t="n">
        <f aca="false" ca="true" dt2D="false" dtr="false" t="normal">SUBTOTAL(9, CI309:CW309)</f>
        <v>1270509.13650784</v>
      </c>
      <c r="CI309" s="114" t="n"/>
      <c r="CJ309" s="114" t="n"/>
      <c r="CK309" s="114" t="n"/>
      <c r="CL309" s="114" t="n">
        <v>754929.79</v>
      </c>
      <c r="CM309" s="114" t="n">
        <v>0</v>
      </c>
      <c r="CN309" s="114" t="n"/>
      <c r="CO309" s="114" t="n"/>
      <c r="CP309" s="114" t="n">
        <v>0</v>
      </c>
      <c r="CQ309" s="114" t="n"/>
      <c r="CR309" s="114" t="n">
        <v>0</v>
      </c>
      <c r="CS309" s="114" t="n">
        <v>0</v>
      </c>
      <c r="CT309" s="114" t="n"/>
      <c r="CU309" s="114" t="n">
        <v>27925.62</v>
      </c>
      <c r="CV309" s="114" t="n">
        <v>4000</v>
      </c>
      <c r="CW309" s="115" t="n">
        <v>483653.72650784</v>
      </c>
      <c r="CZ309" s="117" t="s">
        <v>183</v>
      </c>
      <c r="DA309" s="119" t="n">
        <f aca="false" ca="true" dt2D="false" dtr="false" t="normal">SUBTOTAL(9, DB309:DP309)</f>
        <v>786855.41</v>
      </c>
      <c r="DB309" s="114" t="n"/>
      <c r="DC309" s="114" t="n"/>
      <c r="DD309" s="114" t="n"/>
      <c r="DE309" s="114" t="n">
        <v>754929.79</v>
      </c>
      <c r="DF309" s="114" t="n">
        <v>0</v>
      </c>
      <c r="DG309" s="114" t="n"/>
      <c r="DH309" s="114" t="n"/>
      <c r="DI309" s="114" t="n">
        <v>0</v>
      </c>
      <c r="DJ309" s="114" t="n"/>
      <c r="DK309" s="114" t="n">
        <v>0</v>
      </c>
      <c r="DL309" s="114" t="n">
        <v>0</v>
      </c>
      <c r="DM309" s="114" t="n"/>
      <c r="DN309" s="114" t="n">
        <v>27925.62</v>
      </c>
      <c r="DO309" s="114" t="n">
        <v>4000</v>
      </c>
      <c r="DP309" s="122" t="n"/>
      <c r="DQ309" s="3" t="n">
        <f aca="false" ca="false" dt2D="false" dtr="false" t="normal">N309-DA309</f>
        <v>0</v>
      </c>
      <c r="DS309" s="9" t="n"/>
    </row>
    <row hidden="false" ht="15" outlineLevel="0" r="310">
      <c r="A310" s="183" t="n">
        <f aca="false" ca="false" dt2D="false" dtr="false" t="normal">+A309+1</f>
        <v>291</v>
      </c>
      <c r="B310" s="184" t="n">
        <f aca="false" ca="false" dt2D="false" dtr="false" t="normal">+B309+1</f>
        <v>103</v>
      </c>
      <c r="C310" s="104" t="s">
        <v>111</v>
      </c>
      <c r="D310" s="104" t="s">
        <v>386</v>
      </c>
      <c r="E310" s="105" t="n">
        <v>1968</v>
      </c>
      <c r="F310" s="105" t="n">
        <v>2013</v>
      </c>
      <c r="G310" s="105" t="s">
        <v>68</v>
      </c>
      <c r="H310" s="105" t="n">
        <v>5</v>
      </c>
      <c r="I310" s="105" t="n">
        <v>5</v>
      </c>
      <c r="J310" s="106" t="n">
        <v>3261.1</v>
      </c>
      <c r="K310" s="106" t="n">
        <v>2512.5</v>
      </c>
      <c r="L310" s="106" t="n">
        <v>664.8</v>
      </c>
      <c r="M310" s="107" t="n">
        <v>128</v>
      </c>
      <c r="N310" s="108" t="n">
        <f aca="false" ca="false" dt2D="false" dtr="false" t="normal">SUM(P310:T310)</f>
        <v>982262</v>
      </c>
      <c r="O310" s="106" t="n"/>
      <c r="P310" s="114" t="n"/>
      <c r="Q310" s="114" t="n"/>
      <c r="R310" s="114" t="n"/>
      <c r="S310" s="114" t="n">
        <v>982262</v>
      </c>
      <c r="T310" s="114" t="n"/>
      <c r="U310" s="106" t="n">
        <v>1016.77576941163</v>
      </c>
      <c r="V310" s="106" t="n">
        <v>1016.77576941163</v>
      </c>
      <c r="W310" s="185" t="n">
        <v>2023</v>
      </c>
      <c r="X310" s="9" t="e">
        <f aca="false" ca="false" dt2D="false" dtr="false" t="normal">+#REF!-'[9]Приложение №1'!$P430</f>
        <v>#REF!</v>
      </c>
      <c r="Z310" s="113" t="n">
        <f aca="false" ca="false" dt2D="false" dtr="false" t="normal">SUM(AA310:AO310)</f>
        <v>30275329.63643748</v>
      </c>
      <c r="AA310" s="106" t="n">
        <v>6028027.96854804</v>
      </c>
      <c r="AB310" s="106" t="n">
        <v>0</v>
      </c>
      <c r="AC310" s="106" t="n">
        <v>2244217.77712356</v>
      </c>
      <c r="AD310" s="106" t="n">
        <v>0</v>
      </c>
      <c r="AE310" s="106" t="n">
        <v>1240916.79</v>
      </c>
      <c r="AF310" s="106" t="n"/>
      <c r="AG310" s="106" t="n">
        <v>0</v>
      </c>
      <c r="AH310" s="106" t="n">
        <v>0</v>
      </c>
      <c r="AI310" s="106" t="n">
        <v>11020152.3193566</v>
      </c>
      <c r="AJ310" s="106" t="n">
        <v>0</v>
      </c>
      <c r="AK310" s="106" t="n">
        <v>5721714.1000614</v>
      </c>
      <c r="AL310" s="106" t="n">
        <v>0</v>
      </c>
      <c r="AM310" s="106" t="n">
        <v>3056047.9633</v>
      </c>
      <c r="AN310" s="114" t="n">
        <v>328671.8125</v>
      </c>
      <c r="AO310" s="115" t="n">
        <v>635580.90554788</v>
      </c>
      <c r="AP310" s="112" t="n">
        <f aca="false" ca="false" dt2D="false" dtr="false" t="normal">+N310-'Приложение №2'!E310</f>
        <v>0</v>
      </c>
      <c r="AQ310" s="1" t="n">
        <v>1018647.82</v>
      </c>
      <c r="AR310" s="3" t="n">
        <f aca="false" ca="false" dt2D="false" dtr="false" t="normal">+(K310*10+L310*20)*12*0.85</f>
        <v>391894.2</v>
      </c>
      <c r="AS310" s="3" t="n">
        <f aca="false" ca="false" dt2D="false" dtr="false" t="normal">+(K310*10+L310*20)*12*30</f>
        <v>13831560</v>
      </c>
      <c r="AT310" s="9" t="n">
        <f aca="false" ca="false" dt2D="false" dtr="false" t="normal">+S310-AS310</f>
        <v>-12849298</v>
      </c>
      <c r="AU310" s="9" t="e">
        <f aca="false" ca="false" dt2D="false" dtr="false" t="normal">+P310-'[5]Приложение №1'!$P325</f>
        <v>#REF!</v>
      </c>
      <c r="AV310" s="9" t="e">
        <f aca="false" ca="false" dt2D="false" dtr="false" t="normal">+Q310-'[5]Приложение №1'!$Q325</f>
        <v>#REF!</v>
      </c>
      <c r="AW310" s="113" t="n">
        <f aca="false" ca="true" dt2D="false" dtr="false" t="normal">SUBTOTAL(9, AX310:BL310)</f>
        <v>3230601.6521515604</v>
      </c>
      <c r="AX310" s="106" t="n"/>
      <c r="AY310" s="106" t="n"/>
      <c r="AZ310" s="106" t="n">
        <v>2244217.77712356</v>
      </c>
      <c r="BA310" s="106" t="n"/>
      <c r="BB310" s="106" t="n">
        <v>982262</v>
      </c>
      <c r="BC310" s="106" t="n"/>
      <c r="BD310" s="106" t="n"/>
      <c r="BE310" s="106" t="n"/>
      <c r="BF310" s="106" t="n"/>
      <c r="BG310" s="106" t="n"/>
      <c r="BH310" s="106" t="n"/>
      <c r="BI310" s="106" t="n">
        <v>0</v>
      </c>
      <c r="BJ310" s="106" t="n"/>
      <c r="BK310" s="114" t="n"/>
      <c r="BL310" s="187" t="n">
        <v>4121.875028</v>
      </c>
      <c r="BM310" s="113" t="n">
        <f aca="false" ca="true" dt2D="false" dtr="false" t="normal">SUBTOTAL(9, BN310:CB310)</f>
        <v>3230601.6521515604</v>
      </c>
      <c r="BN310" s="106" t="n"/>
      <c r="BO310" s="106" t="n"/>
      <c r="BP310" s="106" t="n">
        <v>2244217.77712356</v>
      </c>
      <c r="BQ310" s="106" t="n"/>
      <c r="BR310" s="106" t="n">
        <v>982262</v>
      </c>
      <c r="BS310" s="106" t="n"/>
      <c r="BT310" s="106" t="n"/>
      <c r="BU310" s="106" t="n"/>
      <c r="BV310" s="106" t="n"/>
      <c r="BW310" s="106" t="n"/>
      <c r="BX310" s="106" t="n"/>
      <c r="BY310" s="106" t="n">
        <v>0</v>
      </c>
      <c r="BZ310" s="106" t="n"/>
      <c r="CA310" s="114" t="n"/>
      <c r="CB310" s="115" t="n">
        <v>4121.875028</v>
      </c>
      <c r="CD310" s="116" t="n">
        <f aca="false" ca="false" dt2D="false" dtr="false" t="normal">+CD309+1</f>
        <v>291</v>
      </c>
      <c r="CE310" s="117" t="n">
        <f aca="false" ca="false" dt2D="false" dtr="false" t="normal">+CE309+1</f>
        <v>103</v>
      </c>
      <c r="CF310" s="104" t="s">
        <v>111</v>
      </c>
      <c r="CG310" s="117" t="s">
        <v>386</v>
      </c>
      <c r="CH310" s="118" t="n">
        <f aca="false" ca="true" dt2D="false" dtr="false" t="normal">SUBTOTAL(9, CI310:CW310)</f>
        <v>986383.875028</v>
      </c>
      <c r="CI310" s="114" t="n"/>
      <c r="CJ310" s="114" t="n"/>
      <c r="CK310" s="114" t="n"/>
      <c r="CL310" s="114" t="n"/>
      <c r="CM310" s="114" t="n">
        <v>982262</v>
      </c>
      <c r="CN310" s="114" t="n"/>
      <c r="CO310" s="114" t="n"/>
      <c r="CP310" s="114" t="n"/>
      <c r="CQ310" s="114" t="n"/>
      <c r="CR310" s="114" t="n"/>
      <c r="CS310" s="114" t="n"/>
      <c r="CT310" s="114" t="n">
        <v>0</v>
      </c>
      <c r="CU310" s="114" t="n"/>
      <c r="CV310" s="114" t="n"/>
      <c r="CW310" s="115" t="n">
        <v>4121.875028</v>
      </c>
      <c r="CZ310" s="117" t="s">
        <v>386</v>
      </c>
      <c r="DA310" s="119" t="n">
        <f aca="false" ca="true" dt2D="false" dtr="false" t="normal">SUBTOTAL(9, DB310:DP310)</f>
        <v>982262</v>
      </c>
      <c r="DB310" s="114" t="n"/>
      <c r="DC310" s="114" t="n"/>
      <c r="DD310" s="114" t="n"/>
      <c r="DE310" s="114" t="n"/>
      <c r="DF310" s="114" t="n">
        <v>982262</v>
      </c>
      <c r="DG310" s="114" t="n"/>
      <c r="DH310" s="114" t="n"/>
      <c r="DI310" s="114" t="n"/>
      <c r="DJ310" s="114" t="n"/>
      <c r="DK310" s="114" t="n"/>
      <c r="DL310" s="114" t="n"/>
      <c r="DM310" s="114" t="n">
        <v>0</v>
      </c>
      <c r="DN310" s="114" t="n"/>
      <c r="DO310" s="114" t="n"/>
      <c r="DP310" s="122" t="n"/>
      <c r="DQ310" s="3" t="n">
        <f aca="false" ca="false" dt2D="false" dtr="false" t="normal">N310-DA310</f>
        <v>0</v>
      </c>
      <c r="DS310" s="9" t="n"/>
    </row>
    <row customFormat="true" hidden="false" ht="15" outlineLevel="0" r="311" s="129">
      <c r="A311" s="183" t="n">
        <f aca="false" ca="false" dt2D="false" dtr="false" t="normal">+A310+1</f>
        <v>292</v>
      </c>
      <c r="B311" s="184" t="n">
        <f aca="false" ca="false" dt2D="false" dtr="false" t="normal">+B310+1</f>
        <v>104</v>
      </c>
      <c r="C311" s="117" t="s">
        <v>111</v>
      </c>
      <c r="D311" s="117" t="s">
        <v>190</v>
      </c>
      <c r="E311" s="105" t="s">
        <v>384</v>
      </c>
      <c r="F311" s="105" t="n"/>
      <c r="G311" s="105" t="s">
        <v>68</v>
      </c>
      <c r="H311" s="105" t="s">
        <v>187</v>
      </c>
      <c r="I311" s="105" t="s">
        <v>188</v>
      </c>
      <c r="J311" s="106" t="n">
        <v>5678.2</v>
      </c>
      <c r="K311" s="106" t="n">
        <v>4923.8</v>
      </c>
      <c r="L311" s="106" t="n">
        <v>69.9</v>
      </c>
      <c r="M311" s="107" t="n">
        <v>205</v>
      </c>
      <c r="N311" s="108" t="n">
        <f aca="false" ca="false" dt2D="false" dtr="false" t="normal">SUM(P311:T311)</f>
        <v>37756385.57</v>
      </c>
      <c r="O311" s="114" t="n">
        <v>0</v>
      </c>
      <c r="P311" s="114" t="n">
        <v>14385532.07</v>
      </c>
      <c r="Q311" s="114" t="n">
        <v>0</v>
      </c>
      <c r="R311" s="114" t="n">
        <v>1148817.27</v>
      </c>
      <c r="S311" s="114" t="n">
        <v>12054694.5414431</v>
      </c>
      <c r="T311" s="114" t="n">
        <v>10167341.6885569</v>
      </c>
      <c r="U311" s="106" t="n">
        <v>13256.8451441321</v>
      </c>
      <c r="V311" s="106" t="n">
        <v>13256.8451441321</v>
      </c>
      <c r="W311" s="185" t="n">
        <v>2023</v>
      </c>
      <c r="X311" s="129" t="n">
        <v>1831927.01</v>
      </c>
      <c r="Y311" s="129" t="n">
        <f aca="false" ca="false" dt2D="false" dtr="false" t="normal">+(K311*9.1+L311*18.19)*12</f>
        <v>552936.7320000001</v>
      </c>
      <c r="AA311" s="130" t="e">
        <f aca="false" ca="false" dt2D="false" dtr="false" t="normal">+N311-'[8]Приложение № 2'!E307</f>
        <v>#REF!</v>
      </c>
      <c r="AD311" s="130" t="e">
        <f aca="false" ca="false" dt2D="false" dtr="false" t="normal">+N311-'[8]Приложение № 2'!E307</f>
        <v>#REF!</v>
      </c>
      <c r="AP311" s="112" t="n">
        <f aca="false" ca="false" dt2D="false" dtr="false" t="normal">+N311-'Приложение №2'!E311</f>
        <v>0</v>
      </c>
      <c r="AQ311" s="129" t="n">
        <v>2280888.52</v>
      </c>
      <c r="AR311" s="3" t="n">
        <f aca="false" ca="false" dt2D="false" dtr="false" t="normal">+(K311*10+L311*20)*12*0.85</f>
        <v>516487.2</v>
      </c>
      <c r="AS311" s="3" t="n">
        <f aca="false" ca="false" dt2D="false" dtr="false" t="normal">+(K311*10+L311*20)*12*30</f>
        <v>18228960</v>
      </c>
      <c r="AT311" s="9" t="n">
        <f aca="false" ca="false" dt2D="false" dtr="false" t="normal">+S311-AS311</f>
        <v>-6174265.4585569</v>
      </c>
      <c r="AU311" s="9" t="e">
        <f aca="false" ca="false" dt2D="false" dtr="false" t="normal">+P311-'[5]Приложение №1'!$P327</f>
        <v>#REF!</v>
      </c>
      <c r="AV311" s="9" t="e">
        <f aca="false" ca="false" dt2D="false" dtr="false" t="normal">+Q311-'[5]Приложение №1'!$Q327</f>
        <v>#REF!</v>
      </c>
      <c r="AW311" s="113" t="n">
        <f aca="false" ca="true" dt2D="false" dtr="false" t="normal">SUBTOTAL(9, AX311:BL311)</f>
        <v>66200707.596252516</v>
      </c>
      <c r="AX311" s="106" t="n">
        <v>8835258.72686688</v>
      </c>
      <c r="AY311" s="106" t="n"/>
      <c r="AZ311" s="106" t="n">
        <v>5569271.41274831</v>
      </c>
      <c r="BA311" s="106" t="n">
        <v>4295867.3561627</v>
      </c>
      <c r="BB311" s="106" t="n"/>
      <c r="BC311" s="106" t="n"/>
      <c r="BD311" s="106" t="n">
        <v>418101.461631428</v>
      </c>
      <c r="BE311" s="106" t="n"/>
      <c r="BF311" s="106" t="n"/>
      <c r="BG311" s="106" t="n"/>
      <c r="BH311" s="106" t="n">
        <v>31664608.5631778</v>
      </c>
      <c r="BI311" s="106" t="n">
        <v>12348392.0298228</v>
      </c>
      <c r="BJ311" s="106" t="n">
        <v>1482907.85589866</v>
      </c>
      <c r="BK311" s="106" t="n">
        <v>48725.6185008</v>
      </c>
      <c r="BL311" s="138" t="n">
        <v>1537574.57144314</v>
      </c>
      <c r="BM311" s="113" t="n">
        <f aca="false" ca="true" dt2D="false" dtr="false" t="normal">SUBTOTAL(9, BN311:CB311)</f>
        <v>59551856.54642972</v>
      </c>
      <c r="BN311" s="106" t="n">
        <v>8835258.72686688</v>
      </c>
      <c r="BO311" s="106" t="n"/>
      <c r="BP311" s="106" t="n">
        <v>5569271.41274831</v>
      </c>
      <c r="BQ311" s="106" t="n">
        <v>4295867.3561627</v>
      </c>
      <c r="BR311" s="106" t="n"/>
      <c r="BS311" s="106" t="n"/>
      <c r="BT311" s="106" t="n">
        <v>418101.461631428</v>
      </c>
      <c r="BU311" s="106" t="n"/>
      <c r="BV311" s="106" t="n"/>
      <c r="BW311" s="106" t="n"/>
      <c r="BX311" s="106" t="n">
        <v>31664608.5631778</v>
      </c>
      <c r="BY311" s="106" t="n">
        <v>5699540.98</v>
      </c>
      <c r="BZ311" s="106" t="n">
        <v>1482907.85589866</v>
      </c>
      <c r="CA311" s="106" t="n">
        <v>48725.6185008</v>
      </c>
      <c r="CB311" s="111" t="n">
        <v>1537574.57144314</v>
      </c>
      <c r="CD311" s="116" t="n">
        <f aca="false" ca="false" dt2D="false" dtr="false" t="normal">+CD310+1</f>
        <v>292</v>
      </c>
      <c r="CE311" s="117" t="n">
        <f aca="false" ca="false" dt2D="false" dtr="false" t="normal">+CE310+1</f>
        <v>104</v>
      </c>
      <c r="CF311" s="104" t="s">
        <v>111</v>
      </c>
      <c r="CG311" s="117" t="s">
        <v>190</v>
      </c>
      <c r="CH311" s="118" t="n">
        <f aca="false" ca="true" dt2D="false" dtr="false" t="normal">SUBTOTAL(9, CI311:CW311)</f>
        <v>39293960.14144314</v>
      </c>
      <c r="CI311" s="114" t="n"/>
      <c r="CJ311" s="114" t="n"/>
      <c r="CK311" s="114" t="n"/>
      <c r="CL311" s="114" t="n"/>
      <c r="CM311" s="114" t="n"/>
      <c r="CN311" s="114" t="n"/>
      <c r="CO311" s="114" t="n"/>
      <c r="CP311" s="114" t="n"/>
      <c r="CQ311" s="114" t="n"/>
      <c r="CR311" s="114" t="n"/>
      <c r="CS311" s="114" t="n">
        <v>31442611.48</v>
      </c>
      <c r="CT311" s="114" t="n">
        <v>5699540.98</v>
      </c>
      <c r="CU311" s="114" t="n">
        <v>607375.97</v>
      </c>
      <c r="CV311" s="114" t="n">
        <v>6857.14</v>
      </c>
      <c r="CW311" s="115" t="n">
        <v>1537574.57144314</v>
      </c>
      <c r="CZ311" s="117" t="s">
        <v>190</v>
      </c>
      <c r="DA311" s="119" t="n">
        <f aca="false" ca="true" dt2D="false" dtr="false" t="normal">SUBTOTAL(9, DB311:DP311)</f>
        <v>37756385.57</v>
      </c>
      <c r="DB311" s="114" t="n"/>
      <c r="DC311" s="114" t="n"/>
      <c r="DD311" s="114" t="n"/>
      <c r="DE311" s="114" t="n"/>
      <c r="DF311" s="114" t="n"/>
      <c r="DG311" s="114" t="n"/>
      <c r="DH311" s="114" t="n"/>
      <c r="DI311" s="114" t="n"/>
      <c r="DJ311" s="114" t="n"/>
      <c r="DK311" s="114" t="n"/>
      <c r="DL311" s="114" t="n">
        <v>31442611.48</v>
      </c>
      <c r="DM311" s="114" t="n">
        <v>5699540.98</v>
      </c>
      <c r="DN311" s="114" t="n">
        <v>607375.97</v>
      </c>
      <c r="DO311" s="114" t="n">
        <v>6857.14</v>
      </c>
      <c r="DP311" s="122" t="n"/>
      <c r="DQ311" s="3" t="n">
        <f aca="false" ca="false" dt2D="false" dtr="false" t="normal">N311-DA311</f>
        <v>0</v>
      </c>
      <c r="DS311" s="9" t="n"/>
    </row>
    <row customFormat="true" hidden="false" ht="15" outlineLevel="0" r="312" s="129">
      <c r="A312" s="183" t="n">
        <f aca="false" ca="false" dt2D="false" dtr="false" t="normal">+A311+1</f>
        <v>293</v>
      </c>
      <c r="B312" s="184" t="n">
        <f aca="false" ca="false" dt2D="false" dtr="false" t="normal">+B311+1</f>
        <v>105</v>
      </c>
      <c r="C312" s="104" t="s">
        <v>111</v>
      </c>
      <c r="D312" s="104" t="s">
        <v>387</v>
      </c>
      <c r="E312" s="105" t="s">
        <v>384</v>
      </c>
      <c r="F312" s="105" t="n"/>
      <c r="G312" s="105" t="s">
        <v>68</v>
      </c>
      <c r="H312" s="105" t="s">
        <v>187</v>
      </c>
      <c r="I312" s="105" t="s">
        <v>188</v>
      </c>
      <c r="J312" s="106" t="n">
        <v>5563.5</v>
      </c>
      <c r="K312" s="106" t="n">
        <v>4878.9</v>
      </c>
      <c r="L312" s="106" t="n">
        <v>141.3</v>
      </c>
      <c r="M312" s="107" t="n">
        <v>202</v>
      </c>
      <c r="N312" s="108" t="n">
        <f aca="false" ca="false" dt2D="false" dtr="false" t="normal">SUM(P312:T312)</f>
        <v>6472175.16</v>
      </c>
      <c r="O312" s="106" t="n">
        <v>0</v>
      </c>
      <c r="P312" s="114" t="n"/>
      <c r="Q312" s="114" t="n">
        <v>0</v>
      </c>
      <c r="R312" s="114" t="n">
        <v>1687675.76663143</v>
      </c>
      <c r="S312" s="114" t="n">
        <v>4784499.39336857</v>
      </c>
      <c r="T312" s="114" t="n"/>
      <c r="U312" s="106" t="n">
        <v>4093.52480525663</v>
      </c>
      <c r="V312" s="106" t="n">
        <v>4093.52480525663</v>
      </c>
      <c r="W312" s="185" t="n">
        <v>2023</v>
      </c>
      <c r="X312" s="129" t="n">
        <v>1863663.58</v>
      </c>
      <c r="Y312" s="129" t="n">
        <f aca="false" ca="false" dt2D="false" dtr="false" t="normal">+(K312*9.1+L312*18.19)*12</f>
        <v>563618.844</v>
      </c>
      <c r="AA312" s="130" t="e">
        <f aca="false" ca="false" dt2D="false" dtr="false" t="normal">+N312-'[8]Приложение № 2'!E308</f>
        <v>#REF!</v>
      </c>
      <c r="AD312" s="130" t="e">
        <f aca="false" ca="false" dt2D="false" dtr="false" t="normal">+N312-'[8]Приложение № 2'!E308</f>
        <v>#REF!</v>
      </c>
      <c r="AP312" s="112" t="n">
        <f aca="false" ca="false" dt2D="false" dtr="false" t="normal">+N312-'Приложение №2'!E312</f>
        <v>0</v>
      </c>
      <c r="AQ312" s="129" t="n">
        <v>2384583.81</v>
      </c>
      <c r="AR312" s="3" t="n">
        <f aca="false" ca="false" dt2D="false" dtr="false" t="normal">+(K312*10+L312*20)*12*0.85</f>
        <v>526473</v>
      </c>
      <c r="AS312" s="3" t="n">
        <f aca="false" ca="false" dt2D="false" dtr="false" t="normal">+(K312*10+L312*20)*12*30</f>
        <v>18581400</v>
      </c>
      <c r="AT312" s="9" t="n">
        <f aca="false" ca="false" dt2D="false" dtr="false" t="normal">+S312-AS312</f>
        <v>-13796900.60663143</v>
      </c>
      <c r="AU312" s="9" t="e">
        <f aca="false" ca="false" dt2D="false" dtr="false" t="normal">+P312-'[5]Приложение №1'!$P328</f>
        <v>#REF!</v>
      </c>
      <c r="AV312" s="9" t="e">
        <f aca="false" ca="false" dt2D="false" dtr="false" t="normal">+Q312-'[5]Приложение №1'!$Q328</f>
        <v>#REF!</v>
      </c>
      <c r="AW312" s="113" t="n">
        <f aca="false" ca="true" dt2D="false" dtr="false" t="normal">SUBTOTAL(9, AX312:BL312)</f>
        <v>20550313.227349382</v>
      </c>
      <c r="AX312" s="106" t="n"/>
      <c r="AY312" s="106" t="n"/>
      <c r="AZ312" s="106" t="n">
        <v>5439076.9790404</v>
      </c>
      <c r="BA312" s="106" t="n"/>
      <c r="BB312" s="106" t="n"/>
      <c r="BC312" s="106" t="n"/>
      <c r="BD312" s="106" t="n"/>
      <c r="BE312" s="106" t="n"/>
      <c r="BF312" s="106" t="n"/>
      <c r="BG312" s="106" t="n"/>
      <c r="BH312" s="106" t="n"/>
      <c r="BI312" s="106" t="n">
        <v>12054826.9045102</v>
      </c>
      <c r="BJ312" s="106" t="n">
        <v>1506877.3285041</v>
      </c>
      <c r="BK312" s="106" t="n">
        <v>48520.724844</v>
      </c>
      <c r="BL312" s="138" t="n">
        <v>1501011.29045068</v>
      </c>
      <c r="BM312" s="113" t="n">
        <f aca="false" ca="true" dt2D="false" dtr="false" t="normal">SUBTOTAL(9, BN312:CB312)</f>
        <v>14710634.622839179</v>
      </c>
      <c r="BN312" s="106" t="n"/>
      <c r="BO312" s="106" t="n"/>
      <c r="BP312" s="106" t="n">
        <v>5439076.9790404</v>
      </c>
      <c r="BQ312" s="106" t="n"/>
      <c r="BR312" s="106" t="n"/>
      <c r="BS312" s="106" t="n"/>
      <c r="BT312" s="106" t="n"/>
      <c r="BU312" s="106" t="n"/>
      <c r="BV312" s="106" t="n"/>
      <c r="BW312" s="106" t="n"/>
      <c r="BX312" s="106" t="n"/>
      <c r="BY312" s="106" t="n">
        <v>6215148.3</v>
      </c>
      <c r="BZ312" s="106" t="n">
        <v>1506877.3285041</v>
      </c>
      <c r="CA312" s="106" t="n">
        <v>48520.724844</v>
      </c>
      <c r="CB312" s="111" t="n">
        <v>1501011.29045068</v>
      </c>
      <c r="CD312" s="116" t="n">
        <f aca="false" ca="false" dt2D="false" dtr="false" t="normal">+CD311+1</f>
        <v>293</v>
      </c>
      <c r="CE312" s="117" t="n">
        <f aca="false" ca="false" dt2D="false" dtr="false" t="normal">+CE311+1</f>
        <v>105</v>
      </c>
      <c r="CF312" s="104" t="s">
        <v>111</v>
      </c>
      <c r="CG312" s="117" t="s">
        <v>387</v>
      </c>
      <c r="CH312" s="118" t="n">
        <f aca="false" ca="true" dt2D="false" dtr="false" t="normal">SUBTOTAL(9, CI312:CW312)</f>
        <v>7973186.45045068</v>
      </c>
      <c r="CI312" s="114" t="n"/>
      <c r="CJ312" s="114" t="n"/>
      <c r="CK312" s="114" t="n"/>
      <c r="CL312" s="114" t="n"/>
      <c r="CM312" s="114" t="n"/>
      <c r="CN312" s="114" t="n"/>
      <c r="CO312" s="114" t="n"/>
      <c r="CP312" s="114" t="n"/>
      <c r="CQ312" s="114" t="n"/>
      <c r="CR312" s="114" t="n"/>
      <c r="CS312" s="114" t="n"/>
      <c r="CT312" s="114" t="n">
        <v>6215148.3</v>
      </c>
      <c r="CU312" s="114" t="n">
        <v>253598.29</v>
      </c>
      <c r="CV312" s="114" t="n">
        <v>3428.57</v>
      </c>
      <c r="CW312" s="115" t="n">
        <v>1501011.29045068</v>
      </c>
      <c r="CZ312" s="117" t="s">
        <v>387</v>
      </c>
      <c r="DA312" s="119" t="n">
        <f aca="false" ca="true" dt2D="false" dtr="false" t="normal">SUBTOTAL(9, DB312:DP312)</f>
        <v>6472175.16</v>
      </c>
      <c r="DB312" s="114" t="n"/>
      <c r="DC312" s="114" t="n"/>
      <c r="DD312" s="114" t="n"/>
      <c r="DE312" s="114" t="n"/>
      <c r="DF312" s="114" t="n"/>
      <c r="DG312" s="114" t="n"/>
      <c r="DH312" s="114" t="n"/>
      <c r="DI312" s="114" t="n"/>
      <c r="DJ312" s="114" t="n"/>
      <c r="DK312" s="114" t="n"/>
      <c r="DL312" s="114" t="n"/>
      <c r="DM312" s="114" t="n">
        <v>6215148.3</v>
      </c>
      <c r="DN312" s="114" t="n">
        <v>253598.29</v>
      </c>
      <c r="DO312" s="114" t="n">
        <v>3428.57</v>
      </c>
      <c r="DP312" s="122" t="n"/>
      <c r="DQ312" s="3" t="n">
        <f aca="false" ca="false" dt2D="false" dtr="false" t="normal">N312-DA312</f>
        <v>0</v>
      </c>
      <c r="DS312" s="9" t="n"/>
    </row>
    <row customFormat="true" hidden="false" ht="15" outlineLevel="0" r="313" s="129">
      <c r="A313" s="183" t="n">
        <f aca="false" ca="false" dt2D="false" dtr="false" t="normal">+A312+1</f>
        <v>294</v>
      </c>
      <c r="B313" s="184" t="n">
        <f aca="false" ca="false" dt2D="false" dtr="false" t="normal">+B312+1</f>
        <v>106</v>
      </c>
      <c r="C313" s="104" t="s">
        <v>184</v>
      </c>
      <c r="D313" s="104" t="s">
        <v>388</v>
      </c>
      <c r="E313" s="105" t="s">
        <v>186</v>
      </c>
      <c r="F313" s="105" t="n"/>
      <c r="G313" s="105" t="s">
        <v>68</v>
      </c>
      <c r="H313" s="105" t="s">
        <v>187</v>
      </c>
      <c r="I313" s="105" t="s">
        <v>188</v>
      </c>
      <c r="J313" s="106" t="n">
        <v>5751.1</v>
      </c>
      <c r="K313" s="106" t="n">
        <v>4971.6</v>
      </c>
      <c r="L313" s="106" t="n">
        <v>0</v>
      </c>
      <c r="M313" s="107" t="n">
        <v>221</v>
      </c>
      <c r="N313" s="108" t="n">
        <f aca="false" ca="false" dt2D="false" dtr="false" t="normal">SUM(P313:T313)</f>
        <v>22551866.78</v>
      </c>
      <c r="O313" s="106" t="n">
        <v>0</v>
      </c>
      <c r="P313" s="114" t="n"/>
      <c r="Q313" s="114" t="n">
        <v>0</v>
      </c>
      <c r="R313" s="114" t="n">
        <v>2732123.25</v>
      </c>
      <c r="S313" s="114" t="n">
        <v>19819743.53</v>
      </c>
      <c r="T313" s="114" t="n"/>
      <c r="U313" s="114" t="n">
        <v>10054.0694105366</v>
      </c>
      <c r="V313" s="114" t="n">
        <v>1330.283020064</v>
      </c>
      <c r="W313" s="185" t="n">
        <v>2023</v>
      </c>
      <c r="X313" s="129" t="n">
        <v>1827431.02</v>
      </c>
      <c r="Y313" s="129" t="n">
        <f aca="false" ca="false" dt2D="false" dtr="false" t="normal">+(K313*9.1+L313*18.19)*12</f>
        <v>542898.7200000001</v>
      </c>
      <c r="AA313" s="130" t="e">
        <f aca="false" ca="false" dt2D="false" dtr="false" t="normal">+N313-'[8]Приложение № 2'!E315</f>
        <v>#REF!</v>
      </c>
      <c r="AD313" s="130" t="e">
        <f aca="false" ca="false" dt2D="false" dtr="false" t="normal">+N313-'[8]Приложение № 2'!E315</f>
        <v>#REF!</v>
      </c>
      <c r="AP313" s="112" t="n">
        <f aca="false" ca="false" dt2D="false" dtr="false" t="normal">+N313-'Приложение №2'!E313</f>
        <v>0</v>
      </c>
      <c r="AQ313" s="121" t="n">
        <v>2885684.78</v>
      </c>
      <c r="AR313" s="3" t="n">
        <f aca="false" ca="false" dt2D="false" dtr="false" t="normal">+(K313*10.5+L313*21)*12*0.85</f>
        <v>532458.3600000001</v>
      </c>
      <c r="AS313" s="3" t="n">
        <f aca="false" ca="false" dt2D="false" dtr="false" t="normal">+(K313*10.5+L313*21)*12*30</f>
        <v>18792648.000000004</v>
      </c>
      <c r="AT313" s="9" t="n">
        <f aca="false" ca="false" dt2D="false" dtr="false" t="normal">+S313-AS313</f>
        <v>1027095.5299999975</v>
      </c>
      <c r="AU313" s="9" t="e">
        <f aca="false" ca="false" dt2D="false" dtr="false" t="normal">+P313-'[5]Приложение №1'!$P350</f>
        <v>#REF!</v>
      </c>
      <c r="AV313" s="9" t="e">
        <f aca="false" ca="false" dt2D="false" dtr="false" t="normal">+Q313-'[5]Приложение №1'!$Q350</f>
        <v>#REF!</v>
      </c>
      <c r="AW313" s="186" t="n">
        <f aca="false" ca="true" dt2D="false" dtr="false" t="normal">SUBTOTAL(9, AX313:BL313)</f>
        <v>49984811.48142352</v>
      </c>
      <c r="AX313" s="106" t="n">
        <v>8299975.95376422</v>
      </c>
      <c r="AY313" s="106" t="n">
        <v>4800122.69708414</v>
      </c>
      <c r="AZ313" s="106" t="n">
        <v>0</v>
      </c>
      <c r="BA313" s="106" t="n">
        <v>0</v>
      </c>
      <c r="BB313" s="106" t="n"/>
      <c r="BC313" s="106" t="n"/>
      <c r="BD313" s="106" t="n">
        <v>412435.577759889</v>
      </c>
      <c r="BE313" s="106" t="n">
        <v>0</v>
      </c>
      <c r="BF313" s="106" t="n">
        <v>14775207.7260839</v>
      </c>
      <c r="BG313" s="106" t="n">
        <v>0</v>
      </c>
      <c r="BH313" s="106" t="n"/>
      <c r="BI313" s="106" t="n">
        <v>11281898.4663249</v>
      </c>
      <c r="BJ313" s="106" t="n">
        <v>8086588.88032743</v>
      </c>
      <c r="BK313" s="114" t="n">
        <v>802166.094439183</v>
      </c>
      <c r="BL313" s="187" t="n">
        <v>1526416.08563985</v>
      </c>
      <c r="BM313" s="186" t="n">
        <f aca="false" ca="true" dt2D="false" dtr="false" t="normal">SUBTOTAL(9, BN313:CB313)</f>
        <v>47067749.255339615</v>
      </c>
      <c r="BN313" s="106" t="n">
        <v>8299975.95376422</v>
      </c>
      <c r="BO313" s="106" t="n">
        <v>4800122.69708414</v>
      </c>
      <c r="BP313" s="106" t="n">
        <v>0</v>
      </c>
      <c r="BQ313" s="106" t="n">
        <v>0</v>
      </c>
      <c r="BR313" s="106" t="n"/>
      <c r="BS313" s="106" t="n"/>
      <c r="BT313" s="106" t="n">
        <v>412435.577759889</v>
      </c>
      <c r="BU313" s="106" t="n">
        <v>0</v>
      </c>
      <c r="BV313" s="106" t="n">
        <v>11858145.5</v>
      </c>
      <c r="BW313" s="106" t="n">
        <v>0</v>
      </c>
      <c r="BX313" s="106" t="n"/>
      <c r="BY313" s="106" t="n">
        <v>11281898.4663249</v>
      </c>
      <c r="BZ313" s="106" t="n">
        <v>8086588.88032743</v>
      </c>
      <c r="CA313" s="114" t="n">
        <v>802166.094439183</v>
      </c>
      <c r="CB313" s="115" t="n">
        <v>1526416.08563985</v>
      </c>
      <c r="CD313" s="116" t="n">
        <f aca="false" ca="false" dt2D="false" dtr="false" t="normal">+CD312+1</f>
        <v>294</v>
      </c>
      <c r="CE313" s="117" t="n">
        <f aca="false" ca="false" dt2D="false" dtr="false" t="normal">+CE312+1</f>
        <v>106</v>
      </c>
      <c r="CF313" s="104" t="s">
        <v>111</v>
      </c>
      <c r="CG313" s="117" t="s">
        <v>388</v>
      </c>
      <c r="CH313" s="188" t="n">
        <f aca="false" ca="true" dt2D="false" dtr="false" t="normal">SUBTOTAL(9, CI313:CW313)</f>
        <v>24078282.86563985</v>
      </c>
      <c r="CI313" s="114" t="n"/>
      <c r="CJ313" s="114" t="n"/>
      <c r="CK313" s="114" t="n"/>
      <c r="CL313" s="114" t="n"/>
      <c r="CM313" s="114" t="n"/>
      <c r="CN313" s="114" t="n"/>
      <c r="CO313" s="114" t="n"/>
      <c r="CP313" s="114" t="n"/>
      <c r="CQ313" s="114" t="n">
        <v>11858145.5</v>
      </c>
      <c r="CR313" s="114" t="n">
        <v>0</v>
      </c>
      <c r="CS313" s="114" t="n"/>
      <c r="CT313" s="114" t="n">
        <v>10159720.21</v>
      </c>
      <c r="CU313" s="114" t="n">
        <v>524401.07</v>
      </c>
      <c r="CV313" s="114" t="n">
        <v>9600</v>
      </c>
      <c r="CW313" s="115" t="n">
        <v>1526416.08563985</v>
      </c>
      <c r="CZ313" s="117" t="s">
        <v>388</v>
      </c>
      <c r="DA313" s="189" t="n">
        <f aca="false" ca="true" dt2D="false" dtr="false" t="normal">SUBTOTAL(9, DB313:DP313)</f>
        <v>22551866.78</v>
      </c>
      <c r="DB313" s="114" t="n"/>
      <c r="DC313" s="114" t="n"/>
      <c r="DD313" s="114" t="n"/>
      <c r="DE313" s="114" t="n"/>
      <c r="DF313" s="114" t="n"/>
      <c r="DG313" s="114" t="n"/>
      <c r="DH313" s="114" t="n"/>
      <c r="DI313" s="114" t="n"/>
      <c r="DJ313" s="114" t="n">
        <v>11858145.5</v>
      </c>
      <c r="DK313" s="114" t="n">
        <v>0</v>
      </c>
      <c r="DL313" s="114" t="n"/>
      <c r="DM313" s="114" t="n">
        <v>10159720.21</v>
      </c>
      <c r="DN313" s="114" t="n">
        <v>524401.07</v>
      </c>
      <c r="DO313" s="114" t="n">
        <v>9600</v>
      </c>
      <c r="DP313" s="122" t="n"/>
      <c r="DQ313" s="3" t="n">
        <f aca="false" ca="false" dt2D="false" dtr="false" t="normal">N313-DA313</f>
        <v>0</v>
      </c>
      <c r="DS313" s="9" t="n"/>
    </row>
    <row customFormat="true" customHeight="true" hidden="false" ht="14.25" outlineLevel="0" r="314" s="129">
      <c r="A314" s="183" t="n">
        <f aca="false" ca="false" dt2D="false" dtr="false" t="normal">+A313+1</f>
        <v>295</v>
      </c>
      <c r="B314" s="184" t="n">
        <f aca="false" ca="false" dt2D="false" dtr="false" t="normal">+B313+1</f>
        <v>107</v>
      </c>
      <c r="C314" s="117" t="s">
        <v>111</v>
      </c>
      <c r="D314" s="104" t="s">
        <v>389</v>
      </c>
      <c r="E314" s="105" t="s">
        <v>186</v>
      </c>
      <c r="F314" s="105" t="n"/>
      <c r="G314" s="105" t="s">
        <v>68</v>
      </c>
      <c r="H314" s="105" t="s">
        <v>187</v>
      </c>
      <c r="I314" s="105" t="s">
        <v>188</v>
      </c>
      <c r="J314" s="106" t="n">
        <v>5677.5</v>
      </c>
      <c r="K314" s="106" t="n">
        <v>4896.4</v>
      </c>
      <c r="L314" s="106" t="n">
        <v>72</v>
      </c>
      <c r="M314" s="107" t="n">
        <v>216</v>
      </c>
      <c r="N314" s="108" t="n">
        <f aca="false" ca="false" dt2D="false" dtr="false" t="normal">SUM(P314:T314)</f>
        <v>19322281.259999998</v>
      </c>
      <c r="O314" s="114" t="n">
        <v>0</v>
      </c>
      <c r="P314" s="114" t="n">
        <v>2611305.66</v>
      </c>
      <c r="Q314" s="114" t="n"/>
      <c r="R314" s="114" t="n">
        <v>933265.76</v>
      </c>
      <c r="S314" s="114" t="n">
        <v>14891325.1290234</v>
      </c>
      <c r="T314" s="114" t="n">
        <v>886384.710976601</v>
      </c>
      <c r="U314" s="106" t="n">
        <v>4733.61012412292</v>
      </c>
      <c r="V314" s="106" t="n">
        <v>4733.61012412292</v>
      </c>
      <c r="W314" s="185" t="n">
        <v>2023</v>
      </c>
      <c r="X314" s="129" t="n">
        <v>1825680.39</v>
      </c>
      <c r="Y314" s="129" t="n">
        <f aca="false" ca="false" dt2D="false" dtr="false" t="normal">+(K314*9.1+L314*18.19)*12</f>
        <v>550403.04</v>
      </c>
      <c r="AA314" s="130" t="e">
        <f aca="false" ca="false" dt2D="false" dtr="false" t="normal">+N314-'[8]Приложение № 2'!E309</f>
        <v>#REF!</v>
      </c>
      <c r="AD314" s="130" t="e">
        <f aca="false" ca="false" dt2D="false" dtr="false" t="normal">+N314-'[8]Приложение № 2'!E309</f>
        <v>#REF!</v>
      </c>
      <c r="AP314" s="112" t="n">
        <f aca="false" ca="false" dt2D="false" dtr="false" t="normal">+N314-'Приложение №2'!E314</f>
        <v>0</v>
      </c>
      <c r="AQ314" s="132" t="n">
        <f aca="false" ca="false" dt2D="false" dtr="false" t="normal">2265420.6-R122</f>
        <v>-280804.35999999987</v>
      </c>
      <c r="AR314" s="3" t="n">
        <f aca="false" ca="false" dt2D="false" dtr="false" t="normal">+(K314*10+L314*20)*12*0.85</f>
        <v>514120.8</v>
      </c>
      <c r="AS314" s="3" t="n">
        <f aca="false" ca="false" dt2D="false" dtr="false" t="normal">+(K314*10.5+L314*21)*12*30</f>
        <v>19052711.999999996</v>
      </c>
      <c r="AT314" s="9" t="n">
        <f aca="false" ca="false" dt2D="false" dtr="false" t="normal">+S314-AS314</f>
        <v>-4161386.870976597</v>
      </c>
      <c r="AU314" s="9" t="e">
        <f aca="false" ca="false" dt2D="false" dtr="false" t="normal">+P314-'[5]Приложение №1'!$P329</f>
        <v>#REF!</v>
      </c>
      <c r="AV314" s="9" t="e">
        <f aca="false" ca="false" dt2D="false" dtr="false" t="normal">+Q314-'[5]Приложение №1'!$Q329</f>
        <v>#REF!</v>
      </c>
      <c r="AW314" s="113" t="n">
        <f aca="false" ca="true" dt2D="false" dtr="false" t="normal">SUBTOTAL(9, AX314:BL314)</f>
        <v>23518468.54069229</v>
      </c>
      <c r="AX314" s="106" t="n">
        <v>8730606.61</v>
      </c>
      <c r="AY314" s="106" t="n">
        <v>4797033.06947317</v>
      </c>
      <c r="AZ314" s="106" t="n">
        <v>3230753.86</v>
      </c>
      <c r="BA314" s="106" t="n">
        <v>4393629.08</v>
      </c>
      <c r="BB314" s="106" t="n"/>
      <c r="BC314" s="106" t="n"/>
      <c r="BD314" s="106" t="n">
        <v>412170.11113972</v>
      </c>
      <c r="BE314" s="106" t="n"/>
      <c r="BF314" s="106" t="n"/>
      <c r="BG314" s="106" t="n"/>
      <c r="BH314" s="106" t="n"/>
      <c r="BI314" s="206" t="n"/>
      <c r="BJ314" s="106" t="n">
        <v>205354.861056</v>
      </c>
      <c r="BK314" s="106" t="n">
        <v>24000</v>
      </c>
      <c r="BL314" s="138" t="n">
        <f aca="false" ca="false" dt2D="false" dtr="false" t="normal">43868.9490234015+1681052</f>
        <v>1724920.9490234016</v>
      </c>
      <c r="BM314" s="113" t="n">
        <f aca="false" ca="true" dt2D="false" dtr="false" t="normal">SUBTOTAL(9, BN314:CB314)</f>
        <v>23518468.54069229</v>
      </c>
      <c r="BN314" s="106" t="n">
        <v>8730606.61</v>
      </c>
      <c r="BO314" s="106" t="n">
        <v>4797033.06947317</v>
      </c>
      <c r="BP314" s="106" t="n">
        <v>3230753.86</v>
      </c>
      <c r="BQ314" s="106" t="n">
        <v>4393629.08</v>
      </c>
      <c r="BR314" s="106" t="n"/>
      <c r="BS314" s="106" t="n"/>
      <c r="BT314" s="106" t="n">
        <v>412170.11113972</v>
      </c>
      <c r="BU314" s="106" t="n"/>
      <c r="BV314" s="106" t="n"/>
      <c r="BW314" s="106" t="n"/>
      <c r="BX314" s="106" t="n"/>
      <c r="BY314" s="206" t="n"/>
      <c r="BZ314" s="106" t="n">
        <v>205354.861056</v>
      </c>
      <c r="CA314" s="106" t="n">
        <v>24000</v>
      </c>
      <c r="CB314" s="111" t="n">
        <f aca="false" ca="false" dt2D="false" dtr="false" t="normal">43868.9490234015+1681052</f>
        <v>1724920.9490234016</v>
      </c>
      <c r="CD314" s="116" t="n">
        <f aca="false" ca="false" dt2D="false" dtr="false" t="normal">+CD313+1</f>
        <v>295</v>
      </c>
      <c r="CE314" s="117" t="n">
        <f aca="false" ca="false" dt2D="false" dtr="false" t="normal">+CE313+1</f>
        <v>107</v>
      </c>
      <c r="CF314" s="104" t="s">
        <v>111</v>
      </c>
      <c r="CG314" s="117" t="s">
        <v>389</v>
      </c>
      <c r="CH314" s="118" t="n">
        <f aca="false" ca="true" dt2D="false" dtr="false" t="normal">SUBTOTAL(9, CI314:CW314)</f>
        <v>21047202.2090234</v>
      </c>
      <c r="CI314" s="114" t="n">
        <v>9193389.03</v>
      </c>
      <c r="CJ314" s="114" t="n">
        <v>2924499.67</v>
      </c>
      <c r="CK314" s="114" t="n">
        <v>3230753.86</v>
      </c>
      <c r="CL314" s="114" t="n">
        <v>3708442.52</v>
      </c>
      <c r="CM314" s="114" t="n"/>
      <c r="CN314" s="114" t="n"/>
      <c r="CO314" s="114" t="n"/>
      <c r="CP314" s="114" t="n"/>
      <c r="CQ314" s="114" t="n"/>
      <c r="CR314" s="114" t="n"/>
      <c r="CS314" s="114" t="n"/>
      <c r="CT314" s="114" t="n"/>
      <c r="CU314" s="114" t="n">
        <v>226850.47</v>
      </c>
      <c r="CV314" s="114" t="n">
        <v>38345.71</v>
      </c>
      <c r="CW314" s="115" t="n">
        <f aca="false" ca="false" dt2D="false" dtr="false" t="normal">43868.9490234015+1681052</f>
        <v>1724920.9490234016</v>
      </c>
      <c r="CZ314" s="117" t="s">
        <v>389</v>
      </c>
      <c r="DA314" s="119" t="n">
        <f aca="false" ca="true" dt2D="false" dtr="false" t="normal">SUBTOTAL(9, DB314:DP314)</f>
        <v>19322281.259999998</v>
      </c>
      <c r="DB314" s="114" t="n">
        <v>9193389.03</v>
      </c>
      <c r="DC314" s="114" t="n">
        <v>2924499.67</v>
      </c>
      <c r="DD314" s="114" t="n">
        <v>3230753.86</v>
      </c>
      <c r="DE314" s="114" t="n">
        <v>3708442.52</v>
      </c>
      <c r="DF314" s="114" t="n"/>
      <c r="DG314" s="114" t="n"/>
      <c r="DH314" s="114" t="n"/>
      <c r="DI314" s="114" t="n"/>
      <c r="DJ314" s="114" t="n"/>
      <c r="DK314" s="114" t="n"/>
      <c r="DL314" s="114" t="n"/>
      <c r="DM314" s="114" t="n"/>
      <c r="DN314" s="114" t="n">
        <v>226850.47</v>
      </c>
      <c r="DO314" s="114" t="n">
        <v>38345.71</v>
      </c>
      <c r="DP314" s="122" t="n"/>
      <c r="DQ314" s="3" t="n">
        <f aca="false" ca="false" dt2D="false" dtr="false" t="normal">N314-DA314</f>
        <v>0</v>
      </c>
      <c r="DS314" s="9" t="n"/>
    </row>
    <row hidden="false" ht="15" outlineLevel="0" r="315">
      <c r="A315" s="183" t="n">
        <f aca="false" ca="false" dt2D="false" dtr="false" t="normal">+A314+1</f>
        <v>296</v>
      </c>
      <c r="B315" s="184" t="n">
        <f aca="false" ca="false" dt2D="false" dtr="false" t="normal">+B314+1</f>
        <v>108</v>
      </c>
      <c r="C315" s="104" t="s">
        <v>111</v>
      </c>
      <c r="D315" s="104" t="s">
        <v>390</v>
      </c>
      <c r="E315" s="105" t="n">
        <v>1968</v>
      </c>
      <c r="F315" s="105" t="n">
        <v>2013</v>
      </c>
      <c r="G315" s="105" t="s">
        <v>68</v>
      </c>
      <c r="H315" s="105" t="n">
        <v>4</v>
      </c>
      <c r="I315" s="105" t="n">
        <v>3</v>
      </c>
      <c r="J315" s="106" t="n">
        <v>2488.5</v>
      </c>
      <c r="K315" s="106" t="n">
        <v>2348.2</v>
      </c>
      <c r="L315" s="106" t="n">
        <v>69.6</v>
      </c>
      <c r="M315" s="107" t="n">
        <v>56</v>
      </c>
      <c r="N315" s="108" t="n">
        <f aca="false" ca="false" dt2D="false" dtr="false" t="normal">SUM(P315:T315)</f>
        <v>5865383.100000001</v>
      </c>
      <c r="O315" s="106" t="n"/>
      <c r="P315" s="114" t="n"/>
      <c r="Q315" s="114" t="n"/>
      <c r="R315" s="114" t="n">
        <v>149451.86</v>
      </c>
      <c r="S315" s="114" t="n">
        <v>5715931.24</v>
      </c>
      <c r="T315" s="106" t="n"/>
      <c r="U315" s="114" t="n">
        <v>4337.07819149093</v>
      </c>
      <c r="V315" s="114" t="n">
        <v>4337.07819149093</v>
      </c>
      <c r="W315" s="185" t="n">
        <v>2023</v>
      </c>
      <c r="X315" s="9" t="e">
        <f aca="false" ca="false" dt2D="false" dtr="false" t="normal">+#REF!-'[9]Приложение №1'!$P1315</f>
        <v>#REF!</v>
      </c>
      <c r="Z315" s="113" t="n">
        <f aca="false" ca="false" dt2D="false" dtr="false" t="normal">SUM(AA315:AO315)</f>
        <v>5047649.35409299</v>
      </c>
      <c r="AA315" s="106" t="n">
        <v>0</v>
      </c>
      <c r="AB315" s="106" t="n">
        <v>2080965.34267947</v>
      </c>
      <c r="AC315" s="106" t="n">
        <v>0</v>
      </c>
      <c r="AD315" s="106" t="n">
        <v>1397905.63903752</v>
      </c>
      <c r="AE315" s="106" t="n">
        <v>1036272.831972</v>
      </c>
      <c r="AF315" s="106" t="n"/>
      <c r="AG315" s="106" t="n">
        <v>210866.252142</v>
      </c>
      <c r="AH315" s="106" t="n">
        <v>0</v>
      </c>
      <c r="AI315" s="106" t="n">
        <v>0</v>
      </c>
      <c r="AJ315" s="106" t="n">
        <v>0</v>
      </c>
      <c r="AK315" s="106" t="n">
        <v>0</v>
      </c>
      <c r="AL315" s="106" t="n">
        <v>0</v>
      </c>
      <c r="AM315" s="106" t="n">
        <v>173345.08</v>
      </c>
      <c r="AN315" s="106" t="n">
        <v>44945.94</v>
      </c>
      <c r="AO315" s="115" t="n">
        <v>103348.268262</v>
      </c>
      <c r="AP315" s="112" t="n">
        <f aca="false" ca="false" dt2D="false" dtr="false" t="normal">+N315-'Приложение №2'!E315</f>
        <v>0</v>
      </c>
      <c r="AQ315" s="1" t="n">
        <v>1248740.06</v>
      </c>
      <c r="AR315" s="3" t="n">
        <f aca="false" ca="false" dt2D="false" dtr="false" t="normal">+(K315*10+L315*20)*12*0.85</f>
        <v>253714.8</v>
      </c>
      <c r="AS315" s="3" t="n">
        <f aca="false" ca="false" dt2D="false" dtr="false" t="normal">+(K315*10+L315*20)*12*30</f>
        <v>8954640</v>
      </c>
      <c r="AT315" s="9" t="n">
        <f aca="false" ca="false" dt2D="false" dtr="false" t="normal">+S315-AS315</f>
        <v>-3238708.76</v>
      </c>
      <c r="AU315" s="9" t="e">
        <f aca="false" ca="false" dt2D="false" dtr="false" t="normal">+P315-'[5]Приложение №1'!$P330</f>
        <v>#REF!</v>
      </c>
      <c r="AV315" s="9" t="e">
        <f aca="false" ca="false" dt2D="false" dtr="false" t="normal">+Q315-'[5]Приложение №1'!$Q330</f>
        <v>#REF!</v>
      </c>
      <c r="AW315" s="113" t="n">
        <f aca="false" ca="true" dt2D="false" dtr="false" t="normal">SUBTOTAL(9, AX315:BL315)</f>
        <v>10486187.65138677</v>
      </c>
      <c r="AX315" s="106" t="n">
        <v>0</v>
      </c>
      <c r="AY315" s="106" t="n">
        <v>2080965.34267947</v>
      </c>
      <c r="AZ315" s="106" t="n">
        <v>0</v>
      </c>
      <c r="BA315" s="106" t="n">
        <v>1397905.63903752</v>
      </c>
      <c r="BB315" s="106" t="n"/>
      <c r="BC315" s="106" t="n"/>
      <c r="BD315" s="106" t="n"/>
      <c r="BE315" s="106" t="n">
        <v>0</v>
      </c>
      <c r="BF315" s="106" t="n">
        <v>0</v>
      </c>
      <c r="BG315" s="106" t="n">
        <v>0</v>
      </c>
      <c r="BH315" s="106" t="n">
        <v>0</v>
      </c>
      <c r="BI315" s="106" t="n">
        <v>5909986.04346178</v>
      </c>
      <c r="BJ315" s="106" t="n">
        <v>518300.47</v>
      </c>
      <c r="BK315" s="106" t="n"/>
      <c r="BL315" s="187" t="n">
        <f aca="false" ca="false" dt2D="false" dtr="false" t="normal">19668.156208+559362</f>
        <v>579030.156208</v>
      </c>
      <c r="BM315" s="113" t="n">
        <f aca="false" ca="true" dt2D="false" dtr="false" t="normal">SUBTOTAL(9, BN315:CB315)</f>
        <v>10486187.65138677</v>
      </c>
      <c r="BN315" s="106" t="n">
        <v>0</v>
      </c>
      <c r="BO315" s="106" t="n">
        <v>2080965.34267947</v>
      </c>
      <c r="BP315" s="106" t="n">
        <v>0</v>
      </c>
      <c r="BQ315" s="106" t="n">
        <v>1397905.63903752</v>
      </c>
      <c r="BR315" s="106" t="n"/>
      <c r="BS315" s="106" t="n"/>
      <c r="BT315" s="106" t="n"/>
      <c r="BU315" s="106" t="n">
        <v>0</v>
      </c>
      <c r="BV315" s="106" t="n">
        <v>0</v>
      </c>
      <c r="BW315" s="106" t="n">
        <v>0</v>
      </c>
      <c r="BX315" s="106" t="n">
        <v>0</v>
      </c>
      <c r="BY315" s="106" t="n">
        <v>5909986.04346178</v>
      </c>
      <c r="BZ315" s="106" t="n">
        <v>518300.47</v>
      </c>
      <c r="CA315" s="106" t="n"/>
      <c r="CB315" s="115" t="n">
        <f aca="false" ca="false" dt2D="false" dtr="false" t="normal">19668.156208+559362</f>
        <v>579030.156208</v>
      </c>
      <c r="CD315" s="116" t="n">
        <f aca="false" ca="false" dt2D="false" dtr="false" t="normal">+CD314+1</f>
        <v>296</v>
      </c>
      <c r="CE315" s="117" t="n">
        <f aca="false" ca="false" dt2D="false" dtr="false" t="normal">+CE314+1</f>
        <v>108</v>
      </c>
      <c r="CF315" s="104" t="s">
        <v>111</v>
      </c>
      <c r="CG315" s="117" t="s">
        <v>390</v>
      </c>
      <c r="CH315" s="118" t="n">
        <f aca="false" ca="true" dt2D="false" dtr="false" t="normal">SUBTOTAL(9, CI315:CW315)</f>
        <v>6444413.256208001</v>
      </c>
      <c r="CI315" s="114" t="n">
        <v>0</v>
      </c>
      <c r="CJ315" s="114" t="n"/>
      <c r="CK315" s="114" t="n">
        <v>0</v>
      </c>
      <c r="CL315" s="114" t="n"/>
      <c r="CM315" s="114" t="n"/>
      <c r="CN315" s="114" t="n"/>
      <c r="CO315" s="114" t="n"/>
      <c r="CP315" s="114" t="n">
        <v>0</v>
      </c>
      <c r="CQ315" s="114" t="n">
        <v>0</v>
      </c>
      <c r="CR315" s="114" t="n">
        <v>0</v>
      </c>
      <c r="CS315" s="114" t="n">
        <v>0</v>
      </c>
      <c r="CT315" s="114" t="n">
        <v>5650467.82</v>
      </c>
      <c r="CU315" s="114" t="n">
        <v>202915.28</v>
      </c>
      <c r="CV315" s="114" t="n">
        <v>12000</v>
      </c>
      <c r="CW315" s="115" t="n">
        <f aca="false" ca="false" dt2D="false" dtr="false" t="normal">19668.156208+559362</f>
        <v>579030.156208</v>
      </c>
      <c r="CZ315" s="117" t="s">
        <v>390</v>
      </c>
      <c r="DA315" s="119" t="n">
        <f aca="false" ca="true" dt2D="false" dtr="false" t="normal">SUBTOTAL(9, DB315:DP315)</f>
        <v>5865383.100000001</v>
      </c>
      <c r="DB315" s="114" t="n">
        <v>0</v>
      </c>
      <c r="DC315" s="114" t="n"/>
      <c r="DD315" s="114" t="n">
        <v>0</v>
      </c>
      <c r="DE315" s="114" t="n"/>
      <c r="DF315" s="114" t="n"/>
      <c r="DG315" s="114" t="n"/>
      <c r="DH315" s="114" t="n"/>
      <c r="DI315" s="114" t="n">
        <v>0</v>
      </c>
      <c r="DJ315" s="114" t="n">
        <v>0</v>
      </c>
      <c r="DK315" s="114" t="n">
        <v>0</v>
      </c>
      <c r="DL315" s="114" t="n">
        <v>0</v>
      </c>
      <c r="DM315" s="114" t="n">
        <v>5650467.82</v>
      </c>
      <c r="DN315" s="114" t="n">
        <v>202915.28</v>
      </c>
      <c r="DO315" s="114" t="n">
        <v>12000</v>
      </c>
      <c r="DP315" s="122" t="n"/>
      <c r="DQ315" s="3" t="n">
        <f aca="false" ca="false" dt2D="false" dtr="false" t="normal">N315-DA315</f>
        <v>0</v>
      </c>
      <c r="DS315" s="9" t="n"/>
    </row>
    <row customFormat="true" hidden="false" ht="15" outlineLevel="0" r="316" s="129">
      <c r="A316" s="183" t="n">
        <f aca="false" ca="false" dt2D="false" dtr="false" t="normal">+A315+1</f>
        <v>297</v>
      </c>
      <c r="B316" s="184" t="n">
        <f aca="false" ca="false" dt2D="false" dtr="false" t="normal">+B315+1</f>
        <v>109</v>
      </c>
      <c r="C316" s="104" t="s">
        <v>111</v>
      </c>
      <c r="D316" s="104" t="s">
        <v>391</v>
      </c>
      <c r="E316" s="105" t="s">
        <v>347</v>
      </c>
      <c r="F316" s="105" t="n"/>
      <c r="G316" s="105" t="s">
        <v>68</v>
      </c>
      <c r="H316" s="105" t="s">
        <v>187</v>
      </c>
      <c r="I316" s="105" t="s">
        <v>187</v>
      </c>
      <c r="J316" s="106" t="n">
        <v>2960.3</v>
      </c>
      <c r="K316" s="106" t="n">
        <v>2725</v>
      </c>
      <c r="L316" s="106" t="n">
        <v>0</v>
      </c>
      <c r="M316" s="107" t="n">
        <v>121</v>
      </c>
      <c r="N316" s="108" t="n">
        <f aca="false" ca="false" dt2D="false" dtr="false" t="normal">SUM(P316:T316)</f>
        <v>3976195.3</v>
      </c>
      <c r="O316" s="106" t="n">
        <v>0</v>
      </c>
      <c r="P316" s="114" t="n"/>
      <c r="Q316" s="114" t="n">
        <v>0</v>
      </c>
      <c r="R316" s="114" t="n">
        <v>756433.77</v>
      </c>
      <c r="S316" s="114" t="n">
        <v>3219761.53</v>
      </c>
      <c r="T316" s="114" t="n"/>
      <c r="U316" s="106" t="n">
        <v>3792.18951094113</v>
      </c>
      <c r="V316" s="106" t="n">
        <v>3792.18951094113</v>
      </c>
      <c r="W316" s="185" t="n">
        <v>2023</v>
      </c>
      <c r="X316" s="129" t="n">
        <v>1033423.53</v>
      </c>
      <c r="Y316" s="129" t="n">
        <f aca="false" ca="false" dt2D="false" dtr="false" t="normal">+(K316*9.1+L316*18.19)*12</f>
        <v>297570</v>
      </c>
      <c r="AA316" s="130" t="e">
        <f aca="false" ca="false" dt2D="false" dtr="false" t="normal">+N316-'[8]Приложение № 2'!E312</f>
        <v>#REF!</v>
      </c>
      <c r="AD316" s="130" t="e">
        <f aca="false" ca="false" dt2D="false" dtr="false" t="normal">+N316-'[8]Приложение № 2'!E312</f>
        <v>#REF!</v>
      </c>
      <c r="AP316" s="112" t="n">
        <f aca="false" ca="false" dt2D="false" dtr="false" t="normal">+N316-'Приложение №2'!E316</f>
        <v>0</v>
      </c>
      <c r="AQ316" s="129" t="n">
        <v>1333137.2</v>
      </c>
      <c r="AR316" s="3" t="n">
        <f aca="false" ca="false" dt2D="false" dtr="false" t="normal">+(K316*10+L316*20)*12*0.85</f>
        <v>277950</v>
      </c>
      <c r="AS316" s="3" t="n">
        <f aca="false" ca="false" dt2D="false" dtr="false" t="normal">+(K316*10+L316*20)*12*30</f>
        <v>9810000</v>
      </c>
      <c r="AT316" s="9" t="n">
        <f aca="false" ca="false" dt2D="false" dtr="false" t="normal">+S316-AS316</f>
        <v>-6590238.470000001</v>
      </c>
      <c r="AU316" s="9" t="e">
        <f aca="false" ca="false" dt2D="false" dtr="false" t="normal">+P316-'[5]Приложение №1'!$P333</f>
        <v>#REF!</v>
      </c>
      <c r="AV316" s="9" t="e">
        <f aca="false" ca="false" dt2D="false" dtr="false" t="normal">+Q316-'[5]Приложение №1'!$Q333</f>
        <v>#REF!</v>
      </c>
      <c r="AW316" s="113" t="n">
        <f aca="false" ca="true" dt2D="false" dtr="false" t="normal">SUBTOTAL(9, AX316:BL316)</f>
        <v>10333716.417314585</v>
      </c>
      <c r="AX316" s="13" t="n"/>
      <c r="AY316" s="13" t="n"/>
      <c r="AZ316" s="13" t="n"/>
      <c r="BA316" s="106" t="n">
        <v>1613543.15222058</v>
      </c>
      <c r="BB316" s="106" t="n"/>
      <c r="BC316" s="106" t="n"/>
      <c r="BD316" s="106" t="n"/>
      <c r="BE316" s="106" t="n"/>
      <c r="BF316" s="106" t="n"/>
      <c r="BG316" s="106" t="n"/>
      <c r="BH316" s="106" t="n"/>
      <c r="BI316" s="106" t="n">
        <v>7272213.90601606</v>
      </c>
      <c r="BJ316" s="106" t="n">
        <v>742671.389347127</v>
      </c>
      <c r="BK316" s="106" t="n">
        <v>43870.5141432</v>
      </c>
      <c r="BL316" s="138" t="n">
        <v>661417.455587619</v>
      </c>
      <c r="BM316" s="113" t="n">
        <f aca="false" ca="true" dt2D="false" dtr="false" t="normal">SUBTOTAL(9, BN316:CB316)</f>
        <v>6842755.731298526</v>
      </c>
      <c r="BN316" s="13" t="n"/>
      <c r="BO316" s="13" t="n"/>
      <c r="BP316" s="13" t="n"/>
      <c r="BQ316" s="106" t="n">
        <v>1613543.15222058</v>
      </c>
      <c r="BR316" s="106" t="n"/>
      <c r="BS316" s="106" t="n"/>
      <c r="BT316" s="106" t="n"/>
      <c r="BU316" s="106" t="n"/>
      <c r="BV316" s="106" t="n"/>
      <c r="BW316" s="106" t="n"/>
      <c r="BX316" s="106" t="n"/>
      <c r="BY316" s="192" t="n">
        <v>3781253.22</v>
      </c>
      <c r="BZ316" s="106" t="n">
        <v>742671.389347127</v>
      </c>
      <c r="CA316" s="106" t="n">
        <v>43870.5141432</v>
      </c>
      <c r="CB316" s="111" t="n">
        <v>661417.455587619</v>
      </c>
      <c r="CD316" s="116" t="n">
        <f aca="false" ca="false" dt2D="false" dtr="false" t="normal">+CD315+1</f>
        <v>297</v>
      </c>
      <c r="CE316" s="117" t="n">
        <f aca="false" ca="false" dt2D="false" dtr="false" t="normal">+CE315+1</f>
        <v>109</v>
      </c>
      <c r="CF316" s="104" t="s">
        <v>111</v>
      </c>
      <c r="CG316" s="117" t="s">
        <v>391</v>
      </c>
      <c r="CH316" s="118" t="n">
        <f aca="false" ca="true" dt2D="false" dtr="false" t="normal">SUBTOTAL(9, CI316:CW316)</f>
        <v>4637612.755587619</v>
      </c>
      <c r="CI316" s="114" t="n"/>
      <c r="CJ316" s="114" t="n"/>
      <c r="CK316" s="114" t="n"/>
      <c r="CL316" s="114" t="n"/>
      <c r="CM316" s="114" t="n"/>
      <c r="CN316" s="114" t="n"/>
      <c r="CO316" s="114" t="n"/>
      <c r="CP316" s="114" t="n"/>
      <c r="CQ316" s="114" t="n"/>
      <c r="CR316" s="114" t="n"/>
      <c r="CS316" s="114" t="n"/>
      <c r="CT316" s="114" t="n">
        <v>3781253.22</v>
      </c>
      <c r="CU316" s="114" t="n">
        <v>188942.08</v>
      </c>
      <c r="CV316" s="114" t="n">
        <v>6000</v>
      </c>
      <c r="CW316" s="115" t="n">
        <v>661417.455587619</v>
      </c>
      <c r="CZ316" s="117" t="s">
        <v>391</v>
      </c>
      <c r="DA316" s="119" t="n">
        <f aca="false" ca="true" dt2D="false" dtr="false" t="normal">SUBTOTAL(9, DB316:DP316)</f>
        <v>3976195.3000000003</v>
      </c>
      <c r="DB316" s="114" t="n"/>
      <c r="DC316" s="114" t="n"/>
      <c r="DD316" s="114" t="n"/>
      <c r="DE316" s="114" t="n"/>
      <c r="DF316" s="114" t="n"/>
      <c r="DG316" s="114" t="n"/>
      <c r="DH316" s="114" t="n"/>
      <c r="DI316" s="114" t="n"/>
      <c r="DJ316" s="114" t="n"/>
      <c r="DK316" s="114" t="n"/>
      <c r="DL316" s="114" t="n"/>
      <c r="DM316" s="114" t="n">
        <v>3781253.22</v>
      </c>
      <c r="DN316" s="114" t="n">
        <v>188942.08</v>
      </c>
      <c r="DO316" s="114" t="n">
        <v>6000</v>
      </c>
      <c r="DP316" s="122" t="n"/>
      <c r="DQ316" s="3" t="n">
        <f aca="false" ca="false" dt2D="false" dtr="false" t="normal">N316-DA316</f>
        <v>0</v>
      </c>
      <c r="DS316" s="9" t="n"/>
    </row>
    <row hidden="false" ht="15" outlineLevel="0" r="317">
      <c r="A317" s="183" t="n">
        <f aca="false" ca="false" dt2D="false" dtr="false" t="normal">+A316+1</f>
        <v>298</v>
      </c>
      <c r="B317" s="184" t="n">
        <f aca="false" ca="false" dt2D="false" dtr="false" t="normal">+B316+1</f>
        <v>110</v>
      </c>
      <c r="C317" s="117" t="s">
        <v>111</v>
      </c>
      <c r="D317" s="117" t="s">
        <v>197</v>
      </c>
      <c r="E317" s="105" t="n">
        <v>1975</v>
      </c>
      <c r="F317" s="105" t="n">
        <v>2013</v>
      </c>
      <c r="G317" s="105" t="s">
        <v>68</v>
      </c>
      <c r="H317" s="105" t="n">
        <v>4</v>
      </c>
      <c r="I317" s="105" t="n">
        <v>6</v>
      </c>
      <c r="J317" s="106" t="n">
        <v>5531.3</v>
      </c>
      <c r="K317" s="106" t="n">
        <v>4842.7</v>
      </c>
      <c r="L317" s="106" t="n">
        <v>189.7</v>
      </c>
      <c r="M317" s="107" t="n">
        <v>224</v>
      </c>
      <c r="N317" s="108" t="n">
        <f aca="false" ca="false" dt2D="false" dtr="false" t="normal">SUM(P317:T317)</f>
        <v>14411004.84</v>
      </c>
      <c r="O317" s="114" t="n"/>
      <c r="P317" s="114" t="n">
        <v>10669071.29</v>
      </c>
      <c r="Q317" s="114" t="n"/>
      <c r="R317" s="114" t="n">
        <v>242999.65</v>
      </c>
      <c r="S317" s="114" t="n">
        <v>3498933.9</v>
      </c>
      <c r="T317" s="114" t="n"/>
      <c r="U317" s="106" t="n">
        <v>5890.55104265599</v>
      </c>
      <c r="V317" s="106" t="n">
        <v>5890.55104265599</v>
      </c>
      <c r="W317" s="185" t="n">
        <v>2023</v>
      </c>
      <c r="X317" s="9" t="e">
        <f aca="false" ca="false" dt2D="false" dtr="false" t="normal">+#REF!-'[9]Приложение №1'!$P1106</f>
        <v>#REF!</v>
      </c>
      <c r="Z317" s="113" t="n">
        <f aca="false" ca="false" dt2D="false" dtr="false" t="normal">SUM(AA317:AO317)</f>
        <v>87511152</v>
      </c>
      <c r="AA317" s="106" t="n">
        <v>8013494.387808</v>
      </c>
      <c r="AB317" s="106" t="n">
        <v>4634422.877952</v>
      </c>
      <c r="AC317" s="106" t="n">
        <v>4898928.123936</v>
      </c>
      <c r="AD317" s="106" t="n">
        <v>3735474.34176</v>
      </c>
      <c r="AE317" s="106" t="n">
        <v>1492245.532512</v>
      </c>
      <c r="AF317" s="106" t="n"/>
      <c r="AG317" s="106" t="n">
        <v>398188.4256</v>
      </c>
      <c r="AH317" s="106" t="n">
        <v>0</v>
      </c>
      <c r="AI317" s="106" t="n">
        <v>14265240.0912</v>
      </c>
      <c r="AJ317" s="106" t="n">
        <v>0</v>
      </c>
      <c r="AK317" s="106" t="n">
        <v>27696044.559456</v>
      </c>
      <c r="AL317" s="106" t="n">
        <v>10892499.1056</v>
      </c>
      <c r="AM317" s="106" t="n">
        <v>8946956.64</v>
      </c>
      <c r="AN317" s="114" t="n">
        <v>875111.52</v>
      </c>
      <c r="AO317" s="115" t="n">
        <v>1662546.394176</v>
      </c>
      <c r="AP317" s="112" t="n">
        <f aca="false" ca="false" dt2D="false" dtr="false" t="normal">+N317-'Приложение №2'!E317</f>
        <v>0</v>
      </c>
      <c r="AQ317" s="1" t="n">
        <f aca="false" ca="false" dt2D="false" dtr="false" t="normal">2505054.36-114158.29-322925.86</f>
        <v>2067970.21</v>
      </c>
      <c r="AR317" s="3" t="n">
        <f aca="false" ca="false" dt2D="false" dtr="false" t="normal">+(K317*10+L317*20)*12*0.85</f>
        <v>532654.2</v>
      </c>
      <c r="AS317" s="3" t="n">
        <f aca="false" ca="false" dt2D="false" dtr="false" t="normal">+(K317*10+L317*20)*12*30</f>
        <v>18799560</v>
      </c>
      <c r="AT317" s="9" t="n">
        <f aca="false" ca="false" dt2D="false" dtr="false" t="normal">+S317-AS317</f>
        <v>-15300626.1</v>
      </c>
      <c r="AU317" s="9" t="e">
        <f aca="false" ca="false" dt2D="false" dtr="false" t="normal">+P317-'[5]Приложение №1'!$P334</f>
        <v>#REF!</v>
      </c>
      <c r="AV317" s="9" t="e">
        <f aca="false" ca="false" dt2D="false" dtr="false" t="normal">+Q317-'[5]Приложение №1'!$Q334</f>
        <v>#REF!</v>
      </c>
      <c r="AW317" s="113" t="n">
        <f aca="false" ca="true" dt2D="false" dtr="false" t="normal">SUBTOTAL(9, AX317:BL317)</f>
        <v>29643609.067062</v>
      </c>
      <c r="AX317" s="106" t="n"/>
      <c r="AY317" s="106" t="n">
        <v>5132408.83</v>
      </c>
      <c r="AZ317" s="106" t="n">
        <v>3542032.19</v>
      </c>
      <c r="BA317" s="106" t="n">
        <v>4284881.539092</v>
      </c>
      <c r="BB317" s="106" t="n"/>
      <c r="BC317" s="106" t="n"/>
      <c r="BD317" s="106" t="n"/>
      <c r="BE317" s="106" t="n">
        <v>0</v>
      </c>
      <c r="BF317" s="106" t="n">
        <v>15751030.22031</v>
      </c>
      <c r="BG317" s="106" t="n">
        <v>0</v>
      </c>
      <c r="BH317" s="106" t="n"/>
      <c r="BI317" s="106" t="n"/>
      <c r="BJ317" s="106" t="n"/>
      <c r="BK317" s="114" t="n"/>
      <c r="BL317" s="187" t="n">
        <v>933256.28766</v>
      </c>
      <c r="BM317" s="113" t="n">
        <f aca="false" ca="true" dt2D="false" dtr="false" t="normal">SUBTOTAL(9, BN317:CB317)</f>
        <v>24607259.986752</v>
      </c>
      <c r="BN317" s="106" t="n"/>
      <c r="BO317" s="106" t="n">
        <v>5132408.83</v>
      </c>
      <c r="BP317" s="106" t="n">
        <v>3542032.19</v>
      </c>
      <c r="BQ317" s="106" t="n">
        <v>4284881.539092</v>
      </c>
      <c r="BR317" s="106" t="n"/>
      <c r="BS317" s="106" t="n"/>
      <c r="BT317" s="106" t="n"/>
      <c r="BU317" s="106" t="n">
        <v>0</v>
      </c>
      <c r="BV317" s="192" t="n">
        <v>10714681.14</v>
      </c>
      <c r="BW317" s="106" t="n">
        <v>0</v>
      </c>
      <c r="BX317" s="106" t="n"/>
      <c r="BY317" s="106" t="n"/>
      <c r="BZ317" s="106" t="n"/>
      <c r="CA317" s="114" t="n"/>
      <c r="CB317" s="115" t="n">
        <v>933256.28766</v>
      </c>
      <c r="CD317" s="116" t="n">
        <f aca="false" ca="false" dt2D="false" dtr="false" t="normal">+CD316+1</f>
        <v>298</v>
      </c>
      <c r="CE317" s="117" t="n">
        <f aca="false" ca="false" dt2D="false" dtr="false" t="normal">+CE316+1</f>
        <v>110</v>
      </c>
      <c r="CF317" s="104" t="s">
        <v>111</v>
      </c>
      <c r="CG317" s="117" t="s">
        <v>197</v>
      </c>
      <c r="CH317" s="118" t="n">
        <f aca="false" ca="true" dt2D="false" dtr="false" t="normal">SUBTOTAL(9, CI317:CW317)</f>
        <v>15189969.61766</v>
      </c>
      <c r="CI317" s="114" t="n"/>
      <c r="CJ317" s="114" t="n"/>
      <c r="CK317" s="114" t="n">
        <v>3542032.19</v>
      </c>
      <c r="CL317" s="114" t="n"/>
      <c r="CM317" s="114" t="n"/>
      <c r="CN317" s="114" t="n"/>
      <c r="CO317" s="114" t="n"/>
      <c r="CP317" s="114" t="n">
        <v>0</v>
      </c>
      <c r="CQ317" s="114" t="n">
        <v>10714681.14</v>
      </c>
      <c r="CR317" s="114" t="n">
        <v>0</v>
      </c>
      <c r="CS317" s="114" t="n"/>
      <c r="CT317" s="114" t="n"/>
      <c r="CU317" s="114" t="n"/>
      <c r="CV317" s="114" t="n"/>
      <c r="CW317" s="115" t="n">
        <v>933256.28766</v>
      </c>
      <c r="CZ317" s="117" t="s">
        <v>197</v>
      </c>
      <c r="DA317" s="119" t="n">
        <f aca="false" ca="true" dt2D="false" dtr="false" t="normal">SUBTOTAL(9, DB317:DP317)</f>
        <v>14411004.84</v>
      </c>
      <c r="DB317" s="114" t="n"/>
      <c r="DC317" s="114" t="n"/>
      <c r="DD317" s="114" t="n">
        <v>3542032.19</v>
      </c>
      <c r="DE317" s="114" t="n"/>
      <c r="DF317" s="114" t="n"/>
      <c r="DG317" s="114" t="n"/>
      <c r="DH317" s="114" t="n"/>
      <c r="DI317" s="114" t="n">
        <v>0</v>
      </c>
      <c r="DJ317" s="114" t="n">
        <v>10714681.14</v>
      </c>
      <c r="DK317" s="114" t="n">
        <v>0</v>
      </c>
      <c r="DL317" s="114" t="n"/>
      <c r="DM317" s="114" t="n"/>
      <c r="DN317" s="114" t="n"/>
      <c r="DO317" s="114" t="n"/>
      <c r="DP317" s="120" t="n">
        <f aca="false" ca="false" dt2D="false" dtr="false" t="normal">39596.34+114695.17</f>
        <v>154291.51</v>
      </c>
      <c r="DQ317" s="3" t="n">
        <f aca="false" ca="false" dt2D="false" dtr="false" t="normal">N317-DA317</f>
        <v>0</v>
      </c>
      <c r="DS317" s="9" t="n"/>
    </row>
    <row hidden="false" ht="15" outlineLevel="0" r="318">
      <c r="A318" s="183" t="n">
        <f aca="false" ca="false" dt2D="false" dtr="false" t="normal">+A317+1</f>
        <v>299</v>
      </c>
      <c r="B318" s="184" t="n">
        <f aca="false" ca="false" dt2D="false" dtr="false" t="normal">+B317+1</f>
        <v>111</v>
      </c>
      <c r="C318" s="117" t="s">
        <v>111</v>
      </c>
      <c r="D318" s="117" t="s">
        <v>392</v>
      </c>
      <c r="E318" s="105" t="n">
        <v>1984</v>
      </c>
      <c r="F318" s="105" t="n">
        <v>2013</v>
      </c>
      <c r="G318" s="105" t="s">
        <v>68</v>
      </c>
      <c r="H318" s="105" t="n">
        <v>5</v>
      </c>
      <c r="I318" s="105" t="n">
        <v>6</v>
      </c>
      <c r="J318" s="106" t="n">
        <v>7065.3</v>
      </c>
      <c r="K318" s="106" t="n">
        <v>6214.8</v>
      </c>
      <c r="L318" s="106" t="n">
        <v>0</v>
      </c>
      <c r="M318" s="107" t="n">
        <v>231</v>
      </c>
      <c r="N318" s="108" t="n">
        <f aca="false" ca="false" dt2D="false" dtr="false" t="normal">SUM(P318:T318)</f>
        <v>41231126.86</v>
      </c>
      <c r="O318" s="114" t="n"/>
      <c r="P318" s="114" t="n">
        <v>10971366.01</v>
      </c>
      <c r="Q318" s="114" t="n"/>
      <c r="R318" s="114" t="n">
        <v>4107609.7</v>
      </c>
      <c r="S318" s="114" t="n">
        <v>26152151.15</v>
      </c>
      <c r="T318" s="114" t="n"/>
      <c r="U318" s="114" t="n">
        <v>8369.80409065686</v>
      </c>
      <c r="V318" s="114" t="n">
        <v>1340.283020064</v>
      </c>
      <c r="W318" s="185" t="n">
        <v>2023</v>
      </c>
      <c r="X318" s="9" t="e">
        <f aca="false" ca="false" dt2D="false" dtr="false" t="normal">+#REF!-'[9]Приложение №1'!$P1107</f>
        <v>#REF!</v>
      </c>
      <c r="Z318" s="113" t="n">
        <f aca="false" ca="false" dt2D="false" dtr="false" t="normal">SUM(AA318:AO318)</f>
        <v>77406979.77629332</v>
      </c>
      <c r="AA318" s="106" t="n">
        <v>10370296.4794939</v>
      </c>
      <c r="AB318" s="106" t="n">
        <v>5997425.9547111</v>
      </c>
      <c r="AC318" s="106" t="n">
        <v>6339723.29651514</v>
      </c>
      <c r="AD318" s="106" t="n">
        <v>4834092.91014804</v>
      </c>
      <c r="AE318" s="106" t="n">
        <v>1931121.1633392</v>
      </c>
      <c r="AF318" s="106" t="n"/>
      <c r="AG318" s="106" t="n">
        <v>515297.3006874</v>
      </c>
      <c r="AH318" s="106" t="n">
        <v>0</v>
      </c>
      <c r="AI318" s="106" t="n">
        <v>18460706.644926</v>
      </c>
      <c r="AJ318" s="106" t="n">
        <v>0</v>
      </c>
      <c r="AK318" s="106" t="n"/>
      <c r="AL318" s="106" t="n">
        <v>14096028.4779699</v>
      </c>
      <c r="AM318" s="106" t="n">
        <v>11578293.868</v>
      </c>
      <c r="AN318" s="114" t="n">
        <v>1132485.4644</v>
      </c>
      <c r="AO318" s="115" t="n">
        <v>2151508.21610264</v>
      </c>
      <c r="AP318" s="112" t="n">
        <f aca="false" ca="false" dt2D="false" dtr="false" t="normal">+N318-'Приложение №2'!E318</f>
        <v>0</v>
      </c>
      <c r="AQ318" s="121" t="n">
        <v>3442004.62</v>
      </c>
      <c r="AR318" s="3" t="n">
        <f aca="false" ca="false" dt2D="false" dtr="false" t="normal">+(K318*10.5+L318*21)*12*0.85</f>
        <v>665605.0800000001</v>
      </c>
      <c r="AS318" s="3" t="n">
        <f aca="false" ca="false" dt2D="false" dtr="false" t="normal">+(K318*10.5+L318*21)*12*30</f>
        <v>23491944</v>
      </c>
      <c r="AT318" s="9" t="n">
        <f aca="false" ca="false" dt2D="false" dtr="false" t="normal">+S318-AS318</f>
        <v>2660207.1499999985</v>
      </c>
      <c r="AU318" s="9" t="e">
        <f aca="false" ca="false" dt2D="false" dtr="false" t="normal">+P318-'[5]Приложение №1'!$P620</f>
        <v>#REF!</v>
      </c>
      <c r="AV318" s="9" t="e">
        <f aca="false" ca="false" dt2D="false" dtr="false" t="normal">+Q318-'[5]Приложение №1'!$Q620</f>
        <v>#REF!</v>
      </c>
      <c r="AW318" s="186" t="n">
        <f aca="false" ca="true" dt2D="false" dtr="false" t="normal">SUBTOTAL(9, AX318:BL318)</f>
        <v>64125760.00225138</v>
      </c>
      <c r="AX318" s="106" t="n">
        <v>11363498.13</v>
      </c>
      <c r="AY318" s="106" t="n">
        <v>5997425.9547111</v>
      </c>
      <c r="AZ318" s="106" t="n">
        <v>6339723.29651514</v>
      </c>
      <c r="BA318" s="106" t="n">
        <v>5243801.69</v>
      </c>
      <c r="BB318" s="106" t="n"/>
      <c r="BC318" s="106" t="n"/>
      <c r="BD318" s="106" t="n">
        <v>515297.3006874</v>
      </c>
      <c r="BE318" s="106" t="n">
        <v>0</v>
      </c>
      <c r="BF318" s="106" t="n">
        <v>18460706.644926</v>
      </c>
      <c r="BG318" s="106" t="n">
        <v>0</v>
      </c>
      <c r="BH318" s="106" t="n"/>
      <c r="BI318" s="106" t="n">
        <v>14096028.4779699</v>
      </c>
      <c r="BJ318" s="106" t="n"/>
      <c r="BK318" s="114" t="n"/>
      <c r="BL318" s="187" t="n">
        <v>2109278.50744184</v>
      </c>
      <c r="BM318" s="186" t="n">
        <f aca="false" ca="true" dt2D="false" dtr="false" t="normal">SUBTOTAL(9, BN318:CB318)</f>
        <v>43855702.668129236</v>
      </c>
      <c r="BN318" s="106" t="n">
        <v>10074980.95</v>
      </c>
      <c r="BO318" s="106" t="n">
        <v>4483956.54</v>
      </c>
      <c r="BP318" s="106" t="n">
        <v>3411282.04</v>
      </c>
      <c r="BQ318" s="106" t="n">
        <v>5243801.69</v>
      </c>
      <c r="BR318" s="106" t="n"/>
      <c r="BS318" s="106" t="n"/>
      <c r="BT318" s="106" t="n">
        <v>515297.3006874</v>
      </c>
      <c r="BU318" s="106" t="n">
        <v>0</v>
      </c>
      <c r="BV318" s="106" t="n">
        <v>9153591.7</v>
      </c>
      <c r="BW318" s="106" t="n">
        <v>0</v>
      </c>
      <c r="BX318" s="106" t="n"/>
      <c r="BY318" s="106" t="n">
        <v>8863513.94</v>
      </c>
      <c r="BZ318" s="106" t="n"/>
      <c r="CA318" s="114" t="n"/>
      <c r="CB318" s="115" t="n">
        <v>2109278.50744184</v>
      </c>
      <c r="CD318" s="116" t="n">
        <f aca="false" ca="false" dt2D="false" dtr="false" t="normal">+CD317+1</f>
        <v>299</v>
      </c>
      <c r="CE318" s="117" t="n">
        <f aca="false" ca="false" dt2D="false" dtr="false" t="normal">+CE317+1</f>
        <v>111</v>
      </c>
      <c r="CF318" s="104" t="s">
        <v>111</v>
      </c>
      <c r="CG318" s="117" t="s">
        <v>392</v>
      </c>
      <c r="CH318" s="188" t="n">
        <f aca="false" ca="true" dt2D="false" dtr="false" t="normal">SUBTOTAL(9, CI318:CW318)</f>
        <v>43340405.36744184</v>
      </c>
      <c r="CI318" s="114" t="n">
        <v>10074980.95</v>
      </c>
      <c r="CJ318" s="114" t="n">
        <v>4483956.54</v>
      </c>
      <c r="CK318" s="114" t="n">
        <v>3411282.04</v>
      </c>
      <c r="CL318" s="114" t="n">
        <v>5243801.69</v>
      </c>
      <c r="CM318" s="114" t="n"/>
      <c r="CN318" s="114" t="n"/>
      <c r="CO318" s="114" t="n"/>
      <c r="CP318" s="114" t="n">
        <v>0</v>
      </c>
      <c r="CQ318" s="114" t="n">
        <v>9153591.7</v>
      </c>
      <c r="CR318" s="114" t="n">
        <v>0</v>
      </c>
      <c r="CS318" s="114" t="n"/>
      <c r="CT318" s="114" t="n">
        <v>8863513.94</v>
      </c>
      <c r="CU318" s="114" t="n"/>
      <c r="CV318" s="114" t="n"/>
      <c r="CW318" s="115" t="n">
        <v>2109278.50744184</v>
      </c>
      <c r="CZ318" s="117" t="s">
        <v>392</v>
      </c>
      <c r="DA318" s="189" t="n">
        <f aca="false" ca="true" dt2D="false" dtr="false" t="normal">SUBTOTAL(9, DB318:DP318)</f>
        <v>41231126.86</v>
      </c>
      <c r="DB318" s="114" t="n">
        <v>10074980.95</v>
      </c>
      <c r="DC318" s="114" t="n">
        <v>4483956.54</v>
      </c>
      <c r="DD318" s="114" t="n">
        <v>3411282.04</v>
      </c>
      <c r="DE318" s="114" t="n">
        <v>5243801.69</v>
      </c>
      <c r="DF318" s="114" t="n"/>
      <c r="DG318" s="114" t="n"/>
      <c r="DH318" s="114" t="n"/>
      <c r="DI318" s="114" t="n">
        <v>0</v>
      </c>
      <c r="DJ318" s="114" t="n">
        <v>9153591.7</v>
      </c>
      <c r="DK318" s="114" t="n">
        <v>0</v>
      </c>
      <c r="DL318" s="114" t="n"/>
      <c r="DM318" s="114" t="n">
        <v>8863513.94</v>
      </c>
      <c r="DN318" s="114" t="n"/>
      <c r="DO318" s="114" t="n"/>
      <c r="DP318" s="122" t="n"/>
      <c r="DQ318" s="3" t="n">
        <f aca="false" ca="false" dt2D="false" dtr="false" t="normal">N318-DA318</f>
        <v>0</v>
      </c>
      <c r="DS318" s="9" t="n"/>
    </row>
    <row hidden="false" ht="15" outlineLevel="0" r="319">
      <c r="A319" s="183" t="n">
        <f aca="false" ca="false" dt2D="false" dtr="false" t="normal">+A318+1</f>
        <v>300</v>
      </c>
      <c r="B319" s="184" t="n">
        <f aca="false" ca="false" dt2D="false" dtr="false" t="normal">+B318+1</f>
        <v>112</v>
      </c>
      <c r="C319" s="104" t="s">
        <v>111</v>
      </c>
      <c r="D319" s="104" t="s">
        <v>194</v>
      </c>
      <c r="E319" s="105" t="n">
        <v>1977</v>
      </c>
      <c r="F319" s="105" t="n">
        <v>2013</v>
      </c>
      <c r="G319" s="105" t="s">
        <v>68</v>
      </c>
      <c r="H319" s="105" t="n">
        <v>9</v>
      </c>
      <c r="I319" s="105" t="n">
        <v>1</v>
      </c>
      <c r="J319" s="106" t="n">
        <v>2365.99</v>
      </c>
      <c r="K319" s="106" t="n">
        <v>1903.5</v>
      </c>
      <c r="L319" s="106" t="n">
        <v>136</v>
      </c>
      <c r="M319" s="107" t="n">
        <v>70</v>
      </c>
      <c r="N319" s="108" t="n">
        <f aca="false" ca="false" dt2D="false" dtr="false" t="normal">SUM(P319:T319)</f>
        <v>2721466.55</v>
      </c>
      <c r="O319" s="106" t="n"/>
      <c r="P319" s="114" t="n">
        <v>1617078.18</v>
      </c>
      <c r="Q319" s="114" t="n"/>
      <c r="R319" s="114" t="n"/>
      <c r="S319" s="114" t="n">
        <v>1104388.37</v>
      </c>
      <c r="T319" s="106" t="n"/>
      <c r="U319" s="114" t="n">
        <v>2456.01274302308</v>
      </c>
      <c r="V319" s="114" t="n">
        <v>2456.01274302308</v>
      </c>
      <c r="W319" s="185" t="n">
        <v>2023</v>
      </c>
      <c r="X319" s="9" t="e">
        <f aca="false" ca="false" dt2D="false" dtr="false" t="normal">+#REF!-'[9]Приложение №1'!$P950</f>
        <v>#REF!</v>
      </c>
      <c r="Z319" s="113" t="n">
        <f aca="false" ca="false" dt2D="false" dtr="false" t="normal">SUM(AA319:AO319)</f>
        <v>26854433.35999996</v>
      </c>
      <c r="AA319" s="106" t="n">
        <v>3681294.56455488</v>
      </c>
      <c r="AB319" s="106" t="n">
        <v>2450899.70770344</v>
      </c>
      <c r="AC319" s="106" t="n">
        <v>0</v>
      </c>
      <c r="AD319" s="106" t="n">
        <v>1346040.42000708</v>
      </c>
      <c r="AE319" s="106" t="n">
        <v>491527.90003842</v>
      </c>
      <c r="AF319" s="106" t="n"/>
      <c r="AG319" s="106" t="n">
        <v>205504.3080006</v>
      </c>
      <c r="AH319" s="106" t="n">
        <v>0</v>
      </c>
      <c r="AI319" s="106" t="n">
        <v>0</v>
      </c>
      <c r="AJ319" s="106" t="n">
        <v>0</v>
      </c>
      <c r="AK319" s="106" t="n">
        <v>15124062.9163247</v>
      </c>
      <c r="AL319" s="106" t="n">
        <v>0</v>
      </c>
      <c r="AM319" s="106" t="n">
        <v>2777050.0558</v>
      </c>
      <c r="AN319" s="114" t="n">
        <v>268544.3336</v>
      </c>
      <c r="AO319" s="115" t="n">
        <v>509509.15397084</v>
      </c>
      <c r="AP319" s="112" t="n">
        <f aca="false" ca="false" dt2D="false" dtr="false" t="normal">+N319-'Приложение №2'!E319</f>
        <v>0</v>
      </c>
      <c r="AQ319" s="3" t="n">
        <f aca="false" ca="false" dt2D="false" dtr="false" t="normal">1333569.91-680973.2372-75663.69-R128</f>
        <v>398156.4534044199</v>
      </c>
      <c r="AR319" s="3" t="n">
        <f aca="false" ca="false" dt2D="false" dtr="false" t="normal">+(K319*13.29+L319*22.52)*12*0.85</f>
        <v>289274.397</v>
      </c>
      <c r="AS319" s="3" t="n">
        <f aca="false" ca="false" dt2D="false" dtr="false" t="normal">+(K319*13.29+L319*22.52)*12*30-6485.14-39928.49-S128</f>
        <v>9841864.089395579</v>
      </c>
      <c r="AT319" s="9" t="n">
        <f aca="false" ca="false" dt2D="false" dtr="false" t="normal">+S319-AS319</f>
        <v>-8737475.719395578</v>
      </c>
      <c r="AW319" s="113" t="n">
        <f aca="false" ca="true" dt2D="false" dtr="false" t="normal">SUBTOTAL(9, AX319:BL319)</f>
        <v>5463977.599395581</v>
      </c>
      <c r="AX319" s="106" t="n">
        <v>3176406.16</v>
      </c>
      <c r="AY319" s="106" t="n">
        <v>1063489.17</v>
      </c>
      <c r="AZ319" s="106" t="n">
        <v>0</v>
      </c>
      <c r="BA319" s="106" t="n">
        <v>1045305.74</v>
      </c>
      <c r="BB319" s="106" t="n"/>
      <c r="BC319" s="106" t="n"/>
      <c r="BD319" s="106" t="n"/>
      <c r="BE319" s="106" t="n">
        <v>0</v>
      </c>
      <c r="BF319" s="106" t="n">
        <v>0</v>
      </c>
      <c r="BG319" s="106" t="n">
        <v>0</v>
      </c>
      <c r="BH319" s="106" t="n"/>
      <c r="BI319" s="106" t="n">
        <v>0</v>
      </c>
      <c r="BJ319" s="106" t="n"/>
      <c r="BK319" s="114" t="n"/>
      <c r="BL319" s="187" t="n">
        <v>178776.52939558</v>
      </c>
      <c r="BM319" s="113" t="n">
        <f aca="false" ca="true" dt2D="false" dtr="false" t="normal">SUBTOTAL(9, BN319:CB319)</f>
        <v>5009037.98939558</v>
      </c>
      <c r="BN319" s="106" t="n">
        <v>2721466.55</v>
      </c>
      <c r="BO319" s="106" t="n">
        <v>1063489.17</v>
      </c>
      <c r="BP319" s="106" t="n">
        <v>0</v>
      </c>
      <c r="BQ319" s="106" t="n">
        <v>1045305.74</v>
      </c>
      <c r="BR319" s="106" t="n"/>
      <c r="BS319" s="106" t="n"/>
      <c r="BT319" s="106" t="n"/>
      <c r="BU319" s="106" t="n">
        <v>0</v>
      </c>
      <c r="BV319" s="106" t="n">
        <v>0</v>
      </c>
      <c r="BW319" s="106" t="n">
        <v>0</v>
      </c>
      <c r="BX319" s="106" t="n"/>
      <c r="BY319" s="106" t="n">
        <v>0</v>
      </c>
      <c r="BZ319" s="106" t="n"/>
      <c r="CA319" s="114" t="n"/>
      <c r="CB319" s="115" t="n">
        <v>178776.52939558</v>
      </c>
      <c r="CD319" s="116" t="n">
        <f aca="false" ca="false" dt2D="false" dtr="false" t="normal">+CD318+1</f>
        <v>300</v>
      </c>
      <c r="CE319" s="117" t="n">
        <f aca="false" ca="false" dt2D="false" dtr="false" t="normal">+CE318+1</f>
        <v>112</v>
      </c>
      <c r="CF319" s="104" t="s">
        <v>111</v>
      </c>
      <c r="CG319" s="117" t="s">
        <v>194</v>
      </c>
      <c r="CH319" s="118" t="n">
        <f aca="false" ca="true" dt2D="false" dtr="false" t="normal">SUBTOTAL(9, CI319:CW319)</f>
        <v>2900243.0793955796</v>
      </c>
      <c r="CI319" s="114" t="n">
        <v>2721466.55</v>
      </c>
      <c r="CJ319" s="114" t="n"/>
      <c r="CK319" s="114" t="n">
        <v>0</v>
      </c>
      <c r="CL319" s="114" t="n"/>
      <c r="CM319" s="114" t="n"/>
      <c r="CN319" s="114" t="n"/>
      <c r="CO319" s="114" t="n"/>
      <c r="CP319" s="114" t="n">
        <v>0</v>
      </c>
      <c r="CQ319" s="114" t="n">
        <v>0</v>
      </c>
      <c r="CR319" s="114" t="n">
        <v>0</v>
      </c>
      <c r="CS319" s="114" t="n"/>
      <c r="CT319" s="114" t="n">
        <v>0</v>
      </c>
      <c r="CU319" s="114" t="n"/>
      <c r="CV319" s="114" t="n"/>
      <c r="CW319" s="115" t="n">
        <v>178776.52939558</v>
      </c>
      <c r="CZ319" s="117" t="s">
        <v>194</v>
      </c>
      <c r="DA319" s="119" t="n">
        <f aca="false" ca="true" dt2D="false" dtr="false" t="normal">SUBTOTAL(9, DB319:DP319)</f>
        <v>2721466.55</v>
      </c>
      <c r="DB319" s="114" t="n">
        <v>2721466.55</v>
      </c>
      <c r="DC319" s="114" t="n"/>
      <c r="DD319" s="114" t="n">
        <v>0</v>
      </c>
      <c r="DE319" s="114" t="n"/>
      <c r="DF319" s="114" t="n"/>
      <c r="DG319" s="114" t="n"/>
      <c r="DH319" s="114" t="n"/>
      <c r="DI319" s="114" t="n">
        <v>0</v>
      </c>
      <c r="DJ319" s="114" t="n">
        <v>0</v>
      </c>
      <c r="DK319" s="114" t="n">
        <v>0</v>
      </c>
      <c r="DL319" s="114" t="n"/>
      <c r="DM319" s="114" t="n">
        <v>0</v>
      </c>
      <c r="DN319" s="114" t="n"/>
      <c r="DO319" s="114" t="n"/>
      <c r="DP319" s="122" t="n"/>
      <c r="DQ319" s="3" t="n">
        <f aca="false" ca="false" dt2D="false" dtr="false" t="normal">N319-DA319</f>
        <v>0</v>
      </c>
      <c r="DS319" s="9" t="n"/>
    </row>
    <row hidden="false" ht="15" outlineLevel="0" r="320">
      <c r="A320" s="183" t="n">
        <f aca="false" ca="false" dt2D="false" dtr="false" t="normal">+A319+1</f>
        <v>301</v>
      </c>
      <c r="B320" s="184" t="n">
        <f aca="false" ca="false" dt2D="false" dtr="false" t="normal">+B319+1</f>
        <v>113</v>
      </c>
      <c r="C320" s="117" t="s">
        <v>111</v>
      </c>
      <c r="D320" s="117" t="s">
        <v>393</v>
      </c>
      <c r="E320" s="105" t="n">
        <v>1977</v>
      </c>
      <c r="F320" s="105" t="n">
        <v>2013</v>
      </c>
      <c r="G320" s="105" t="s">
        <v>68</v>
      </c>
      <c r="H320" s="105" t="n">
        <v>9</v>
      </c>
      <c r="I320" s="105" t="n">
        <v>1</v>
      </c>
      <c r="J320" s="106" t="n">
        <v>2366.89</v>
      </c>
      <c r="K320" s="106" t="n">
        <v>1904.8</v>
      </c>
      <c r="L320" s="106" t="n">
        <v>41.8</v>
      </c>
      <c r="M320" s="107" t="n">
        <v>59</v>
      </c>
      <c r="N320" s="108" t="n">
        <f aca="false" ca="false" dt2D="false" dtr="false" t="normal">SUM(P320:T320)</f>
        <v>740900.5900000001</v>
      </c>
      <c r="O320" s="114" t="n"/>
      <c r="P320" s="114" t="n">
        <v>293106.81</v>
      </c>
      <c r="Q320" s="114" t="n"/>
      <c r="R320" s="114" t="n"/>
      <c r="S320" s="114" t="n">
        <v>447793.78</v>
      </c>
      <c r="T320" s="114" t="n"/>
      <c r="U320" s="114" t="n">
        <v>3589.81078929404</v>
      </c>
      <c r="V320" s="114" t="n">
        <v>3589.81078929404</v>
      </c>
      <c r="W320" s="185" t="n">
        <v>2023</v>
      </c>
      <c r="X320" s="9" t="e">
        <f aca="false" ca="false" dt2D="false" dtr="false" t="normal">+#REF!-'[9]Приложение №1'!$P951</f>
        <v>#REF!</v>
      </c>
      <c r="Z320" s="113" t="n">
        <f aca="false" ca="false" dt2D="false" dtr="false" t="normal">SUM(AA320:AO320)</f>
        <v>28541976.04124596</v>
      </c>
      <c r="AA320" s="106" t="n">
        <v>3719699.05</v>
      </c>
      <c r="AB320" s="106" t="n">
        <v>2452058.27684286</v>
      </c>
      <c r="AC320" s="106" t="n">
        <v>1492645.9296378</v>
      </c>
      <c r="AD320" s="106" t="n">
        <v>1346676.71707884</v>
      </c>
      <c r="AE320" s="106" t="n">
        <v>491760.24805782</v>
      </c>
      <c r="AF320" s="106" t="n"/>
      <c r="AG320" s="106" t="n">
        <v>205601.44794672</v>
      </c>
      <c r="AH320" s="106" t="n">
        <v>0</v>
      </c>
      <c r="AI320" s="106" t="n">
        <v>0</v>
      </c>
      <c r="AJ320" s="106" t="n">
        <v>0</v>
      </c>
      <c r="AK320" s="106" t="n">
        <v>15131212.2728768</v>
      </c>
      <c r="AL320" s="106" t="n">
        <v>0</v>
      </c>
      <c r="AM320" s="106" t="n">
        <v>2959194.6141</v>
      </c>
      <c r="AN320" s="114" t="n">
        <v>245562.4751</v>
      </c>
      <c r="AO320" s="115" t="n">
        <v>497565.00960512</v>
      </c>
      <c r="AP320" s="112" t="n">
        <f aca="false" ca="false" dt2D="false" dtr="false" t="normal">+N320-'Приложение №2'!E320</f>
        <v>0</v>
      </c>
      <c r="AQ320" s="1" t="n">
        <f aca="false" ca="false" dt2D="false" dtr="false" t="normal">1227927.06-726007.6004</f>
        <v>501919.45960000006</v>
      </c>
      <c r="AR320" s="3" t="n">
        <f aca="false" ca="false" dt2D="false" dtr="false" t="normal">+(K320*13.29+L320*22.52)*12*0.85</f>
        <v>267812.5056</v>
      </c>
      <c r="AS320" s="3" t="n">
        <f aca="false" ca="false" dt2D="false" dtr="false" t="normal">+(K320*13.29+L320*22.52)*12*30-9115.31</f>
        <v>9443090.769999998</v>
      </c>
      <c r="AT320" s="9" t="n">
        <f aca="false" ca="false" dt2D="false" dtr="false" t="normal">+S320-AS320</f>
        <v>-8995296.989999998</v>
      </c>
      <c r="AW320" s="113" t="n">
        <f aca="false" ca="true" dt2D="false" dtr="false" t="normal">SUBTOTAL(9, AX320:BL320)</f>
        <v>6987925.68243978</v>
      </c>
      <c r="AX320" s="106" t="n">
        <v>3719699.05</v>
      </c>
      <c r="AY320" s="106" t="n">
        <v>1063489.17</v>
      </c>
      <c r="AZ320" s="106" t="n">
        <v>740900.59</v>
      </c>
      <c r="BA320" s="106" t="n">
        <v>1307914.63</v>
      </c>
      <c r="BB320" s="106" t="n"/>
      <c r="BC320" s="106" t="n"/>
      <c r="BD320" s="106" t="n"/>
      <c r="BE320" s="106" t="n">
        <v>0</v>
      </c>
      <c r="BF320" s="106" t="n">
        <v>0</v>
      </c>
      <c r="BG320" s="106" t="n">
        <v>0</v>
      </c>
      <c r="BH320" s="106" t="n"/>
      <c r="BI320" s="106" t="n">
        <v>0</v>
      </c>
      <c r="BJ320" s="106" t="n"/>
      <c r="BK320" s="114" t="n"/>
      <c r="BL320" s="187" t="n">
        <v>155922.24243978</v>
      </c>
      <c r="BM320" s="113" t="n">
        <f aca="false" ca="true" dt2D="false" dtr="false" t="normal">SUBTOTAL(9, BN320:CB320)</f>
        <v>6987925.68243978</v>
      </c>
      <c r="BN320" s="106" t="n">
        <v>3719699.05</v>
      </c>
      <c r="BO320" s="106" t="n">
        <v>1063489.17</v>
      </c>
      <c r="BP320" s="106" t="n">
        <v>740900.59</v>
      </c>
      <c r="BQ320" s="106" t="n">
        <v>1307914.63</v>
      </c>
      <c r="BR320" s="106" t="n"/>
      <c r="BS320" s="106" t="n"/>
      <c r="BT320" s="106" t="n"/>
      <c r="BU320" s="106" t="n">
        <v>0</v>
      </c>
      <c r="BV320" s="106" t="n">
        <v>0</v>
      </c>
      <c r="BW320" s="106" t="n">
        <v>0</v>
      </c>
      <c r="BX320" s="106" t="n"/>
      <c r="BY320" s="106" t="n">
        <v>0</v>
      </c>
      <c r="BZ320" s="106" t="n"/>
      <c r="CA320" s="114" t="n"/>
      <c r="CB320" s="115" t="n">
        <v>155922.24243978</v>
      </c>
      <c r="CD320" s="116" t="n">
        <f aca="false" ca="false" dt2D="false" dtr="false" t="normal">+CD319+1</f>
        <v>301</v>
      </c>
      <c r="CE320" s="117" t="n">
        <f aca="false" ca="false" dt2D="false" dtr="false" t="normal">+CE319+1</f>
        <v>113</v>
      </c>
      <c r="CF320" s="104" t="s">
        <v>111</v>
      </c>
      <c r="CG320" s="117" t="s">
        <v>393</v>
      </c>
      <c r="CH320" s="118" t="n">
        <f aca="false" ca="true" dt2D="false" dtr="false" t="normal">SUBTOTAL(9, CI320:CW320)</f>
        <v>896822.83243978</v>
      </c>
      <c r="CI320" s="114" t="n"/>
      <c r="CJ320" s="114" t="n"/>
      <c r="CK320" s="114" t="n">
        <v>740900.59</v>
      </c>
      <c r="CL320" s="114" t="n"/>
      <c r="CM320" s="114" t="n"/>
      <c r="CN320" s="114" t="n"/>
      <c r="CO320" s="114" t="n"/>
      <c r="CP320" s="114" t="n">
        <v>0</v>
      </c>
      <c r="CQ320" s="114" t="n">
        <v>0</v>
      </c>
      <c r="CR320" s="114" t="n">
        <v>0</v>
      </c>
      <c r="CS320" s="114" t="n"/>
      <c r="CT320" s="114" t="n">
        <v>0</v>
      </c>
      <c r="CU320" s="114" t="n"/>
      <c r="CV320" s="114" t="n"/>
      <c r="CW320" s="115" t="n">
        <v>155922.24243978</v>
      </c>
      <c r="CZ320" s="117" t="s">
        <v>393</v>
      </c>
      <c r="DA320" s="119" t="n">
        <f aca="false" ca="true" dt2D="false" dtr="false" t="normal">SUBTOTAL(9, DB320:DP320)</f>
        <v>740900.59</v>
      </c>
      <c r="DB320" s="114" t="n"/>
      <c r="DC320" s="114" t="n"/>
      <c r="DD320" s="114" t="n">
        <v>740900.59</v>
      </c>
      <c r="DE320" s="114" t="n"/>
      <c r="DF320" s="114" t="n"/>
      <c r="DG320" s="114" t="n"/>
      <c r="DH320" s="114" t="n"/>
      <c r="DI320" s="114" t="n">
        <v>0</v>
      </c>
      <c r="DJ320" s="114" t="n">
        <v>0</v>
      </c>
      <c r="DK320" s="114" t="n">
        <v>0</v>
      </c>
      <c r="DL320" s="114" t="n"/>
      <c r="DM320" s="114" t="n">
        <v>0</v>
      </c>
      <c r="DN320" s="114" t="n"/>
      <c r="DO320" s="114" t="n"/>
      <c r="DP320" s="122" t="n"/>
      <c r="DQ320" s="3" t="n">
        <f aca="false" ca="false" dt2D="false" dtr="false" t="normal">N320-DA320</f>
        <v>0</v>
      </c>
      <c r="DS320" s="9" t="n"/>
    </row>
    <row hidden="false" ht="15" outlineLevel="0" r="321">
      <c r="A321" s="183" t="n">
        <f aca="false" ca="false" dt2D="false" dtr="false" t="normal">+A320+1</f>
        <v>302</v>
      </c>
      <c r="B321" s="184" t="n">
        <f aca="false" ca="false" dt2D="false" dtr="false" t="normal">+B320+1</f>
        <v>114</v>
      </c>
      <c r="C321" s="117" t="s">
        <v>111</v>
      </c>
      <c r="D321" s="117" t="s">
        <v>394</v>
      </c>
      <c r="E321" s="105" t="n">
        <v>1994</v>
      </c>
      <c r="F321" s="105" t="n">
        <v>2005</v>
      </c>
      <c r="G321" s="105" t="s">
        <v>68</v>
      </c>
      <c r="H321" s="105" t="n">
        <v>5</v>
      </c>
      <c r="I321" s="105" t="n">
        <v>2</v>
      </c>
      <c r="J321" s="106" t="n">
        <v>2052</v>
      </c>
      <c r="K321" s="106" t="n">
        <v>1876.9</v>
      </c>
      <c r="L321" s="106" t="n">
        <v>0</v>
      </c>
      <c r="M321" s="107" t="n">
        <v>80</v>
      </c>
      <c r="N321" s="108" t="n">
        <f aca="false" ca="false" dt2D="false" dtr="false" t="normal">SUM(P321:T321)</f>
        <v>9608691.68</v>
      </c>
      <c r="O321" s="114" t="n"/>
      <c r="P321" s="114" t="n">
        <v>5762795.10290151</v>
      </c>
      <c r="Q321" s="114" t="n"/>
      <c r="R321" s="114" t="n">
        <v>335067.795</v>
      </c>
      <c r="S321" s="114" t="n">
        <v>3510828.78209849</v>
      </c>
      <c r="T321" s="114" t="n"/>
      <c r="U321" s="114" t="n">
        <v>14282.4062532414</v>
      </c>
      <c r="V321" s="114" t="n">
        <v>1336.283020064</v>
      </c>
      <c r="W321" s="185" t="n">
        <v>2023</v>
      </c>
      <c r="X321" s="9" t="e">
        <f aca="false" ca="false" dt2D="false" dtr="false" t="normal">+#REF!-'[9]Приложение №1'!$P1104</f>
        <v>#REF!</v>
      </c>
      <c r="Z321" s="113" t="n">
        <f aca="false" ca="false" dt2D="false" dtr="false" t="normal">SUM(AA321:AO321)</f>
        <v>30419518.07</v>
      </c>
      <c r="AA321" s="106" t="n">
        <v>4454647.72709502</v>
      </c>
      <c r="AB321" s="106" t="n">
        <v>1587374.11791714</v>
      </c>
      <c r="AC321" s="106" t="n">
        <v>1658452.76095254</v>
      </c>
      <c r="AD321" s="106" t="n">
        <v>1038296.28299628</v>
      </c>
      <c r="AE321" s="106" t="n">
        <v>635267.56802166</v>
      </c>
      <c r="AF321" s="106" t="n"/>
      <c r="AG321" s="106" t="n">
        <v>170937.02604636</v>
      </c>
      <c r="AH321" s="106" t="n">
        <v>0</v>
      </c>
      <c r="AI321" s="106" t="n">
        <v>8143773.8420052</v>
      </c>
      <c r="AJ321" s="106" t="n">
        <v>0</v>
      </c>
      <c r="AK321" s="106" t="n">
        <v>4228285.07826312</v>
      </c>
      <c r="AL321" s="106" t="n">
        <v>4560700.39308282</v>
      </c>
      <c r="AM321" s="106" t="n">
        <v>3058573.6594</v>
      </c>
      <c r="AN321" s="114" t="n">
        <v>304195.1807</v>
      </c>
      <c r="AO321" s="115" t="n">
        <v>579014.43351986</v>
      </c>
      <c r="AP321" s="112" t="n">
        <f aca="false" ca="false" dt2D="false" dtr="false" t="normal">+N321-'Приложение №2'!E321</f>
        <v>0</v>
      </c>
      <c r="AQ321" s="1" t="n">
        <v>1111921.7</v>
      </c>
      <c r="AR321" s="3" t="n">
        <f aca="false" ca="false" dt2D="false" dtr="false" t="normal">+(K321*10.5+L321*21)*12*0.85</f>
        <v>201015.99000000002</v>
      </c>
      <c r="AS321" s="3" t="n">
        <f aca="false" ca="false" dt2D="false" dtr="false" t="normal">+(K321*10.5+L321*21)*12*30</f>
        <v>7094682.000000001</v>
      </c>
      <c r="AT321" s="9" t="n">
        <f aca="false" ca="false" dt2D="false" dtr="false" t="normal">+S321-AS321</f>
        <v>-3583853.217901511</v>
      </c>
      <c r="AU321" s="9" t="e">
        <f aca="false" ca="false" dt2D="false" dtr="false" t="normal">+P321-'[5]Приложение №1'!$P617</f>
        <v>#REF!</v>
      </c>
      <c r="AV321" s="9" t="e">
        <f aca="false" ca="false" dt2D="false" dtr="false" t="normal">+Q321-'[5]Приложение №1'!$Q617</f>
        <v>#REF!</v>
      </c>
      <c r="AW321" s="186" t="n">
        <f aca="false" ca="true" dt2D="false" dtr="false" t="normal">SUBTOTAL(9, AX321:BL321)</f>
        <v>26806648.296708696</v>
      </c>
      <c r="AX321" s="106" t="n">
        <v>4762837.6</v>
      </c>
      <c r="AY321" s="106" t="n">
        <v>1587374.11791714</v>
      </c>
      <c r="AZ321" s="106" t="n">
        <v>1658452.76095254</v>
      </c>
      <c r="BA321" s="106" t="n">
        <v>1129165.06</v>
      </c>
      <c r="BB321" s="106" t="n"/>
      <c r="BC321" s="106" t="n"/>
      <c r="BD321" s="106" t="n">
        <v>170937.02604636</v>
      </c>
      <c r="BE321" s="106" t="n">
        <v>0</v>
      </c>
      <c r="BF321" s="106" t="n">
        <v>8143773.8420052</v>
      </c>
      <c r="BG321" s="106" t="n">
        <v>0</v>
      </c>
      <c r="BH321" s="106" t="n">
        <v>4228285.07826312</v>
      </c>
      <c r="BI321" s="106" t="n">
        <v>4560700.39308282</v>
      </c>
      <c r="BJ321" s="106" t="n"/>
      <c r="BK321" s="114" t="n"/>
      <c r="BL321" s="187" t="n">
        <v>565122.41844152</v>
      </c>
      <c r="BM321" s="186" t="n">
        <f aca="false" ca="true" dt2D="false" dtr="false" t="normal">SUBTOTAL(9, BN321:CB321)</f>
        <v>26806648.296708696</v>
      </c>
      <c r="BN321" s="106" t="n">
        <v>4762837.6</v>
      </c>
      <c r="BO321" s="106" t="n">
        <v>1587374.11791714</v>
      </c>
      <c r="BP321" s="106" t="n">
        <v>1658452.76095254</v>
      </c>
      <c r="BQ321" s="106" t="n">
        <v>1129165.06</v>
      </c>
      <c r="BR321" s="106" t="n"/>
      <c r="BS321" s="106" t="n"/>
      <c r="BT321" s="106" t="n">
        <v>170937.02604636</v>
      </c>
      <c r="BU321" s="106" t="n">
        <v>0</v>
      </c>
      <c r="BV321" s="106" t="n">
        <v>8143773.8420052</v>
      </c>
      <c r="BW321" s="106" t="n">
        <v>0</v>
      </c>
      <c r="BX321" s="106" t="n">
        <v>4228285.07826312</v>
      </c>
      <c r="BY321" s="106" t="n">
        <v>4560700.39308282</v>
      </c>
      <c r="BZ321" s="106" t="n"/>
      <c r="CA321" s="114" t="n"/>
      <c r="CB321" s="115" t="n">
        <v>565122.41844152</v>
      </c>
      <c r="CD321" s="116" t="n">
        <f aca="false" ca="false" dt2D="false" dtr="false" t="normal">+CD320+1</f>
        <v>302</v>
      </c>
      <c r="CE321" s="117" t="n">
        <f aca="false" ca="false" dt2D="false" dtr="false" t="normal">+CE320+1</f>
        <v>114</v>
      </c>
      <c r="CF321" s="104" t="s">
        <v>111</v>
      </c>
      <c r="CG321" s="117" t="s">
        <v>394</v>
      </c>
      <c r="CH321" s="188" t="n">
        <f aca="false" ca="true" dt2D="false" dtr="false" t="normal">SUBTOTAL(9, CI321:CW321)</f>
        <v>10173814.098441519</v>
      </c>
      <c r="CI321" s="114" t="n"/>
      <c r="CJ321" s="114" t="n"/>
      <c r="CK321" s="114" t="n">
        <v>691534.88</v>
      </c>
      <c r="CL321" s="114" t="n"/>
      <c r="CM321" s="114" t="n"/>
      <c r="CN321" s="114" t="n"/>
      <c r="CO321" s="114" t="n"/>
      <c r="CP321" s="114" t="n">
        <v>0</v>
      </c>
      <c r="CQ321" s="114" t="n">
        <v>4297021.2</v>
      </c>
      <c r="CR321" s="114" t="n">
        <v>0</v>
      </c>
      <c r="CS321" s="114" t="n">
        <v>4620135.6</v>
      </c>
      <c r="CT321" s="114" t="n"/>
      <c r="CU321" s="114" t="n"/>
      <c r="CV321" s="114" t="n"/>
      <c r="CW321" s="115" t="n">
        <v>565122.41844152</v>
      </c>
      <c r="CZ321" s="117" t="s">
        <v>394</v>
      </c>
      <c r="DA321" s="189" t="n">
        <f aca="false" ca="true" dt2D="false" dtr="false" t="normal">SUBTOTAL(9, DB321:DP321)</f>
        <v>9608691.68</v>
      </c>
      <c r="DB321" s="114" t="n"/>
      <c r="DC321" s="114" t="n"/>
      <c r="DD321" s="114" t="n">
        <v>691534.88</v>
      </c>
      <c r="DE321" s="114" t="n"/>
      <c r="DF321" s="114" t="n"/>
      <c r="DG321" s="114" t="n"/>
      <c r="DH321" s="114" t="n"/>
      <c r="DI321" s="114" t="n">
        <v>0</v>
      </c>
      <c r="DJ321" s="114" t="n">
        <v>4297021.2</v>
      </c>
      <c r="DK321" s="114" t="n">
        <v>0</v>
      </c>
      <c r="DL321" s="114" t="n">
        <v>4620135.6</v>
      </c>
      <c r="DM321" s="114" t="n"/>
      <c r="DN321" s="114" t="n"/>
      <c r="DO321" s="114" t="n"/>
      <c r="DP321" s="122" t="n"/>
      <c r="DQ321" s="3" t="n">
        <f aca="false" ca="false" dt2D="false" dtr="false" t="normal">N321-DA321</f>
        <v>0</v>
      </c>
      <c r="DS321" s="9" t="n"/>
    </row>
    <row hidden="false" ht="15" outlineLevel="0" r="322">
      <c r="A322" s="183" t="n">
        <f aca="false" ca="false" dt2D="false" dtr="false" t="normal">+A321+1</f>
        <v>303</v>
      </c>
      <c r="B322" s="184" t="n">
        <f aca="false" ca="false" dt2D="false" dtr="false" t="normal">+B321+1</f>
        <v>115</v>
      </c>
      <c r="C322" s="104" t="s">
        <v>111</v>
      </c>
      <c r="D322" s="104" t="s">
        <v>395</v>
      </c>
      <c r="E322" s="105" t="n">
        <v>1978</v>
      </c>
      <c r="F322" s="105" t="n">
        <v>2013</v>
      </c>
      <c r="G322" s="105" t="s">
        <v>68</v>
      </c>
      <c r="H322" s="105" t="n">
        <v>4</v>
      </c>
      <c r="I322" s="105" t="n">
        <v>4</v>
      </c>
      <c r="J322" s="106" t="n">
        <v>3933.3</v>
      </c>
      <c r="K322" s="106" t="n">
        <v>3440.6</v>
      </c>
      <c r="L322" s="106" t="n">
        <v>0</v>
      </c>
      <c r="M322" s="107" t="n">
        <v>158</v>
      </c>
      <c r="N322" s="108" t="n">
        <f aca="false" ca="false" dt2D="false" dtr="false" t="normal">SUM(P322:T322)</f>
        <v>9943011.63</v>
      </c>
      <c r="O322" s="106" t="n"/>
      <c r="P322" s="114" t="n"/>
      <c r="Q322" s="114" t="n"/>
      <c r="R322" s="114" t="n">
        <v>1030658.64</v>
      </c>
      <c r="S322" s="114" t="n">
        <v>8912352.99</v>
      </c>
      <c r="T322" s="114" t="n"/>
      <c r="U322" s="114" t="n">
        <v>1627.66087602203</v>
      </c>
      <c r="V322" s="114" t="n">
        <v>1338.283020064</v>
      </c>
      <c r="W322" s="185" t="n">
        <v>2023</v>
      </c>
      <c r="X322" s="9" t="e">
        <f aca="false" ca="false" dt2D="false" dtr="false" t="normal">+#REF!-'[9]Приложение №1'!$P848</f>
        <v>#REF!</v>
      </c>
      <c r="Z322" s="113" t="n">
        <f aca="false" ca="false" dt2D="false" dtr="false" t="normal">SUM(AA322:AO322)</f>
        <v>19368823.83</v>
      </c>
      <c r="AA322" s="106" t="n">
        <v>5746844.10798498</v>
      </c>
      <c r="AB322" s="106" t="n">
        <v>3323557.05856986</v>
      </c>
      <c r="AC322" s="106" t="n">
        <v>3513245.89275114</v>
      </c>
      <c r="AD322" s="106" t="n">
        <v>2678879.85971676</v>
      </c>
      <c r="AE322" s="106" t="n">
        <v>1070157.66392556</v>
      </c>
      <c r="AF322" s="106" t="n"/>
      <c r="AG322" s="106" t="n">
        <v>285559.1703006</v>
      </c>
      <c r="AH322" s="106" t="n">
        <v>0</v>
      </c>
      <c r="AI322" s="106" t="n">
        <v>0</v>
      </c>
      <c r="AJ322" s="106" t="n">
        <v>0</v>
      </c>
      <c r="AK322" s="106" t="n">
        <v>0</v>
      </c>
      <c r="AL322" s="106" t="n">
        <v>0</v>
      </c>
      <c r="AM322" s="106" t="n">
        <v>2193484.5052</v>
      </c>
      <c r="AN322" s="114" t="n">
        <v>193688.2383</v>
      </c>
      <c r="AO322" s="115" t="n">
        <v>363407.3332511</v>
      </c>
      <c r="AP322" s="112" t="n">
        <f aca="false" ca="false" dt2D="false" dtr="false" t="normal">+N322-'Приложение №2'!E322</f>
        <v>0</v>
      </c>
      <c r="AQ322" s="1" t="n">
        <f aca="false" ca="false" dt2D="false" dtr="false" t="normal">2137015.38-102526.12</f>
        <v>2034489.2599999998</v>
      </c>
      <c r="AR322" s="3" t="n">
        <f aca="false" ca="false" dt2D="false" dtr="false" t="normal">+(K322*10.5+L322*21)*12*0.85</f>
        <v>368488.25999999995</v>
      </c>
      <c r="AS322" s="3" t="n">
        <f aca="false" ca="false" dt2D="false" dtr="false" t="normal">+(K322*10.5+L322*21)*12*30</f>
        <v>13005468</v>
      </c>
      <c r="AT322" s="9" t="n">
        <f aca="false" ca="false" dt2D="false" dtr="false" t="normal">+S322-AS322</f>
        <v>-4093115.01</v>
      </c>
      <c r="AU322" s="9" t="e">
        <f aca="false" ca="false" dt2D="false" dtr="false" t="normal">+P322-'[5]Приложение №1'!$P362</f>
        <v>#REF!</v>
      </c>
      <c r="AV322" s="9" t="e">
        <f aca="false" ca="false" dt2D="false" dtr="false" t="normal">+Q322-'[5]Приложение №1'!$Q362</f>
        <v>#REF!</v>
      </c>
      <c r="AW322" s="186" t="n">
        <f aca="false" ca="true" dt2D="false" dtr="false" t="normal">SUBTOTAL(9, AX322:BL322)</f>
        <v>7403620.8462694</v>
      </c>
      <c r="AX322" s="106" t="n"/>
      <c r="AY322" s="106" t="n"/>
      <c r="AZ322" s="106" t="n">
        <v>3922818.876228</v>
      </c>
      <c r="BA322" s="106" t="n">
        <v>3084097.660518</v>
      </c>
      <c r="BB322" s="106" t="n"/>
      <c r="BC322" s="106" t="n"/>
      <c r="BD322" s="106" t="n"/>
      <c r="BE322" s="106" t="n">
        <v>0</v>
      </c>
      <c r="BF322" s="106" t="n">
        <v>0</v>
      </c>
      <c r="BG322" s="106" t="n">
        <v>0</v>
      </c>
      <c r="BH322" s="106" t="n">
        <v>0</v>
      </c>
      <c r="BI322" s="106" t="n">
        <v>0</v>
      </c>
      <c r="BJ322" s="106" t="n">
        <v>78950.8795</v>
      </c>
      <c r="BK322" s="114" t="n">
        <v>20977.5895</v>
      </c>
      <c r="BL322" s="187" t="n">
        <v>296775.8405234</v>
      </c>
      <c r="BM322" s="186" t="n">
        <f aca="false" ca="true" dt2D="false" dtr="false" t="normal">SUBTOTAL(9, BN322:CB322)</f>
        <v>11101825.413253998</v>
      </c>
      <c r="BN322" s="106" t="n">
        <v>6278778.38343</v>
      </c>
      <c r="BO322" s="106" t="n"/>
      <c r="BP322" s="106" t="n">
        <v>2119328.04</v>
      </c>
      <c r="BQ322" s="106" t="n">
        <v>2021455.51</v>
      </c>
      <c r="BR322" s="106" t="n"/>
      <c r="BS322" s="106" t="n"/>
      <c r="BT322" s="106" t="n">
        <v>285559.1703006</v>
      </c>
      <c r="BU322" s="106" t="n">
        <v>0</v>
      </c>
      <c r="BV322" s="106" t="n">
        <v>0</v>
      </c>
      <c r="BW322" s="106" t="n">
        <v>0</v>
      </c>
      <c r="BX322" s="106" t="n">
        <v>0</v>
      </c>
      <c r="BY322" s="106" t="n">
        <v>0</v>
      </c>
      <c r="BZ322" s="106" t="n">
        <v>78950.8795</v>
      </c>
      <c r="CA322" s="114" t="n">
        <v>20977.5895</v>
      </c>
      <c r="CB322" s="115" t="n">
        <v>296775.8405234</v>
      </c>
      <c r="CD322" s="116" t="n">
        <f aca="false" ca="false" dt2D="false" dtr="false" t="normal">+CD321+1</f>
        <v>303</v>
      </c>
      <c r="CE322" s="117" t="n">
        <f aca="false" ca="false" dt2D="false" dtr="false" t="normal">+CE321+1</f>
        <v>115</v>
      </c>
      <c r="CF322" s="104" t="s">
        <v>111</v>
      </c>
      <c r="CG322" s="117" t="s">
        <v>395</v>
      </c>
      <c r="CH322" s="188" t="n">
        <f aca="false" ca="true" dt2D="false" dtr="false" t="normal">SUBTOTAL(9, CI322:CW322)</f>
        <v>10133628.8405234</v>
      </c>
      <c r="CI322" s="114" t="n">
        <v>5602096.16</v>
      </c>
      <c r="CJ322" s="114" t="n"/>
      <c r="CK322" s="114" t="n">
        <v>2119328.04</v>
      </c>
      <c r="CL322" s="114" t="n">
        <v>2021455.51</v>
      </c>
      <c r="CM322" s="114" t="n"/>
      <c r="CN322" s="114" t="n"/>
      <c r="CO322" s="114" t="n"/>
      <c r="CP322" s="114" t="n">
        <v>0</v>
      </c>
      <c r="CQ322" s="114" t="n">
        <v>0</v>
      </c>
      <c r="CR322" s="114" t="n">
        <v>0</v>
      </c>
      <c r="CS322" s="114" t="n">
        <v>0</v>
      </c>
      <c r="CT322" s="114" t="n">
        <v>0</v>
      </c>
      <c r="CU322" s="114" t="n">
        <v>75973.29</v>
      </c>
      <c r="CV322" s="114" t="n">
        <v>18000</v>
      </c>
      <c r="CW322" s="115" t="n">
        <v>296775.8405234</v>
      </c>
      <c r="CZ322" s="117" t="s">
        <v>395</v>
      </c>
      <c r="DA322" s="189" t="n">
        <f aca="false" ca="true" dt2D="false" dtr="false" t="normal">SUBTOTAL(9, DB322:DP322)</f>
        <v>9943011.63</v>
      </c>
      <c r="DB322" s="114" t="n">
        <v>5602096.16</v>
      </c>
      <c r="DC322" s="114" t="n"/>
      <c r="DD322" s="114" t="n">
        <v>2119328.04</v>
      </c>
      <c r="DE322" s="114" t="n">
        <v>2021455.51</v>
      </c>
      <c r="DF322" s="114" t="n"/>
      <c r="DG322" s="114" t="n"/>
      <c r="DH322" s="114" t="n"/>
      <c r="DI322" s="114" t="n">
        <v>0</v>
      </c>
      <c r="DJ322" s="114" t="n">
        <v>0</v>
      </c>
      <c r="DK322" s="114" t="n">
        <v>0</v>
      </c>
      <c r="DL322" s="114" t="n">
        <v>0</v>
      </c>
      <c r="DM322" s="114" t="n">
        <v>0</v>
      </c>
      <c r="DN322" s="114" t="n">
        <v>75973.29</v>
      </c>
      <c r="DO322" s="114" t="n">
        <v>18000</v>
      </c>
      <c r="DP322" s="120" t="n">
        <f aca="false" ca="false" dt2D="false" dtr="false" t="normal">57091.46+25343.66+23723.51</f>
        <v>106158.62999999999</v>
      </c>
      <c r="DQ322" s="3" t="n">
        <f aca="false" ca="false" dt2D="false" dtr="false" t="normal">N322-DA322</f>
        <v>0</v>
      </c>
      <c r="DS322" s="9" t="n"/>
    </row>
    <row hidden="false" ht="15" outlineLevel="0" r="323">
      <c r="A323" s="207" t="n">
        <f aca="false" ca="false" dt2D="false" dtr="false" t="normal">+A322+1</f>
        <v>304</v>
      </c>
      <c r="B323" s="207" t="n">
        <f aca="false" ca="false" dt2D="false" dtr="false" t="normal">+B322+1</f>
        <v>116</v>
      </c>
      <c r="C323" s="208" t="s">
        <v>396</v>
      </c>
      <c r="D323" s="208" t="s">
        <v>397</v>
      </c>
      <c r="E323" s="209" t="s">
        <v>367</v>
      </c>
      <c r="F323" s="209" t="n"/>
      <c r="G323" s="209" t="s">
        <v>68</v>
      </c>
      <c r="H323" s="209" t="s">
        <v>105</v>
      </c>
      <c r="I323" s="209" t="s">
        <v>105</v>
      </c>
      <c r="J323" s="210" t="n">
        <v>799.54</v>
      </c>
      <c r="K323" s="210" t="n">
        <v>733.52</v>
      </c>
      <c r="L323" s="210" t="n">
        <v>0</v>
      </c>
      <c r="M323" s="210" t="n">
        <v>29</v>
      </c>
      <c r="N323" s="108" t="n">
        <f aca="false" ca="false" dt2D="false" dtr="false" t="normal">SUM(P323:T323)</f>
        <v>4371808.87</v>
      </c>
      <c r="O323" s="208" t="n"/>
      <c r="P323" s="211" t="n">
        <v>1006518.21</v>
      </c>
      <c r="Q323" s="114" t="n">
        <v>507855.56</v>
      </c>
      <c r="R323" s="114" t="n">
        <v>461470.002</v>
      </c>
      <c r="S323" s="114" t="n">
        <v>2395965.098</v>
      </c>
      <c r="T323" s="114" t="n"/>
      <c r="U323" s="114" t="n">
        <v>8420.69037638175</v>
      </c>
      <c r="V323" s="114" t="n">
        <v>8420.69037638175</v>
      </c>
      <c r="W323" s="185" t="n">
        <v>2023</v>
      </c>
      <c r="X323" s="9" t="n"/>
      <c r="Z323" s="113" t="n"/>
      <c r="AA323" s="106" t="n"/>
      <c r="AB323" s="106" t="n"/>
      <c r="AC323" s="106" t="n"/>
      <c r="AD323" s="106" t="n"/>
      <c r="AE323" s="106" t="n"/>
      <c r="AF323" s="106" t="n"/>
      <c r="AG323" s="106" t="n"/>
      <c r="AH323" s="106" t="n"/>
      <c r="AI323" s="106" t="n"/>
      <c r="AJ323" s="106" t="n"/>
      <c r="AK323" s="106" t="n"/>
      <c r="AL323" s="106" t="n"/>
      <c r="AM323" s="106" t="n"/>
      <c r="AN323" s="114" t="n"/>
      <c r="AO323" s="115" t="n"/>
      <c r="AP323" s="112" t="n"/>
      <c r="AQ323" s="1" t="n">
        <v>382910.01</v>
      </c>
      <c r="AR323" s="3" t="n">
        <v>78559.992</v>
      </c>
      <c r="AS323" s="3" t="n">
        <v>2772705.6</v>
      </c>
      <c r="AT323" s="9" t="n">
        <f aca="false" ca="false" dt2D="false" dtr="false" t="normal">+S323-AS323</f>
        <v>-376740.50199999986</v>
      </c>
      <c r="AW323" s="113" t="n">
        <f aca="false" ca="false" dt2D="false" dtr="false" t="normal">SUM(AX323:BL323)</f>
        <v>6176744.804883548</v>
      </c>
      <c r="BH323" s="106" t="n">
        <v>6036733.66605904</v>
      </c>
      <c r="BJ323" s="106" t="n"/>
      <c r="BK323" s="114" t="n">
        <v>8000</v>
      </c>
      <c r="BL323" s="187" t="n">
        <v>132011.138824508</v>
      </c>
      <c r="BM323" s="113" t="n">
        <f aca="false" ca="false" dt2D="false" dtr="false" t="normal">SUM(BN323:CB323)</f>
        <v>6176744.804883548</v>
      </c>
      <c r="BN323" s="104" t="n"/>
      <c r="BO323" s="104" t="n"/>
      <c r="BP323" s="104" t="n"/>
      <c r="BQ323" s="104" t="n"/>
      <c r="BR323" s="104" t="n"/>
      <c r="BS323" s="104" t="n"/>
      <c r="BT323" s="104" t="n"/>
      <c r="BU323" s="104" t="n"/>
      <c r="BV323" s="104" t="n"/>
      <c r="BW323" s="104" t="n"/>
      <c r="BX323" s="106" t="n">
        <v>6036733.66605904</v>
      </c>
      <c r="BY323" s="104" t="n"/>
      <c r="BZ323" s="106" t="n"/>
      <c r="CA323" s="114" t="n">
        <v>8000</v>
      </c>
      <c r="CB323" s="115" t="n">
        <v>132011.138824508</v>
      </c>
      <c r="CD323" s="116" t="n">
        <f aca="false" ca="false" dt2D="false" dtr="false" t="normal">+CD322+1</f>
        <v>304</v>
      </c>
      <c r="CE323" s="117" t="n">
        <f aca="false" ca="false" dt2D="false" dtr="false" t="normal">+CE322+1</f>
        <v>116</v>
      </c>
      <c r="CF323" s="104" t="s">
        <v>396</v>
      </c>
      <c r="CG323" s="117" t="s">
        <v>397</v>
      </c>
      <c r="CH323" s="118" t="n">
        <f aca="false" ca="false" dt2D="false" dtr="false" t="normal">SUM(CI323:CW323)</f>
        <v>4503820.008824508</v>
      </c>
      <c r="CI323" s="117" t="n"/>
      <c r="CJ323" s="114" t="n"/>
      <c r="CK323" s="114" t="n"/>
      <c r="CL323" s="114" t="n"/>
      <c r="CM323" s="114" t="n"/>
      <c r="CN323" s="114" t="n"/>
      <c r="CO323" s="114" t="n"/>
      <c r="CP323" s="114" t="n"/>
      <c r="CQ323" s="114" t="n"/>
      <c r="CR323" s="114" t="n"/>
      <c r="CS323" s="114" t="n">
        <v>4363808.87</v>
      </c>
      <c r="CT323" s="114" t="n"/>
      <c r="CU323" s="114" t="n"/>
      <c r="CV323" s="114" t="n">
        <v>8000</v>
      </c>
      <c r="CW323" s="115" t="n">
        <v>132011.138824508</v>
      </c>
      <c r="CZ323" s="117" t="s">
        <v>397</v>
      </c>
      <c r="DA323" s="119" t="n">
        <f aca="false" ca="false" dt2D="false" dtr="false" t="normal">SUM(DB323:DP323)</f>
        <v>4371808.87</v>
      </c>
      <c r="DB323" s="117" t="n"/>
      <c r="DC323" s="114" t="n"/>
      <c r="DD323" s="114" t="n"/>
      <c r="DE323" s="114" t="n"/>
      <c r="DF323" s="114" t="n"/>
      <c r="DG323" s="114" t="n"/>
      <c r="DH323" s="114" t="n"/>
      <c r="DI323" s="114" t="n"/>
      <c r="DJ323" s="114" t="n"/>
      <c r="DK323" s="114" t="n"/>
      <c r="DL323" s="114" t="n">
        <v>4363808.87</v>
      </c>
      <c r="DM323" s="114" t="n"/>
      <c r="DN323" s="114" t="n"/>
      <c r="DO323" s="114" t="n">
        <v>8000</v>
      </c>
      <c r="DP323" s="122" t="n"/>
      <c r="DQ323" s="3" t="n">
        <f aca="false" ca="false" dt2D="false" dtr="false" t="normal">N323-DA323</f>
        <v>0</v>
      </c>
      <c r="DS323" s="9" t="n"/>
    </row>
    <row hidden="false" ht="15" outlineLevel="0" r="324">
      <c r="A324" s="207" t="n">
        <f aca="false" ca="false" dt2D="false" dtr="false" t="normal">+A323+1</f>
        <v>305</v>
      </c>
      <c r="B324" s="207" t="n">
        <f aca="false" ca="false" dt2D="false" dtr="false" t="normal">+B323+1</f>
        <v>117</v>
      </c>
      <c r="C324" s="208" t="s">
        <v>396</v>
      </c>
      <c r="D324" s="208" t="s">
        <v>398</v>
      </c>
      <c r="E324" s="209" t="s">
        <v>367</v>
      </c>
      <c r="F324" s="209" t="n"/>
      <c r="G324" s="209" t="s">
        <v>68</v>
      </c>
      <c r="H324" s="209" t="s">
        <v>105</v>
      </c>
      <c r="I324" s="209" t="s">
        <v>105</v>
      </c>
      <c r="J324" s="210" t="n">
        <v>715.4</v>
      </c>
      <c r="K324" s="210" t="n">
        <v>684.9</v>
      </c>
      <c r="L324" s="210" t="n">
        <v>0</v>
      </c>
      <c r="M324" s="210" t="n">
        <v>38</v>
      </c>
      <c r="N324" s="108" t="n">
        <f aca="false" ca="false" dt2D="false" dtr="false" t="normal">SUM(P324:T324)</f>
        <v>4868835.68</v>
      </c>
      <c r="O324" s="208" t="n"/>
      <c r="P324" s="211" t="n">
        <v>1477681.91</v>
      </c>
      <c r="Q324" s="114" t="n">
        <v>507855.56</v>
      </c>
      <c r="R324" s="114" t="n">
        <v>417637.24</v>
      </c>
      <c r="S324" s="114" t="n">
        <v>2465660.97</v>
      </c>
      <c r="T324" s="114" t="n"/>
      <c r="U324" s="114" t="n">
        <v>8421.46459893022</v>
      </c>
      <c r="V324" s="114" t="n">
        <v>8421.46459893022</v>
      </c>
      <c r="W324" s="185" t="n">
        <v>2023</v>
      </c>
      <c r="X324" s="9" t="n"/>
      <c r="Z324" s="113" t="n"/>
      <c r="AA324" s="106" t="n"/>
      <c r="AB324" s="106" t="n"/>
      <c r="AC324" s="106" t="n"/>
      <c r="AD324" s="106" t="n"/>
      <c r="AE324" s="106" t="n"/>
      <c r="AF324" s="106" t="n"/>
      <c r="AG324" s="106" t="n"/>
      <c r="AH324" s="106" t="n"/>
      <c r="AI324" s="106" t="n"/>
      <c r="AJ324" s="106" t="n"/>
      <c r="AK324" s="106" t="n"/>
      <c r="AL324" s="106" t="n"/>
      <c r="AM324" s="106" t="n"/>
      <c r="AN324" s="114" t="n"/>
      <c r="AO324" s="115" t="n"/>
      <c r="AP324" s="112" t="n"/>
      <c r="AQ324" s="1" t="n">
        <v>344284.45</v>
      </c>
      <c r="AR324" s="3" t="n">
        <v>73352.79</v>
      </c>
      <c r="AS324" s="3" t="n">
        <v>2588922</v>
      </c>
      <c r="AT324" s="9" t="n">
        <f aca="false" ca="false" dt2D="false" dtr="false" t="normal">+S324-AS324</f>
        <v>-123261.0299999998</v>
      </c>
      <c r="AW324" s="113" t="n">
        <f aca="false" ca="false" dt2D="false" dtr="false" t="normal">SUM(AX324:BL324)</f>
        <v>5767861.103807306</v>
      </c>
      <c r="BH324" s="106" t="n">
        <v>5636600.07618583</v>
      </c>
      <c r="BJ324" s="106" t="n"/>
      <c r="BK324" s="114" t="n">
        <v>8000</v>
      </c>
      <c r="BL324" s="187" t="n">
        <v>123261.027621476</v>
      </c>
      <c r="BM324" s="113" t="n">
        <f aca="false" ca="false" dt2D="false" dtr="false" t="normal">SUM(BN324:CB324)</f>
        <v>5767861.103807306</v>
      </c>
      <c r="BN324" s="104" t="n"/>
      <c r="BO324" s="104" t="n"/>
      <c r="BP324" s="104" t="n"/>
      <c r="BQ324" s="104" t="n"/>
      <c r="BR324" s="104" t="n"/>
      <c r="BS324" s="104" t="n"/>
      <c r="BT324" s="104" t="n"/>
      <c r="BU324" s="104" t="n"/>
      <c r="BV324" s="104" t="n"/>
      <c r="BW324" s="104" t="n"/>
      <c r="BX324" s="106" t="n">
        <v>5636600.07618583</v>
      </c>
      <c r="BY324" s="104" t="n"/>
      <c r="BZ324" s="106" t="n"/>
      <c r="CA324" s="114" t="n">
        <v>8000</v>
      </c>
      <c r="CB324" s="115" t="n">
        <v>123261.027621476</v>
      </c>
      <c r="CD324" s="116" t="n">
        <f aca="false" ca="false" dt2D="false" dtr="false" t="normal">+CD323+1</f>
        <v>305</v>
      </c>
      <c r="CE324" s="117" t="n">
        <f aca="false" ca="false" dt2D="false" dtr="false" t="normal">+CE323+1</f>
        <v>117</v>
      </c>
      <c r="CF324" s="104" t="s">
        <v>396</v>
      </c>
      <c r="CG324" s="117" t="s">
        <v>398</v>
      </c>
      <c r="CH324" s="118" t="n">
        <f aca="false" ca="false" dt2D="false" dtr="false" t="normal">SUM(CI324:CW324)</f>
        <v>4992096.707621476</v>
      </c>
      <c r="CI324" s="117" t="n"/>
      <c r="CJ324" s="114" t="n"/>
      <c r="CK324" s="114" t="n"/>
      <c r="CL324" s="114" t="n"/>
      <c r="CM324" s="114" t="n"/>
      <c r="CN324" s="114" t="n"/>
      <c r="CO324" s="114" t="n"/>
      <c r="CP324" s="114" t="n"/>
      <c r="CQ324" s="114" t="n"/>
      <c r="CR324" s="114" t="n"/>
      <c r="CS324" s="114" t="n">
        <v>4860835.68</v>
      </c>
      <c r="CT324" s="114" t="n"/>
      <c r="CU324" s="114" t="n"/>
      <c r="CV324" s="114" t="n">
        <v>8000</v>
      </c>
      <c r="CW324" s="115" t="n">
        <v>123261.027621476</v>
      </c>
      <c r="CZ324" s="117" t="s">
        <v>398</v>
      </c>
      <c r="DA324" s="119" t="n">
        <f aca="false" ca="false" dt2D="false" dtr="false" t="normal">SUM(DB324:DP324)</f>
        <v>4868835.68</v>
      </c>
      <c r="DB324" s="117" t="n"/>
      <c r="DC324" s="114" t="n"/>
      <c r="DD324" s="114" t="n"/>
      <c r="DE324" s="114" t="n"/>
      <c r="DF324" s="114" t="n"/>
      <c r="DG324" s="114" t="n"/>
      <c r="DH324" s="114" t="n"/>
      <c r="DI324" s="114" t="n"/>
      <c r="DJ324" s="114" t="n"/>
      <c r="DK324" s="114" t="n"/>
      <c r="DL324" s="114" t="n">
        <v>4860835.68</v>
      </c>
      <c r="DM324" s="114" t="n"/>
      <c r="DN324" s="114" t="n"/>
      <c r="DO324" s="114" t="n">
        <v>8000</v>
      </c>
      <c r="DP324" s="122" t="n"/>
      <c r="DQ324" s="3" t="n">
        <f aca="false" ca="false" dt2D="false" dtr="false" t="normal">N324-DA324</f>
        <v>0</v>
      </c>
      <c r="DS324" s="9" t="n"/>
    </row>
    <row hidden="false" ht="15" outlineLevel="0" r="325">
      <c r="A325" s="207" t="n">
        <f aca="false" ca="false" dt2D="false" dtr="false" t="normal">+A324+1</f>
        <v>306</v>
      </c>
      <c r="B325" s="207" t="n">
        <f aca="false" ca="false" dt2D="false" dtr="false" t="normal">+B324+1</f>
        <v>118</v>
      </c>
      <c r="C325" s="208" t="s">
        <v>396</v>
      </c>
      <c r="D325" s="208" t="s">
        <v>399</v>
      </c>
      <c r="E325" s="209" t="s">
        <v>400</v>
      </c>
      <c r="F325" s="209" t="n"/>
      <c r="G325" s="209" t="s">
        <v>68</v>
      </c>
      <c r="H325" s="209" t="s">
        <v>105</v>
      </c>
      <c r="I325" s="209" t="s">
        <v>105</v>
      </c>
      <c r="J325" s="210" t="n">
        <v>670.37</v>
      </c>
      <c r="K325" s="210" t="n">
        <v>618.66</v>
      </c>
      <c r="L325" s="210" t="n">
        <v>0</v>
      </c>
      <c r="M325" s="210" t="n">
        <v>30</v>
      </c>
      <c r="N325" s="108" t="n">
        <f aca="false" ca="false" dt2D="false" dtr="false" t="normal">SUM(P325:T325)</f>
        <v>4279157.95</v>
      </c>
      <c r="O325" s="208" t="n"/>
      <c r="P325" s="211" t="n">
        <v>1139775.23</v>
      </c>
      <c r="Q325" s="114" t="n">
        <v>507855.52</v>
      </c>
      <c r="R325" s="114" t="n">
        <v>407532.256</v>
      </c>
      <c r="S325" s="114" t="n">
        <v>2223994.944</v>
      </c>
      <c r="T325" s="114" t="n"/>
      <c r="U325" s="114" t="n">
        <v>8422.71523545281</v>
      </c>
      <c r="V325" s="114" t="n">
        <v>8422.71523545281</v>
      </c>
      <c r="W325" s="185" t="n">
        <v>2023</v>
      </c>
      <c r="X325" s="9" t="n"/>
      <c r="Z325" s="113" t="n"/>
      <c r="AA325" s="106" t="n"/>
      <c r="AB325" s="106" t="n"/>
      <c r="AC325" s="106" t="n"/>
      <c r="AD325" s="106" t="n"/>
      <c r="AE325" s="106" t="n"/>
      <c r="AF325" s="106" t="n"/>
      <c r="AG325" s="106" t="n"/>
      <c r="AH325" s="106" t="n"/>
      <c r="AI325" s="106" t="n"/>
      <c r="AJ325" s="106" t="n"/>
      <c r="AK325" s="106" t="n"/>
      <c r="AL325" s="106" t="n"/>
      <c r="AM325" s="106" t="n"/>
      <c r="AN325" s="114" t="n"/>
      <c r="AO325" s="115" t="n"/>
      <c r="AP325" s="112" t="n"/>
      <c r="AQ325" s="1" t="n">
        <v>341273.77</v>
      </c>
      <c r="AR325" s="3" t="n">
        <v>66258.486</v>
      </c>
      <c r="AS325" s="3" t="n">
        <v>2338534.8</v>
      </c>
      <c r="AT325" s="9" t="n">
        <f aca="false" ca="false" dt2D="false" dtr="false" t="normal">+S325-AS325</f>
        <v>-114539.85599999968</v>
      </c>
      <c r="AW325" s="113" t="n">
        <f aca="false" ca="false" dt2D="false" dtr="false" t="normal">SUM(AX325:BL325)</f>
        <v>5210797.007565236</v>
      </c>
      <c r="BH325" s="106" t="n">
        <v>5091457.15160334</v>
      </c>
      <c r="BJ325" s="106" t="n"/>
      <c r="BK325" s="114" t="n">
        <v>8000</v>
      </c>
      <c r="BL325" s="187" t="n">
        <v>111339.855961896</v>
      </c>
      <c r="BM325" s="113" t="n">
        <f aca="false" ca="false" dt2D="false" dtr="false" t="normal">SUM(BN325:CB325)</f>
        <v>5210797.007565236</v>
      </c>
      <c r="BN325" s="104" t="n"/>
      <c r="BO325" s="104" t="n"/>
      <c r="BP325" s="104" t="n"/>
      <c r="BQ325" s="104" t="n"/>
      <c r="BR325" s="104" t="n"/>
      <c r="BS325" s="104" t="n"/>
      <c r="BT325" s="104" t="n"/>
      <c r="BU325" s="104" t="n"/>
      <c r="BV325" s="104" t="n"/>
      <c r="BW325" s="104" t="n"/>
      <c r="BX325" s="106" t="n">
        <v>5091457.15160334</v>
      </c>
      <c r="BY325" s="104" t="n"/>
      <c r="BZ325" s="106" t="n"/>
      <c r="CA325" s="114" t="n">
        <v>8000</v>
      </c>
      <c r="CB325" s="115" t="n">
        <v>111339.855961896</v>
      </c>
      <c r="CD325" s="116" t="n">
        <f aca="false" ca="false" dt2D="false" dtr="false" t="normal">+CD324+1</f>
        <v>306</v>
      </c>
      <c r="CE325" s="117" t="n">
        <f aca="false" ca="false" dt2D="false" dtr="false" t="normal">+CE324+1</f>
        <v>118</v>
      </c>
      <c r="CF325" s="104" t="s">
        <v>396</v>
      </c>
      <c r="CG325" s="117" t="s">
        <v>399</v>
      </c>
      <c r="CH325" s="118" t="n">
        <f aca="false" ca="false" dt2D="false" dtr="false" t="normal">SUM(CI325:CW325)</f>
        <v>4390497.805961896</v>
      </c>
      <c r="CI325" s="117" t="n"/>
      <c r="CJ325" s="114" t="n"/>
      <c r="CK325" s="114" t="n"/>
      <c r="CL325" s="114" t="n"/>
      <c r="CM325" s="114" t="n"/>
      <c r="CN325" s="114" t="n"/>
      <c r="CO325" s="114" t="n"/>
      <c r="CP325" s="114" t="n"/>
      <c r="CQ325" s="114" t="n"/>
      <c r="CR325" s="114" t="n"/>
      <c r="CS325" s="114" t="n">
        <v>4274357.95</v>
      </c>
      <c r="CT325" s="114" t="n"/>
      <c r="CU325" s="114" t="n"/>
      <c r="CV325" s="114" t="n">
        <v>4800</v>
      </c>
      <c r="CW325" s="115" t="n">
        <v>111339.855961896</v>
      </c>
      <c r="CZ325" s="117" t="s">
        <v>399</v>
      </c>
      <c r="DA325" s="119" t="n">
        <f aca="false" ca="false" dt2D="false" dtr="false" t="normal">SUM(DB325:DP325)</f>
        <v>4279157.95</v>
      </c>
      <c r="DB325" s="117" t="n"/>
      <c r="DC325" s="114" t="n"/>
      <c r="DD325" s="114" t="n"/>
      <c r="DE325" s="114" t="n"/>
      <c r="DF325" s="114" t="n"/>
      <c r="DG325" s="114" t="n"/>
      <c r="DH325" s="114" t="n"/>
      <c r="DI325" s="114" t="n"/>
      <c r="DJ325" s="114" t="n"/>
      <c r="DK325" s="114" t="n"/>
      <c r="DL325" s="114" t="n">
        <v>4274357.95</v>
      </c>
      <c r="DM325" s="114" t="n"/>
      <c r="DN325" s="114" t="n"/>
      <c r="DO325" s="114" t="n">
        <v>4800</v>
      </c>
      <c r="DP325" s="122" t="n"/>
      <c r="DQ325" s="3" t="n">
        <f aca="false" ca="false" dt2D="false" dtr="false" t="normal">N325-DA325</f>
        <v>0</v>
      </c>
      <c r="DS325" s="9" t="n"/>
    </row>
    <row hidden="false" ht="15" outlineLevel="0" r="326">
      <c r="A326" s="207" t="n">
        <f aca="false" ca="false" dt2D="false" dtr="false" t="normal">+A325+1</f>
        <v>307</v>
      </c>
      <c r="B326" s="207" t="n">
        <f aca="false" ca="false" dt2D="false" dtr="false" t="normal">+B325+1</f>
        <v>119</v>
      </c>
      <c r="C326" s="208" t="s">
        <v>207</v>
      </c>
      <c r="D326" s="208" t="s">
        <v>401</v>
      </c>
      <c r="E326" s="209" t="n">
        <v>1975</v>
      </c>
      <c r="F326" s="209" t="n">
        <v>1975</v>
      </c>
      <c r="G326" s="209" t="s">
        <v>68</v>
      </c>
      <c r="H326" s="209" t="n">
        <v>2</v>
      </c>
      <c r="I326" s="209" t="n">
        <v>2</v>
      </c>
      <c r="J326" s="212" t="n">
        <v>785.47</v>
      </c>
      <c r="K326" s="212" t="n">
        <v>729.06</v>
      </c>
      <c r="L326" s="212" t="n">
        <v>0</v>
      </c>
      <c r="M326" s="213" t="n">
        <v>32</v>
      </c>
      <c r="N326" s="108" t="n">
        <f aca="false" ca="false" dt2D="false" dtr="false" t="normal">SUM(P326:T326)</f>
        <v>3709381.200000001</v>
      </c>
      <c r="O326" s="211" t="n"/>
      <c r="P326" s="211" t="n">
        <v>771438.084166001</v>
      </c>
      <c r="Q326" s="114" t="n"/>
      <c r="R326" s="114" t="n">
        <v>436046.95</v>
      </c>
      <c r="S326" s="114" t="n">
        <v>2501896.165834</v>
      </c>
      <c r="T326" s="114" t="n"/>
      <c r="U326" s="114" t="n">
        <v>7950.36419499081</v>
      </c>
      <c r="V326" s="114" t="n">
        <v>1356.283020064</v>
      </c>
      <c r="W326" s="185" t="n">
        <v>2023</v>
      </c>
      <c r="X326" s="9" t="e">
        <f aca="false" ca="false" dt2D="false" dtr="false" t="normal">+#REF!-'[9]Приложение №1'!$P1516</f>
        <v>#REF!</v>
      </c>
      <c r="Z326" s="113" t="n">
        <f aca="false" ca="false" dt2D="false" dtr="false" t="normal">SUM(AA326:AO326)</f>
        <v>5796292.5200000005</v>
      </c>
      <c r="AA326" s="106" t="n">
        <v>0</v>
      </c>
      <c r="AB326" s="106" t="n">
        <v>0</v>
      </c>
      <c r="AC326" s="106" t="n">
        <v>0</v>
      </c>
      <c r="AD326" s="106" t="n">
        <v>0</v>
      </c>
      <c r="AE326" s="106" t="n">
        <v>0</v>
      </c>
      <c r="AF326" s="106" t="n"/>
      <c r="AG326" s="106" t="n">
        <v>0</v>
      </c>
      <c r="AH326" s="106" t="n">
        <v>0</v>
      </c>
      <c r="AI326" s="106" t="n">
        <v>0</v>
      </c>
      <c r="AJ326" s="106" t="n">
        <v>0</v>
      </c>
      <c r="AK326" s="106" t="n">
        <v>5048304.15546408</v>
      </c>
      <c r="AL326" s="106" t="n">
        <v>0</v>
      </c>
      <c r="AM326" s="106" t="n">
        <v>579629.252</v>
      </c>
      <c r="AN326" s="114" t="n">
        <v>57962.9252</v>
      </c>
      <c r="AO326" s="115" t="n">
        <v>110396.18733592</v>
      </c>
      <c r="AP326" s="112" t="n">
        <f aca="false" ca="false" dt2D="false" dtr="false" t="normal">+N326-'Приложение №2'!E326</f>
        <v>0</v>
      </c>
      <c r="AQ326" s="121" t="n">
        <v>361682.83</v>
      </c>
      <c r="AR326" s="3" t="n">
        <f aca="false" ca="false" dt2D="false" dtr="false" t="normal">+(K326*10+L326*20)*12*0.85</f>
        <v>74364.12</v>
      </c>
      <c r="AS326" s="3" t="n">
        <f aca="false" ca="false" dt2D="false" dtr="false" t="normal">+(K326*10+L326*20)*12*30</f>
        <v>2624616</v>
      </c>
      <c r="AT326" s="9" t="n">
        <f aca="false" ca="false" dt2D="false" dtr="false" t="normal">+S326-AS326</f>
        <v>-122719.83416600013</v>
      </c>
      <c r="AU326" s="9" t="e">
        <f aca="false" ca="false" dt2D="false" dtr="false" t="normal">+P326-'[5]Приложение №1'!$P339</f>
        <v>#REF!</v>
      </c>
      <c r="AV326" s="9" t="e">
        <f aca="false" ca="false" dt2D="false" dtr="false" t="normal">+Q326-'[5]Приложение №1'!$Q339</f>
        <v>#REF!</v>
      </c>
      <c r="AW326" s="113" t="n">
        <f aca="false" ca="true" dt2D="false" dtr="false" t="normal">SUBTOTAL(9, AX326:BL326)</f>
        <v>5796292.52</v>
      </c>
      <c r="AX326" s="106" t="n">
        <v>0</v>
      </c>
      <c r="AY326" s="106" t="n">
        <v>0</v>
      </c>
      <c r="AZ326" s="106" t="n">
        <v>0</v>
      </c>
      <c r="BA326" s="106" t="n">
        <v>0</v>
      </c>
      <c r="BB326" s="106" t="n">
        <v>0</v>
      </c>
      <c r="BC326" s="106" t="n"/>
      <c r="BD326" s="106" t="n"/>
      <c r="BE326" s="106" t="n">
        <v>0</v>
      </c>
      <c r="BF326" s="106" t="n">
        <v>0</v>
      </c>
      <c r="BG326" s="106" t="n">
        <v>0</v>
      </c>
      <c r="BH326" s="106" t="n">
        <v>5611851.855834</v>
      </c>
      <c r="BI326" s="106" t="n">
        <v>0</v>
      </c>
      <c r="BJ326" s="106" t="n">
        <v>37720.83</v>
      </c>
      <c r="BK326" s="114" t="n">
        <v>24000</v>
      </c>
      <c r="BL326" s="187" t="n">
        <v>122719.834166</v>
      </c>
      <c r="BM326" s="113" t="n">
        <f aca="false" ca="true" dt2D="false" dtr="false" t="normal">SUBTOTAL(9, BN326:CB326)</f>
        <v>3832101.0341660003</v>
      </c>
      <c r="BN326" s="106" t="n">
        <v>0</v>
      </c>
      <c r="BO326" s="106" t="n">
        <v>0</v>
      </c>
      <c r="BP326" s="106" t="n">
        <v>0</v>
      </c>
      <c r="BQ326" s="106" t="n">
        <v>0</v>
      </c>
      <c r="BR326" s="106" t="n">
        <v>0</v>
      </c>
      <c r="BS326" s="106" t="n"/>
      <c r="BT326" s="106" t="n"/>
      <c r="BU326" s="106" t="n">
        <v>0</v>
      </c>
      <c r="BV326" s="106" t="n">
        <v>0</v>
      </c>
      <c r="BW326" s="106" t="n">
        <v>0</v>
      </c>
      <c r="BX326" s="106" t="n">
        <v>3647660.37</v>
      </c>
      <c r="BY326" s="106" t="n">
        <v>0</v>
      </c>
      <c r="BZ326" s="106" t="n">
        <v>37720.83</v>
      </c>
      <c r="CA326" s="114" t="n">
        <v>24000</v>
      </c>
      <c r="CB326" s="115" t="n">
        <v>122719.834166</v>
      </c>
      <c r="CD326" s="116" t="n">
        <f aca="false" ca="false" dt2D="false" dtr="false" t="normal">+CD325+1</f>
        <v>307</v>
      </c>
      <c r="CE326" s="117" t="n">
        <f aca="false" ca="false" dt2D="false" dtr="false" t="normal">+CE325+1</f>
        <v>119</v>
      </c>
      <c r="CF326" s="104" t="s">
        <v>207</v>
      </c>
      <c r="CG326" s="117" t="s">
        <v>401</v>
      </c>
      <c r="CH326" s="118" t="n">
        <f aca="false" ca="true" dt2D="false" dtr="false" t="normal">SUBTOTAL(9, CI326:CW326)</f>
        <v>3832101.0341660003</v>
      </c>
      <c r="CI326" s="114" t="n">
        <v>0</v>
      </c>
      <c r="CJ326" s="114" t="n">
        <v>0</v>
      </c>
      <c r="CK326" s="114" t="n">
        <v>0</v>
      </c>
      <c r="CL326" s="114" t="n">
        <v>0</v>
      </c>
      <c r="CM326" s="114" t="n">
        <v>0</v>
      </c>
      <c r="CN326" s="114" t="n"/>
      <c r="CO326" s="114" t="n"/>
      <c r="CP326" s="114" t="n">
        <v>0</v>
      </c>
      <c r="CQ326" s="114" t="n">
        <v>0</v>
      </c>
      <c r="CR326" s="114" t="n">
        <v>0</v>
      </c>
      <c r="CS326" s="114" t="n">
        <v>3647660.37</v>
      </c>
      <c r="CT326" s="114" t="n">
        <v>0</v>
      </c>
      <c r="CU326" s="114" t="n">
        <v>37720.83</v>
      </c>
      <c r="CV326" s="114" t="n">
        <v>24000</v>
      </c>
      <c r="CW326" s="115" t="n">
        <v>122719.834166</v>
      </c>
      <c r="CZ326" s="117" t="s">
        <v>401</v>
      </c>
      <c r="DA326" s="119" t="n">
        <f aca="false" ca="true" dt2D="false" dtr="false" t="normal">SUBTOTAL(9, DB326:DP326)</f>
        <v>3709381.2</v>
      </c>
      <c r="DB326" s="114" t="n">
        <v>0</v>
      </c>
      <c r="DC326" s="114" t="n">
        <v>0</v>
      </c>
      <c r="DD326" s="114" t="n">
        <v>0</v>
      </c>
      <c r="DE326" s="114" t="n">
        <v>0</v>
      </c>
      <c r="DF326" s="114" t="n">
        <v>0</v>
      </c>
      <c r="DG326" s="114" t="n"/>
      <c r="DH326" s="114" t="n"/>
      <c r="DI326" s="114" t="n">
        <v>0</v>
      </c>
      <c r="DJ326" s="114" t="n">
        <v>0</v>
      </c>
      <c r="DK326" s="114" t="n">
        <v>0</v>
      </c>
      <c r="DL326" s="114" t="n">
        <v>3647660.37</v>
      </c>
      <c r="DM326" s="114" t="n">
        <v>0</v>
      </c>
      <c r="DN326" s="114" t="n">
        <v>37720.83</v>
      </c>
      <c r="DO326" s="114" t="n">
        <v>24000</v>
      </c>
      <c r="DP326" s="122" t="n"/>
      <c r="DQ326" s="3" t="n">
        <f aca="false" ca="false" dt2D="false" dtr="false" t="normal">N326-DA326</f>
        <v>0</v>
      </c>
      <c r="DS326" s="9" t="n"/>
    </row>
    <row hidden="false" ht="15" outlineLevel="0" r="327">
      <c r="A327" s="207" t="n">
        <f aca="false" ca="false" dt2D="false" dtr="false" t="normal">+A326+1</f>
        <v>308</v>
      </c>
      <c r="B327" s="207" t="n">
        <f aca="false" ca="false" dt2D="false" dtr="false" t="normal">+B326+1</f>
        <v>120</v>
      </c>
      <c r="C327" s="208" t="s">
        <v>209</v>
      </c>
      <c r="D327" s="208" t="s">
        <v>402</v>
      </c>
      <c r="E327" s="209" t="n">
        <v>1989</v>
      </c>
      <c r="F327" s="209" t="n">
        <v>1989</v>
      </c>
      <c r="G327" s="209" t="s">
        <v>68</v>
      </c>
      <c r="H327" s="105" t="n">
        <v>2</v>
      </c>
      <c r="I327" s="105" t="n">
        <v>2</v>
      </c>
      <c r="J327" s="106" t="n">
        <v>915</v>
      </c>
      <c r="K327" s="106" t="n">
        <v>892.81</v>
      </c>
      <c r="L327" s="106" t="n">
        <v>0</v>
      </c>
      <c r="M327" s="107" t="n">
        <v>32</v>
      </c>
      <c r="N327" s="108" t="n">
        <f aca="false" ca="false" dt2D="false" dtr="false" t="normal">SUM(P327:T327)</f>
        <v>8466256.14</v>
      </c>
      <c r="O327" s="114" t="n"/>
      <c r="P327" s="106" t="n">
        <v>2483086.28</v>
      </c>
      <c r="Q327" s="114" t="n"/>
      <c r="R327" s="114" t="n">
        <v>482392.32</v>
      </c>
      <c r="S327" s="114" t="n">
        <v>3439921.51816</v>
      </c>
      <c r="T327" s="114" t="n">
        <v>2060856.02184</v>
      </c>
      <c r="U327" s="114" t="n">
        <v>8999.60448265588</v>
      </c>
      <c r="V327" s="114" t="n">
        <v>8999.60448265588</v>
      </c>
      <c r="W327" s="185" t="n">
        <v>2023</v>
      </c>
      <c r="X327" s="9" t="e">
        <f aca="false" ca="false" dt2D="false" dtr="false" t="normal">+#REF!-'[9]Приложение №1'!$P1351</f>
        <v>#REF!</v>
      </c>
      <c r="Z327" s="113" t="n">
        <f aca="false" ca="false" dt2D="false" dtr="false" t="normal">SUM(AA327:AO327)</f>
        <v>8546292.55</v>
      </c>
      <c r="AA327" s="106" t="n">
        <v>0</v>
      </c>
      <c r="AB327" s="106" t="n">
        <v>0</v>
      </c>
      <c r="AC327" s="106" t="n">
        <v>0</v>
      </c>
      <c r="AD327" s="106" t="n">
        <v>0</v>
      </c>
      <c r="AE327" s="106" t="n">
        <v>0</v>
      </c>
      <c r="AF327" s="106" t="n"/>
      <c r="AG327" s="106" t="n">
        <v>0</v>
      </c>
      <c r="AH327" s="106" t="n">
        <v>0</v>
      </c>
      <c r="AI327" s="106" t="n">
        <v>7527061.700487</v>
      </c>
      <c r="AJ327" s="106" t="n">
        <v>0</v>
      </c>
      <c r="AK327" s="106" t="n">
        <v>0</v>
      </c>
      <c r="AL327" s="106" t="n">
        <v>0</v>
      </c>
      <c r="AM327" s="106" t="n">
        <v>769166.3295</v>
      </c>
      <c r="AN327" s="114" t="n">
        <v>85462.9255</v>
      </c>
      <c r="AO327" s="115" t="n">
        <v>164601.594513</v>
      </c>
      <c r="AP327" s="112" t="n">
        <f aca="false" ca="false" dt2D="false" dtr="false" t="normal">+N327-'Приложение №2'!E327</f>
        <v>0</v>
      </c>
      <c r="AQ327" s="1" t="n">
        <v>367325.7</v>
      </c>
      <c r="AR327" s="3" t="n">
        <f aca="false" ca="false" dt2D="false" dtr="false" t="normal">+(K327*10+L327*20)*12*0.85</f>
        <v>91066.61999999998</v>
      </c>
      <c r="AS327" s="3" t="n">
        <f aca="false" ca="false" dt2D="false" dtr="false" t="normal">+(K327*10+L327*20)*12*30</f>
        <v>3214115.9999999995</v>
      </c>
      <c r="AT327" s="9" t="n">
        <f aca="false" ca="false" dt2D="false" dtr="false" t="normal">+S327-AS327</f>
        <v>225805.51816000044</v>
      </c>
      <c r="AW327" s="113" t="n">
        <f aca="false" ca="true" dt2D="false" dtr="false" t="normal">SUBTOTAL(9, AX327:BL327)</f>
        <v>8034936.878160001</v>
      </c>
      <c r="AX327" s="106" t="n">
        <v>0</v>
      </c>
      <c r="AY327" s="106" t="n">
        <v>0</v>
      </c>
      <c r="AZ327" s="106" t="n">
        <v>0</v>
      </c>
      <c r="BA327" s="106" t="n">
        <v>0</v>
      </c>
      <c r="BB327" s="106" t="n">
        <v>0</v>
      </c>
      <c r="BC327" s="106" t="n"/>
      <c r="BD327" s="106" t="n"/>
      <c r="BE327" s="106" t="n">
        <v>0</v>
      </c>
      <c r="BF327" s="106" t="n">
        <v>7785131.36</v>
      </c>
      <c r="BG327" s="106" t="n">
        <v>0</v>
      </c>
      <c r="BH327" s="106" t="n">
        <v>0</v>
      </c>
      <c r="BI327" s="106" t="n">
        <v>0</v>
      </c>
      <c r="BJ327" s="106" t="n">
        <v>44378.15</v>
      </c>
      <c r="BK327" s="114" t="n">
        <v>24000</v>
      </c>
      <c r="BL327" s="187" t="n">
        <v>181427.36816</v>
      </c>
      <c r="BM327" s="113" t="n">
        <f aca="false" ca="true" dt2D="false" dtr="false" t="normal">SUBTOTAL(9, BN327:CB327)</f>
        <v>8726008.738160001</v>
      </c>
      <c r="BN327" s="106" t="n">
        <v>0</v>
      </c>
      <c r="BO327" s="106" t="n">
        <v>0</v>
      </c>
      <c r="BP327" s="106" t="n">
        <v>0</v>
      </c>
      <c r="BQ327" s="106" t="n">
        <v>0</v>
      </c>
      <c r="BR327" s="106" t="n">
        <v>0</v>
      </c>
      <c r="BS327" s="106" t="n"/>
      <c r="BT327" s="106" t="n"/>
      <c r="BU327" s="106" t="n">
        <v>0</v>
      </c>
      <c r="BV327" s="192" t="n">
        <v>8476203.22</v>
      </c>
      <c r="BW327" s="106" t="n">
        <v>0</v>
      </c>
      <c r="BX327" s="106" t="n">
        <v>0</v>
      </c>
      <c r="BY327" s="106" t="n">
        <v>0</v>
      </c>
      <c r="BZ327" s="106" t="n">
        <v>44378.15</v>
      </c>
      <c r="CA327" s="114" t="n">
        <v>24000</v>
      </c>
      <c r="CB327" s="115" t="n">
        <v>181427.36816</v>
      </c>
      <c r="CD327" s="116" t="n">
        <f aca="false" ca="false" dt2D="false" dtr="false" t="normal">+CD326+1</f>
        <v>308</v>
      </c>
      <c r="CE327" s="117" t="n">
        <f aca="false" ca="false" dt2D="false" dtr="false" t="normal">+CE326+1</f>
        <v>120</v>
      </c>
      <c r="CF327" s="104" t="s">
        <v>209</v>
      </c>
      <c r="CG327" s="117" t="s">
        <v>402</v>
      </c>
      <c r="CH327" s="118" t="n">
        <f aca="false" ca="true" dt2D="false" dtr="false" t="normal">SUBTOTAL(9, CI327:CW327)</f>
        <v>8647683.50816</v>
      </c>
      <c r="CI327" s="114" t="n">
        <v>0</v>
      </c>
      <c r="CJ327" s="114" t="n">
        <v>0</v>
      </c>
      <c r="CK327" s="114" t="n">
        <v>0</v>
      </c>
      <c r="CL327" s="114" t="n">
        <v>0</v>
      </c>
      <c r="CM327" s="114" t="n">
        <v>0</v>
      </c>
      <c r="CN327" s="114" t="n"/>
      <c r="CO327" s="114" t="n"/>
      <c r="CP327" s="114" t="n">
        <v>0</v>
      </c>
      <c r="CQ327" s="114" t="n">
        <v>8397877.99</v>
      </c>
      <c r="CR327" s="114" t="n">
        <v>0</v>
      </c>
      <c r="CS327" s="114" t="n">
        <v>0</v>
      </c>
      <c r="CT327" s="114" t="n">
        <v>0</v>
      </c>
      <c r="CU327" s="114" t="n">
        <v>44378.15</v>
      </c>
      <c r="CV327" s="114" t="n">
        <v>24000</v>
      </c>
      <c r="CW327" s="115" t="n">
        <v>181427.36816</v>
      </c>
      <c r="CZ327" s="117" t="s">
        <v>402</v>
      </c>
      <c r="DA327" s="119" t="n">
        <f aca="false" ca="true" dt2D="false" dtr="false" t="normal">SUBTOTAL(9, DB327:DP327)</f>
        <v>8466256.14</v>
      </c>
      <c r="DB327" s="114" t="n">
        <v>0</v>
      </c>
      <c r="DC327" s="114" t="n">
        <v>0</v>
      </c>
      <c r="DD327" s="114" t="n">
        <v>0</v>
      </c>
      <c r="DE327" s="114" t="n">
        <v>0</v>
      </c>
      <c r="DF327" s="114" t="n">
        <v>0</v>
      </c>
      <c r="DG327" s="114" t="n"/>
      <c r="DH327" s="114" t="n"/>
      <c r="DI327" s="114" t="n">
        <v>0</v>
      </c>
      <c r="DJ327" s="114" t="n">
        <v>8397877.99</v>
      </c>
      <c r="DK327" s="114" t="n">
        <v>0</v>
      </c>
      <c r="DL327" s="114" t="n">
        <v>0</v>
      </c>
      <c r="DM327" s="114" t="n">
        <v>0</v>
      </c>
      <c r="DN327" s="114" t="n">
        <v>44378.15</v>
      </c>
      <c r="DO327" s="114" t="n">
        <v>24000</v>
      </c>
      <c r="DP327" s="122" t="n"/>
      <c r="DQ327" s="3" t="n">
        <f aca="false" ca="false" dt2D="false" dtr="false" t="normal">N327-DA327</f>
        <v>0</v>
      </c>
      <c r="DS327" s="9" t="n"/>
    </row>
    <row hidden="false" ht="15" outlineLevel="0" r="328">
      <c r="A328" s="207" t="n">
        <f aca="false" ca="false" dt2D="false" dtr="false" t="normal">+A327+1</f>
        <v>309</v>
      </c>
      <c r="B328" s="207" t="n">
        <f aca="false" ca="false" dt2D="false" dtr="false" t="normal">+B327+1</f>
        <v>121</v>
      </c>
      <c r="C328" s="208" t="s">
        <v>209</v>
      </c>
      <c r="D328" s="208" t="s">
        <v>403</v>
      </c>
      <c r="E328" s="209" t="n">
        <v>1989</v>
      </c>
      <c r="F328" s="209" t="n">
        <v>1989</v>
      </c>
      <c r="G328" s="209" t="s">
        <v>68</v>
      </c>
      <c r="H328" s="105" t="n">
        <v>3</v>
      </c>
      <c r="I328" s="105" t="n">
        <v>2</v>
      </c>
      <c r="J328" s="106" t="n">
        <v>1225.2</v>
      </c>
      <c r="K328" s="106" t="n">
        <v>861.78</v>
      </c>
      <c r="L328" s="106" t="n">
        <v>363.42</v>
      </c>
      <c r="M328" s="107" t="n">
        <v>38</v>
      </c>
      <c r="N328" s="108" t="n">
        <f aca="false" ca="false" dt2D="false" dtr="false" t="normal">SUM(P328:T328)</f>
        <v>5347241.109999999</v>
      </c>
      <c r="O328" s="114" t="n"/>
      <c r="P328" s="114" t="n">
        <v>1136928.29</v>
      </c>
      <c r="Q328" s="114" t="n"/>
      <c r="R328" s="114" t="n">
        <v>496995.11</v>
      </c>
      <c r="S328" s="114" t="n">
        <v>3713317.71</v>
      </c>
      <c r="T328" s="114" t="n"/>
      <c r="U328" s="114" t="n">
        <v>4507.82227967679</v>
      </c>
      <c r="V328" s="114" t="n">
        <v>4507.82227967679</v>
      </c>
      <c r="W328" s="185" t="n">
        <v>2023</v>
      </c>
      <c r="X328" s="9" t="e">
        <f aca="false" ca="false" dt2D="false" dtr="false" t="normal">+#REF!-'[9]Приложение №1'!$P1134</f>
        <v>#REF!</v>
      </c>
      <c r="Z328" s="113" t="n">
        <f aca="false" ca="false" dt2D="false" dtr="false" t="normal">SUM(AA328:AO328)</f>
        <v>8281653.259999999</v>
      </c>
      <c r="AA328" s="106" t="n">
        <v>0</v>
      </c>
      <c r="AB328" s="106" t="n">
        <v>0</v>
      </c>
      <c r="AC328" s="106" t="n">
        <v>0</v>
      </c>
      <c r="AD328" s="106" t="n">
        <v>0</v>
      </c>
      <c r="AE328" s="106" t="n">
        <v>0</v>
      </c>
      <c r="AF328" s="106" t="n"/>
      <c r="AG328" s="106" t="n">
        <v>0</v>
      </c>
      <c r="AH328" s="106" t="n">
        <v>0</v>
      </c>
      <c r="AI328" s="106" t="n">
        <v>7293983.2922124</v>
      </c>
      <c r="AJ328" s="106" t="n">
        <v>0</v>
      </c>
      <c r="AK328" s="106" t="n">
        <v>0</v>
      </c>
      <c r="AL328" s="106" t="n">
        <v>0</v>
      </c>
      <c r="AM328" s="106" t="n">
        <v>745348.7934</v>
      </c>
      <c r="AN328" s="114" t="n">
        <v>82816.5326</v>
      </c>
      <c r="AO328" s="115" t="n">
        <v>159504.6417876</v>
      </c>
      <c r="AP328" s="112" t="n">
        <f aca="false" ca="false" dt2D="false" dtr="false" t="normal">+N328-'Приложение №2'!E328</f>
        <v>0</v>
      </c>
      <c r="AQ328" s="1" t="n">
        <v>334955.87</v>
      </c>
      <c r="AR328" s="3" t="n">
        <f aca="false" ca="false" dt2D="false" dtr="false" t="normal">+(K328*10+L328*20)*12*0.85</f>
        <v>162039.24000000002</v>
      </c>
      <c r="AS328" s="3" t="n">
        <f aca="false" ca="false" dt2D="false" dtr="false" t="normal">+(K328*10+L328*20)*12*30</f>
        <v>5719032.000000001</v>
      </c>
      <c r="AT328" s="9" t="n">
        <f aca="false" ca="false" dt2D="false" dtr="false" t="normal">+S328-AS328</f>
        <v>-2005714.290000001</v>
      </c>
      <c r="AU328" s="9" t="e">
        <f aca="false" ca="false" dt2D="false" dtr="false" t="normal">+P328-'[5]Приложение №1'!$P340</f>
        <v>#REF!</v>
      </c>
      <c r="AV328" s="9" t="e">
        <f aca="false" ca="false" dt2D="false" dtr="false" t="normal">+Q328-'[5]Приложение №1'!$Q340</f>
        <v>#REF!</v>
      </c>
      <c r="AW328" s="113" t="n">
        <f aca="false" ca="true" dt2D="false" dtr="false" t="normal">SUBTOTAL(9, AX328:BL328)</f>
        <v>4448664.12706</v>
      </c>
      <c r="AX328" s="106" t="n">
        <v>0</v>
      </c>
      <c r="AY328" s="106" t="n">
        <v>0</v>
      </c>
      <c r="AZ328" s="106" t="n">
        <v>0</v>
      </c>
      <c r="BA328" s="106" t="n">
        <v>0</v>
      </c>
      <c r="BB328" s="106" t="n">
        <v>0</v>
      </c>
      <c r="BC328" s="106" t="n"/>
      <c r="BD328" s="106" t="n"/>
      <c r="BE328" s="106" t="n">
        <v>0</v>
      </c>
      <c r="BF328" s="106" t="n">
        <v>4203546.02</v>
      </c>
      <c r="BG328" s="106" t="n">
        <v>0</v>
      </c>
      <c r="BH328" s="106" t="n">
        <v>0</v>
      </c>
      <c r="BI328" s="106" t="n">
        <v>0</v>
      </c>
      <c r="BJ328" s="106" t="n">
        <v>45375.36</v>
      </c>
      <c r="BK328" s="114" t="n">
        <v>24000</v>
      </c>
      <c r="BL328" s="187" t="n">
        <v>175742.74706</v>
      </c>
      <c r="BM328" s="113" t="n">
        <f aca="false" ca="true" dt2D="false" dtr="false" t="normal">SUBTOTAL(9, BN328:CB328)</f>
        <v>5522983.85706</v>
      </c>
      <c r="BN328" s="106" t="n">
        <v>0</v>
      </c>
      <c r="BO328" s="106" t="n">
        <v>0</v>
      </c>
      <c r="BP328" s="106" t="n">
        <v>0</v>
      </c>
      <c r="BQ328" s="106" t="n">
        <v>0</v>
      </c>
      <c r="BR328" s="106" t="n">
        <v>0</v>
      </c>
      <c r="BS328" s="106" t="n"/>
      <c r="BT328" s="106" t="n"/>
      <c r="BU328" s="106" t="n">
        <v>0</v>
      </c>
      <c r="BV328" s="106" t="n">
        <v>5277865.75</v>
      </c>
      <c r="BW328" s="106" t="n">
        <v>0</v>
      </c>
      <c r="BX328" s="106" t="n">
        <v>0</v>
      </c>
      <c r="BY328" s="106" t="n">
        <v>0</v>
      </c>
      <c r="BZ328" s="106" t="n">
        <v>45375.36</v>
      </c>
      <c r="CA328" s="114" t="n">
        <v>24000</v>
      </c>
      <c r="CB328" s="115" t="n">
        <v>175742.74706</v>
      </c>
      <c r="CD328" s="116" t="n">
        <f aca="false" ca="false" dt2D="false" dtr="false" t="normal">+CD327+1</f>
        <v>309</v>
      </c>
      <c r="CE328" s="117" t="n">
        <f aca="false" ca="false" dt2D="false" dtr="false" t="normal">+CE327+1</f>
        <v>121</v>
      </c>
      <c r="CF328" s="104" t="s">
        <v>209</v>
      </c>
      <c r="CG328" s="117" t="s">
        <v>403</v>
      </c>
      <c r="CH328" s="118" t="n">
        <f aca="false" ca="true" dt2D="false" dtr="false" t="normal">SUBTOTAL(9, CI328:CW328)</f>
        <v>5522983.85706</v>
      </c>
      <c r="CI328" s="114" t="n">
        <v>0</v>
      </c>
      <c r="CJ328" s="114" t="n">
        <v>0</v>
      </c>
      <c r="CK328" s="114" t="n">
        <v>0</v>
      </c>
      <c r="CL328" s="114" t="n">
        <v>0</v>
      </c>
      <c r="CM328" s="114" t="n">
        <v>0</v>
      </c>
      <c r="CN328" s="114" t="n"/>
      <c r="CO328" s="114" t="n"/>
      <c r="CP328" s="114" t="n">
        <v>0</v>
      </c>
      <c r="CQ328" s="114" t="n">
        <v>5277865.75</v>
      </c>
      <c r="CR328" s="114" t="n">
        <v>0</v>
      </c>
      <c r="CS328" s="114" t="n">
        <v>0</v>
      </c>
      <c r="CT328" s="114" t="n">
        <v>0</v>
      </c>
      <c r="CU328" s="114" t="n">
        <v>45375.36</v>
      </c>
      <c r="CV328" s="114" t="n">
        <v>24000</v>
      </c>
      <c r="CW328" s="115" t="n">
        <v>175742.74706</v>
      </c>
      <c r="CZ328" s="117" t="s">
        <v>403</v>
      </c>
      <c r="DA328" s="119" t="n">
        <f aca="false" ca="true" dt2D="false" dtr="false" t="normal">SUBTOTAL(9, DB328:DP328)</f>
        <v>5347241.11</v>
      </c>
      <c r="DB328" s="114" t="n">
        <v>0</v>
      </c>
      <c r="DC328" s="114" t="n">
        <v>0</v>
      </c>
      <c r="DD328" s="114" t="n">
        <v>0</v>
      </c>
      <c r="DE328" s="114" t="n">
        <v>0</v>
      </c>
      <c r="DF328" s="114" t="n">
        <v>0</v>
      </c>
      <c r="DG328" s="114" t="n"/>
      <c r="DH328" s="114" t="n"/>
      <c r="DI328" s="114" t="n">
        <v>0</v>
      </c>
      <c r="DJ328" s="114" t="n">
        <v>5277865.75</v>
      </c>
      <c r="DK328" s="114" t="n">
        <v>0</v>
      </c>
      <c r="DL328" s="114" t="n">
        <v>0</v>
      </c>
      <c r="DM328" s="114" t="n">
        <v>0</v>
      </c>
      <c r="DN328" s="114" t="n">
        <v>45375.36</v>
      </c>
      <c r="DO328" s="114" t="n">
        <v>24000</v>
      </c>
      <c r="DP328" s="122" t="n"/>
      <c r="DQ328" s="3" t="n">
        <f aca="false" ca="false" dt2D="false" dtr="false" t="normal">N328-DA328</f>
        <v>0</v>
      </c>
      <c r="DS328" s="9" t="n"/>
    </row>
    <row hidden="false" ht="15" outlineLevel="0" r="329">
      <c r="A329" s="207" t="n">
        <f aca="false" ca="false" dt2D="false" dtr="false" t="normal">+A328+1</f>
        <v>310</v>
      </c>
      <c r="B329" s="207" t="n">
        <f aca="false" ca="false" dt2D="false" dtr="false" t="normal">+B328+1</f>
        <v>122</v>
      </c>
      <c r="C329" s="210" t="s">
        <v>209</v>
      </c>
      <c r="D329" s="210" t="s">
        <v>210</v>
      </c>
      <c r="E329" s="209" t="n">
        <v>1976</v>
      </c>
      <c r="F329" s="209" t="n">
        <v>2008</v>
      </c>
      <c r="G329" s="209" t="s">
        <v>68</v>
      </c>
      <c r="H329" s="105" t="n">
        <v>4</v>
      </c>
      <c r="I329" s="105" t="n">
        <v>4</v>
      </c>
      <c r="J329" s="106" t="n">
        <v>4257.32</v>
      </c>
      <c r="K329" s="106" t="n">
        <v>3128.38</v>
      </c>
      <c r="L329" s="106" t="n">
        <v>991.08</v>
      </c>
      <c r="M329" s="107" t="n">
        <v>124</v>
      </c>
      <c r="N329" s="108" t="n">
        <f aca="false" ca="false" dt2D="false" dtr="false" t="normal">SUM(P329:T329)</f>
        <v>2289454.43</v>
      </c>
      <c r="O329" s="106" t="n"/>
      <c r="P329" s="114" t="n"/>
      <c r="Q329" s="114" t="n"/>
      <c r="R329" s="114" t="n">
        <v>0</v>
      </c>
      <c r="S329" s="114" t="n">
        <v>2289454.43</v>
      </c>
      <c r="T329" s="114" t="n"/>
      <c r="U329" s="106" t="n">
        <v>1050.5361310074</v>
      </c>
      <c r="V329" s="106" t="n">
        <v>1050.5361310074</v>
      </c>
      <c r="W329" s="185" t="n">
        <v>2023</v>
      </c>
      <c r="X329" s="9" t="e">
        <f aca="false" ca="false" dt2D="false" dtr="false" t="normal">+#REF!-'[9]Приложение №1'!$P752</f>
        <v>#REF!</v>
      </c>
      <c r="Z329" s="113" t="n">
        <f aca="false" ca="false" dt2D="false" dtr="false" t="normal">SUM(AA329:AO329)</f>
        <v>16411728.57</v>
      </c>
      <c r="AA329" s="106" t="n">
        <v>7185234.17054898</v>
      </c>
      <c r="AB329" s="106" t="n">
        <v>2542217.28366648</v>
      </c>
      <c r="AC329" s="106" t="n">
        <v>0</v>
      </c>
      <c r="AD329" s="106" t="n">
        <v>1662855.463857</v>
      </c>
      <c r="AE329" s="106" t="n">
        <v>2127796.98241194</v>
      </c>
      <c r="AF329" s="106" t="n"/>
      <c r="AG329" s="106" t="n">
        <v>285097.02429768</v>
      </c>
      <c r="AH329" s="106" t="n">
        <v>0</v>
      </c>
      <c r="AI329" s="106" t="n">
        <v>0</v>
      </c>
      <c r="AJ329" s="106" t="n">
        <v>0</v>
      </c>
      <c r="AK329" s="106" t="n">
        <v>0</v>
      </c>
      <c r="AL329" s="106" t="n">
        <v>0</v>
      </c>
      <c r="AM329" s="106" t="n">
        <v>2142562.3115</v>
      </c>
      <c r="AN329" s="114" t="n">
        <v>164117.2857</v>
      </c>
      <c r="AO329" s="115" t="n">
        <v>301848.04801792</v>
      </c>
      <c r="AP329" s="112" t="n">
        <f aca="false" ca="false" dt2D="false" dtr="false" t="normal">+N329-'Приложение №2'!E329</f>
        <v>0</v>
      </c>
      <c r="AQ329" s="9" t="n">
        <f aca="false" ca="false" dt2D="false" dtr="false" t="normal">1377282.4-565094.81-R140</f>
        <v>-521275.0800000001</v>
      </c>
      <c r="AR329" s="3" t="n">
        <f aca="false" ca="false" dt2D="false" dtr="false" t="normal">+(K329*10+L329*20)*12*0.85</f>
        <v>521275.08</v>
      </c>
      <c r="AS329" s="3" t="n">
        <f aca="false" ca="false" dt2D="false" dtr="false" t="normal">+(K329*10+L329*20)*12*30-180969.62-S140</f>
        <v>14316986.094099998</v>
      </c>
      <c r="AT329" s="9" t="n">
        <f aca="false" ca="false" dt2D="false" dtr="false" t="normal">+S329-AS329</f>
        <v>-12027531.664099999</v>
      </c>
      <c r="AU329" s="9" t="e">
        <f aca="false" ca="false" dt2D="false" dtr="false" t="normal">+P329-'[5]Приложение №1'!$P342</f>
        <v>#REF!</v>
      </c>
      <c r="AV329" s="9" t="e">
        <f aca="false" ca="false" dt2D="false" dtr="false" t="normal">+Q329-'[5]Приложение №1'!$Q342</f>
        <v>#REF!</v>
      </c>
      <c r="AW329" s="113" t="n">
        <f aca="false" ca="true" dt2D="false" dtr="false" t="normal">SUBTOTAL(9, AX329:BL329)</f>
        <v>3488921.06023974</v>
      </c>
      <c r="AX329" s="106" t="n"/>
      <c r="AY329" s="106" t="n"/>
      <c r="AZ329" s="106" t="n">
        <v>0</v>
      </c>
      <c r="BA329" s="106" t="n">
        <v>1796569.131756</v>
      </c>
      <c r="BB329" s="106" t="n"/>
      <c r="BC329" s="106" t="n"/>
      <c r="BD329" s="106" t="n"/>
      <c r="BE329" s="106" t="n">
        <v>0</v>
      </c>
      <c r="BF329" s="106" t="n">
        <v>0</v>
      </c>
      <c r="BG329" s="106" t="n">
        <v>1450733.92</v>
      </c>
      <c r="BH329" s="106" t="n">
        <v>0</v>
      </c>
      <c r="BI329" s="106" t="n"/>
      <c r="BJ329" s="106" t="n"/>
      <c r="BK329" s="114" t="n"/>
      <c r="BL329" s="187" t="n">
        <v>241618.00848374</v>
      </c>
      <c r="BM329" s="113" t="n">
        <f aca="false" ca="true" dt2D="false" dtr="false" t="normal">SUBTOTAL(9, BN329:CB329)</f>
        <v>4327641.5702397395</v>
      </c>
      <c r="BN329" s="106" t="n"/>
      <c r="BO329" s="106" t="n"/>
      <c r="BP329" s="106" t="n">
        <v>0</v>
      </c>
      <c r="BQ329" s="106" t="n">
        <v>1796569.131756</v>
      </c>
      <c r="BR329" s="106" t="n"/>
      <c r="BS329" s="106" t="n"/>
      <c r="BT329" s="106" t="n"/>
      <c r="BU329" s="106" t="n">
        <v>0</v>
      </c>
      <c r="BV329" s="106" t="n">
        <v>0</v>
      </c>
      <c r="BW329" s="106" t="n">
        <v>2289454.43</v>
      </c>
      <c r="BX329" s="106" t="n">
        <v>0</v>
      </c>
      <c r="BY329" s="106" t="n"/>
      <c r="BZ329" s="106" t="n"/>
      <c r="CA329" s="114" t="n"/>
      <c r="CB329" s="115" t="n">
        <v>241618.00848374</v>
      </c>
      <c r="CD329" s="116" t="n">
        <f aca="false" ca="false" dt2D="false" dtr="false" t="normal">+CD328+1</f>
        <v>310</v>
      </c>
      <c r="CE329" s="117" t="n">
        <f aca="false" ca="false" dt2D="false" dtr="false" t="normal">+CE328+1</f>
        <v>122</v>
      </c>
      <c r="CF329" s="104" t="s">
        <v>209</v>
      </c>
      <c r="CG329" s="117" t="s">
        <v>210</v>
      </c>
      <c r="CH329" s="118" t="n">
        <f aca="false" ca="true" dt2D="false" dtr="false" t="normal">SUBTOTAL(9, CI329:CW329)</f>
        <v>2531072.43848374</v>
      </c>
      <c r="CI329" s="114" t="n"/>
      <c r="CJ329" s="114" t="n"/>
      <c r="CK329" s="114" t="n">
        <v>0</v>
      </c>
      <c r="CL329" s="114" t="n"/>
      <c r="CM329" s="114" t="n"/>
      <c r="CN329" s="114" t="n"/>
      <c r="CO329" s="114" t="n"/>
      <c r="CP329" s="114" t="n">
        <v>0</v>
      </c>
      <c r="CQ329" s="114" t="n">
        <v>0</v>
      </c>
      <c r="CR329" s="114" t="n">
        <v>2289454.43</v>
      </c>
      <c r="CS329" s="114" t="n">
        <v>0</v>
      </c>
      <c r="CT329" s="114" t="n"/>
      <c r="CU329" s="114" t="n"/>
      <c r="CV329" s="114" t="n"/>
      <c r="CW329" s="115" t="n">
        <v>241618.00848374</v>
      </c>
      <c r="CZ329" s="117" t="s">
        <v>210</v>
      </c>
      <c r="DA329" s="119" t="n">
        <f aca="false" ca="true" dt2D="false" dtr="false" t="normal">SUBTOTAL(9, DB329:DP329)</f>
        <v>2289454.43</v>
      </c>
      <c r="DB329" s="114" t="n"/>
      <c r="DC329" s="114" t="n"/>
      <c r="DD329" s="114" t="n">
        <v>0</v>
      </c>
      <c r="DE329" s="114" t="n"/>
      <c r="DF329" s="114" t="n"/>
      <c r="DG329" s="114" t="n"/>
      <c r="DH329" s="114" t="n"/>
      <c r="DI329" s="114" t="n">
        <v>0</v>
      </c>
      <c r="DJ329" s="114" t="n">
        <v>0</v>
      </c>
      <c r="DK329" s="114" t="n">
        <v>2289454.43</v>
      </c>
      <c r="DL329" s="114" t="n">
        <v>0</v>
      </c>
      <c r="DM329" s="114" t="n"/>
      <c r="DN329" s="114" t="n"/>
      <c r="DO329" s="114" t="n"/>
      <c r="DP329" s="122" t="n"/>
      <c r="DQ329" s="3" t="n">
        <f aca="false" ca="false" dt2D="false" dtr="false" t="normal">N329-DA329</f>
        <v>0</v>
      </c>
      <c r="DS329" s="9" t="n"/>
    </row>
    <row hidden="false" ht="15" outlineLevel="0" r="330">
      <c r="A330" s="207" t="n">
        <f aca="false" ca="false" dt2D="false" dtr="false" t="normal">+A329+1</f>
        <v>311</v>
      </c>
      <c r="B330" s="207" t="n">
        <f aca="false" ca="false" dt2D="false" dtr="false" t="normal">+B329+1</f>
        <v>123</v>
      </c>
      <c r="C330" s="208" t="s">
        <v>209</v>
      </c>
      <c r="D330" s="208" t="s">
        <v>212</v>
      </c>
      <c r="E330" s="209" t="n">
        <v>1975</v>
      </c>
      <c r="F330" s="209" t="n">
        <v>2008</v>
      </c>
      <c r="G330" s="209" t="s">
        <v>68</v>
      </c>
      <c r="H330" s="105" t="n">
        <v>4</v>
      </c>
      <c r="I330" s="105" t="n">
        <v>4</v>
      </c>
      <c r="J330" s="106" t="n">
        <v>4182.96</v>
      </c>
      <c r="K330" s="106" t="n">
        <v>3048.03</v>
      </c>
      <c r="L330" s="106" t="n">
        <v>978.37</v>
      </c>
      <c r="M330" s="107" t="n">
        <v>135</v>
      </c>
      <c r="N330" s="108" t="n">
        <f aca="false" ca="false" dt2D="false" dtr="false" t="normal">SUM(P330:T330)</f>
        <v>3010833.6999999997</v>
      </c>
      <c r="O330" s="114" t="n"/>
      <c r="P330" s="114" t="n">
        <v>963170.08</v>
      </c>
      <c r="Q330" s="114" t="n"/>
      <c r="R330" s="114" t="n">
        <v>298481.97</v>
      </c>
      <c r="S330" s="114" t="n">
        <v>1749181.65</v>
      </c>
      <c r="T330" s="114" t="n"/>
      <c r="U330" s="106" t="n">
        <v>1849.23882793194</v>
      </c>
      <c r="V330" s="106" t="n">
        <v>1849.23882793194</v>
      </c>
      <c r="W330" s="185" t="n">
        <v>2023</v>
      </c>
      <c r="X330" s="9" t="e">
        <f aca="false" ca="false" dt2D="false" dtr="false" t="normal">+#REF!-'[9]Приложение №1'!$P754</f>
        <v>#REF!</v>
      </c>
      <c r="Z330" s="113" t="n">
        <f aca="false" ca="false" dt2D="false" dtr="false" t="normal">SUM(AA330:AO330)</f>
        <v>16048675.259999998</v>
      </c>
      <c r="AA330" s="106" t="n">
        <v>7026285.46716642</v>
      </c>
      <c r="AB330" s="106" t="n">
        <v>2485979.42679534</v>
      </c>
      <c r="AC330" s="106" t="n">
        <v>0</v>
      </c>
      <c r="AD330" s="106" t="n">
        <v>1626070.4809314</v>
      </c>
      <c r="AE330" s="106" t="n">
        <v>2080726.75788894</v>
      </c>
      <c r="AF330" s="106" t="n"/>
      <c r="AG330" s="106" t="n">
        <v>278790.22600296</v>
      </c>
      <c r="AH330" s="106" t="n">
        <v>0</v>
      </c>
      <c r="AI330" s="106" t="n">
        <v>0</v>
      </c>
      <c r="AJ330" s="106" t="n">
        <v>0</v>
      </c>
      <c r="AK330" s="106" t="n">
        <v>0</v>
      </c>
      <c r="AL330" s="106" t="n">
        <v>0</v>
      </c>
      <c r="AM330" s="106" t="n">
        <v>2095165.4553</v>
      </c>
      <c r="AN330" s="114" t="n">
        <v>160486.7526</v>
      </c>
      <c r="AO330" s="115" t="n">
        <v>295170.69331494</v>
      </c>
      <c r="AP330" s="112" t="n">
        <f aca="false" ca="false" dt2D="false" dtr="false" t="normal">+N330-'Приложение №2'!E330</f>
        <v>0</v>
      </c>
      <c r="AQ330" s="1" t="n">
        <f aca="false" ca="false" dt2D="false" dtr="false" t="normal">1500891.17-445165.35</f>
        <v>1055725.8199999998</v>
      </c>
      <c r="AR330" s="3" t="n">
        <f aca="false" ca="false" dt2D="false" dtr="false" t="normal">+(K330*10+L330*20)*12*0.85</f>
        <v>510486.54</v>
      </c>
      <c r="AS330" s="3" t="n">
        <f aca="false" ca="false" dt2D="false" dtr="false" t="normal">+(K330*10+L330*20)*12*30-179374.89</f>
        <v>17837797.11</v>
      </c>
      <c r="AT330" s="9" t="n">
        <f aca="false" ca="false" dt2D="false" dtr="false" t="normal">+S330-AS330</f>
        <v>-16088615.459999999</v>
      </c>
      <c r="AU330" s="9" t="e">
        <f aca="false" ca="false" dt2D="false" dtr="false" t="normal">+P330-'[5]Приложение №1'!$P344</f>
        <v>#REF!</v>
      </c>
      <c r="AV330" s="9" t="e">
        <f aca="false" ca="false" dt2D="false" dtr="false" t="normal">+Q330-'[5]Приложение №1'!$Q344</f>
        <v>#REF!</v>
      </c>
      <c r="AW330" s="113" t="n">
        <f aca="false" ca="true" dt2D="false" dtr="false" t="normal">SUBTOTAL(9, AX330:BL330)</f>
        <v>6482605.136785161</v>
      </c>
      <c r="AX330" s="106" t="n"/>
      <c r="AY330" s="106" t="n">
        <v>2485979.42679534</v>
      </c>
      <c r="AZ330" s="106" t="n">
        <v>0</v>
      </c>
      <c r="BA330" s="106" t="n">
        <v>1661185.08</v>
      </c>
      <c r="BB330" s="106" t="n"/>
      <c r="BC330" s="106" t="n"/>
      <c r="BD330" s="106" t="n"/>
      <c r="BE330" s="106" t="n">
        <v>0</v>
      </c>
      <c r="BF330" s="106" t="n">
        <v>0</v>
      </c>
      <c r="BG330" s="106" t="n">
        <v>2047663.62</v>
      </c>
      <c r="BH330" s="106" t="n">
        <v>0</v>
      </c>
      <c r="BI330" s="106" t="n"/>
      <c r="BJ330" s="106" t="n"/>
      <c r="BK330" s="114" t="n"/>
      <c r="BL330" s="187" t="n">
        <v>287777.00998982</v>
      </c>
      <c r="BM330" s="113" t="n">
        <f aca="false" ca="true" dt2D="false" dtr="false" t="normal">SUBTOTAL(9, BN330:CB330)</f>
        <v>7445775.216785161</v>
      </c>
      <c r="BN330" s="106" t="n"/>
      <c r="BO330" s="106" t="n">
        <v>2485979.42679534</v>
      </c>
      <c r="BP330" s="106" t="n">
        <v>0</v>
      </c>
      <c r="BQ330" s="106" t="n">
        <v>1661185.08</v>
      </c>
      <c r="BR330" s="106" t="n"/>
      <c r="BS330" s="106" t="n"/>
      <c r="BT330" s="106" t="n"/>
      <c r="BU330" s="106" t="n">
        <v>0</v>
      </c>
      <c r="BV330" s="106" t="n">
        <v>0</v>
      </c>
      <c r="BW330" s="106" t="n">
        <v>3010833.7</v>
      </c>
      <c r="BX330" s="106" t="n">
        <v>0</v>
      </c>
      <c r="BY330" s="106" t="n"/>
      <c r="BZ330" s="106" t="n"/>
      <c r="CA330" s="114" t="n"/>
      <c r="CB330" s="115" t="n">
        <v>287777.00998982</v>
      </c>
      <c r="CD330" s="116" t="n">
        <f aca="false" ca="false" dt2D="false" dtr="false" t="normal">+CD329+1</f>
        <v>311</v>
      </c>
      <c r="CE330" s="117" t="n">
        <f aca="false" ca="false" dt2D="false" dtr="false" t="normal">+CE329+1</f>
        <v>123</v>
      </c>
      <c r="CF330" s="104" t="s">
        <v>209</v>
      </c>
      <c r="CG330" s="117" t="s">
        <v>212</v>
      </c>
      <c r="CH330" s="118" t="n">
        <f aca="false" ca="true" dt2D="false" dtr="false" t="normal">SUBTOTAL(9, CI330:CW330)</f>
        <v>3298610.70998982</v>
      </c>
      <c r="CI330" s="114" t="n"/>
      <c r="CJ330" s="114" t="n"/>
      <c r="CK330" s="114" t="n">
        <v>0</v>
      </c>
      <c r="CL330" s="114" t="n"/>
      <c r="CM330" s="114" t="n"/>
      <c r="CN330" s="114" t="n"/>
      <c r="CO330" s="114" t="n"/>
      <c r="CP330" s="114" t="n">
        <v>0</v>
      </c>
      <c r="CQ330" s="114" t="n">
        <v>0</v>
      </c>
      <c r="CR330" s="114" t="n">
        <v>3010833.7</v>
      </c>
      <c r="CS330" s="114" t="n">
        <v>0</v>
      </c>
      <c r="CT330" s="114" t="n"/>
      <c r="CU330" s="114" t="n"/>
      <c r="CV330" s="114" t="n"/>
      <c r="CW330" s="115" t="n">
        <v>287777.00998982</v>
      </c>
      <c r="CZ330" s="117" t="s">
        <v>212</v>
      </c>
      <c r="DA330" s="119" t="n">
        <f aca="false" ca="true" dt2D="false" dtr="false" t="normal">SUBTOTAL(9, DB330:DP330)</f>
        <v>3010833.7</v>
      </c>
      <c r="DB330" s="114" t="n"/>
      <c r="DC330" s="114" t="n"/>
      <c r="DD330" s="114" t="n">
        <v>0</v>
      </c>
      <c r="DE330" s="114" t="n"/>
      <c r="DF330" s="114" t="n"/>
      <c r="DG330" s="114" t="n"/>
      <c r="DH330" s="114" t="n"/>
      <c r="DI330" s="114" t="n">
        <v>0</v>
      </c>
      <c r="DJ330" s="114" t="n">
        <v>0</v>
      </c>
      <c r="DK330" s="114" t="n">
        <v>3010833.7</v>
      </c>
      <c r="DL330" s="114" t="n">
        <v>0</v>
      </c>
      <c r="DM330" s="114" t="n"/>
      <c r="DN330" s="114" t="n"/>
      <c r="DO330" s="114" t="n"/>
      <c r="DP330" s="122" t="n"/>
      <c r="DQ330" s="3" t="n">
        <f aca="false" ca="false" dt2D="false" dtr="false" t="normal">N330-DA330</f>
        <v>0</v>
      </c>
      <c r="DS330" s="9" t="n"/>
    </row>
    <row hidden="false" ht="15" outlineLevel="0" r="331">
      <c r="A331" s="207" t="n">
        <f aca="false" ca="false" dt2D="false" dtr="false" t="normal">+A330+1</f>
        <v>312</v>
      </c>
      <c r="B331" s="207" t="n">
        <f aca="false" ca="false" dt2D="false" dtr="false" t="normal">+B330+1</f>
        <v>124</v>
      </c>
      <c r="C331" s="210" t="s">
        <v>404</v>
      </c>
      <c r="D331" s="210" t="s">
        <v>405</v>
      </c>
      <c r="E331" s="209" t="n">
        <v>1969</v>
      </c>
      <c r="F331" s="209" t="n">
        <v>2013</v>
      </c>
      <c r="G331" s="209" t="s">
        <v>68</v>
      </c>
      <c r="H331" s="105" t="n">
        <v>4</v>
      </c>
      <c r="I331" s="105" t="n">
        <v>2</v>
      </c>
      <c r="J331" s="106" t="n">
        <v>1421.6</v>
      </c>
      <c r="K331" s="106" t="n">
        <v>1089.9</v>
      </c>
      <c r="L331" s="106" t="n">
        <v>300.28</v>
      </c>
      <c r="M331" s="107" t="n">
        <v>49</v>
      </c>
      <c r="N331" s="108" t="n">
        <f aca="false" ca="false" dt2D="false" dtr="false" t="normal">SUM(P331:T331)</f>
        <v>1652498.41</v>
      </c>
      <c r="O331" s="106" t="n"/>
      <c r="P331" s="114" t="n"/>
      <c r="Q331" s="114" t="n"/>
      <c r="R331" s="114" t="n">
        <v>657903.44</v>
      </c>
      <c r="S331" s="114" t="n">
        <v>994594.97</v>
      </c>
      <c r="T331" s="214" t="n"/>
      <c r="U331" s="106" t="n">
        <v>1402.41924591711</v>
      </c>
      <c r="V331" s="106" t="n">
        <v>1402.41924591711</v>
      </c>
      <c r="W331" s="185" t="n">
        <v>2023</v>
      </c>
      <c r="X331" s="9" t="e">
        <f aca="false" ca="false" dt2D="false" dtr="false" t="normal">+#REF!-'[9]Приложение №1'!$P1149</f>
        <v>#REF!</v>
      </c>
      <c r="Z331" s="113" t="n">
        <f aca="false" ca="false" dt2D="false" dtr="false" t="normal">SUM(AA331:AO331)</f>
        <v>1959828.6931142402</v>
      </c>
      <c r="AA331" s="106" t="n">
        <v>0</v>
      </c>
      <c r="AB331" s="106" t="n">
        <v>0</v>
      </c>
      <c r="AC331" s="106" t="n">
        <v>1706920.63958262</v>
      </c>
      <c r="AD331" s="106" t="n">
        <v>0</v>
      </c>
      <c r="AE331" s="106" t="n">
        <v>0</v>
      </c>
      <c r="AF331" s="106" t="n"/>
      <c r="AG331" s="106" t="n">
        <v>0</v>
      </c>
      <c r="AH331" s="106" t="n">
        <v>0</v>
      </c>
      <c r="AI331" s="106" t="n">
        <v>0</v>
      </c>
      <c r="AJ331" s="106" t="n">
        <v>0</v>
      </c>
      <c r="AK331" s="106" t="n">
        <v>0</v>
      </c>
      <c r="AL331" s="106" t="n">
        <v>0</v>
      </c>
      <c r="AM331" s="106" t="n">
        <v>195982.869311424</v>
      </c>
      <c r="AN331" s="114" t="n">
        <v>19598.2869311424</v>
      </c>
      <c r="AO331" s="115" t="n">
        <v>37326.8972890538</v>
      </c>
      <c r="AP331" s="112" t="n">
        <f aca="false" ca="false" dt2D="false" dtr="false" t="normal">+N331-'Приложение №2'!E331</f>
        <v>0</v>
      </c>
      <c r="AQ331" s="1" t="n">
        <v>485476.52</v>
      </c>
      <c r="AR331" s="3" t="n">
        <f aca="false" ca="false" dt2D="false" dtr="false" t="normal">+(K331*10+L331*20)*12*0.85</f>
        <v>172426.91999999998</v>
      </c>
      <c r="AS331" s="3" t="n">
        <f aca="false" ca="false" dt2D="false" dtr="false" t="normal">+(K331*10+L331*20)*12*30</f>
        <v>6085655.999999999</v>
      </c>
      <c r="AT331" s="9" t="n">
        <f aca="false" ca="false" dt2D="false" dtr="false" t="normal">+S331-AS331</f>
        <v>-5091061.029999999</v>
      </c>
      <c r="AU331" s="9" t="e">
        <f aca="false" ca="false" dt2D="false" dtr="false" t="normal">+P331-'[5]Приложение №1'!$P352</f>
        <v>#REF!</v>
      </c>
      <c r="AV331" s="9" t="e">
        <f aca="false" ca="false" dt2D="false" dtr="false" t="normal">+Q331-'[5]Приложение №1'!$Q352</f>
        <v>#REF!</v>
      </c>
      <c r="AW331" s="113" t="n">
        <f aca="false" ca="true" dt2D="false" dtr="false" t="normal">SUBTOTAL(9, AX331:BL331)</f>
        <v>1949615.1872890538</v>
      </c>
      <c r="AX331" s="106" t="n">
        <v>0</v>
      </c>
      <c r="AY331" s="106" t="n">
        <v>0</v>
      </c>
      <c r="AZ331" s="106" t="n">
        <v>1912288.29</v>
      </c>
      <c r="BA331" s="106" t="n">
        <v>0</v>
      </c>
      <c r="BB331" s="106" t="n">
        <v>0</v>
      </c>
      <c r="BC331" s="106" t="n"/>
      <c r="BD331" s="106" t="n"/>
      <c r="BE331" s="106" t="n">
        <v>0</v>
      </c>
      <c r="BF331" s="106" t="n">
        <v>0</v>
      </c>
      <c r="BG331" s="106" t="n">
        <v>0</v>
      </c>
      <c r="BH331" s="106" t="n">
        <v>0</v>
      </c>
      <c r="BI331" s="106" t="n">
        <v>0</v>
      </c>
      <c r="BJ331" s="106" t="n"/>
      <c r="BK331" s="114" t="n"/>
      <c r="BL331" s="187" t="n">
        <v>37326.8972890538</v>
      </c>
      <c r="BM331" s="113" t="n">
        <f aca="false" ca="true" dt2D="false" dtr="false" t="normal">SUBTOTAL(9, BN331:CB331)</f>
        <v>1949615.1872890538</v>
      </c>
      <c r="BN331" s="106" t="n">
        <v>0</v>
      </c>
      <c r="BO331" s="106" t="n">
        <v>0</v>
      </c>
      <c r="BP331" s="106" t="n">
        <v>1912288.29</v>
      </c>
      <c r="BQ331" s="106" t="n">
        <v>0</v>
      </c>
      <c r="BR331" s="106" t="n">
        <v>0</v>
      </c>
      <c r="BS331" s="106" t="n"/>
      <c r="BT331" s="106" t="n"/>
      <c r="BU331" s="106" t="n">
        <v>0</v>
      </c>
      <c r="BV331" s="106" t="n">
        <v>0</v>
      </c>
      <c r="BW331" s="106" t="n">
        <v>0</v>
      </c>
      <c r="BX331" s="106" t="n">
        <v>0</v>
      </c>
      <c r="BY331" s="106" t="n">
        <v>0</v>
      </c>
      <c r="BZ331" s="106" t="n"/>
      <c r="CA331" s="114" t="n"/>
      <c r="CB331" s="115" t="n">
        <v>37326.8972890538</v>
      </c>
      <c r="CD331" s="116" t="n">
        <f aca="false" ca="false" dt2D="false" dtr="false" t="normal">+CD330+1</f>
        <v>312</v>
      </c>
      <c r="CE331" s="117" t="n">
        <f aca="false" ca="false" dt2D="false" dtr="false" t="normal">+CE330+1</f>
        <v>124</v>
      </c>
      <c r="CF331" s="104" t="s">
        <v>404</v>
      </c>
      <c r="CG331" s="117" t="s">
        <v>405</v>
      </c>
      <c r="CH331" s="118" t="n">
        <f aca="false" ca="true" dt2D="false" dtr="false" t="normal">SUBTOTAL(9, CI331:CW331)</f>
        <v>1689825.3072890537</v>
      </c>
      <c r="CI331" s="114" t="n">
        <v>0</v>
      </c>
      <c r="CJ331" s="114" t="n">
        <v>0</v>
      </c>
      <c r="CK331" s="114" t="n">
        <v>1652498.41</v>
      </c>
      <c r="CL331" s="114" t="n">
        <v>0</v>
      </c>
      <c r="CM331" s="114" t="n">
        <v>0</v>
      </c>
      <c r="CN331" s="114" t="n"/>
      <c r="CO331" s="114" t="n"/>
      <c r="CP331" s="114" t="n">
        <v>0</v>
      </c>
      <c r="CQ331" s="114" t="n">
        <v>0</v>
      </c>
      <c r="CR331" s="114" t="n">
        <v>0</v>
      </c>
      <c r="CS331" s="114" t="n">
        <v>0</v>
      </c>
      <c r="CT331" s="114" t="n">
        <v>0</v>
      </c>
      <c r="CU331" s="114" t="n"/>
      <c r="CV331" s="114" t="n"/>
      <c r="CW331" s="115" t="n">
        <v>37326.8972890538</v>
      </c>
      <c r="CZ331" s="117" t="s">
        <v>405</v>
      </c>
      <c r="DA331" s="119" t="n">
        <f aca="false" ca="true" dt2D="false" dtr="false" t="normal">SUBTOTAL(9, DB331:DP331)</f>
        <v>1652498.41</v>
      </c>
      <c r="DB331" s="114" t="n">
        <v>0</v>
      </c>
      <c r="DC331" s="114" t="n">
        <v>0</v>
      </c>
      <c r="DD331" s="114" t="n">
        <v>1652498.41</v>
      </c>
      <c r="DE331" s="114" t="n">
        <v>0</v>
      </c>
      <c r="DF331" s="114" t="n">
        <v>0</v>
      </c>
      <c r="DG331" s="114" t="n"/>
      <c r="DH331" s="114" t="n"/>
      <c r="DI331" s="114" t="n">
        <v>0</v>
      </c>
      <c r="DJ331" s="114" t="n">
        <v>0</v>
      </c>
      <c r="DK331" s="114" t="n">
        <v>0</v>
      </c>
      <c r="DL331" s="114" t="n">
        <v>0</v>
      </c>
      <c r="DM331" s="114" t="n">
        <v>0</v>
      </c>
      <c r="DN331" s="114" t="n"/>
      <c r="DO331" s="114" t="n"/>
      <c r="DP331" s="122" t="n"/>
      <c r="DQ331" s="3" t="n">
        <f aca="false" ca="false" dt2D="false" dtr="false" t="normal">N331-DA331</f>
        <v>0</v>
      </c>
      <c r="DS331" s="9" t="n"/>
    </row>
    <row hidden="false" ht="15" outlineLevel="0" r="332">
      <c r="A332" s="207" t="n">
        <f aca="false" ca="false" dt2D="false" dtr="false" t="normal">+A331+1</f>
        <v>313</v>
      </c>
      <c r="B332" s="207" t="n">
        <f aca="false" ca="false" dt2D="false" dtr="false" t="normal">+B331+1</f>
        <v>125</v>
      </c>
      <c r="C332" s="210" t="s">
        <v>404</v>
      </c>
      <c r="D332" s="210" t="s">
        <v>406</v>
      </c>
      <c r="E332" s="209" t="n">
        <v>1970</v>
      </c>
      <c r="F332" s="209" t="n">
        <v>2013</v>
      </c>
      <c r="G332" s="209" t="s">
        <v>68</v>
      </c>
      <c r="H332" s="105" t="n">
        <v>4</v>
      </c>
      <c r="I332" s="105" t="n">
        <v>2</v>
      </c>
      <c r="J332" s="106" t="n">
        <v>1437.6</v>
      </c>
      <c r="K332" s="106" t="n">
        <v>1362.7</v>
      </c>
      <c r="L332" s="106" t="n">
        <v>0</v>
      </c>
      <c r="M332" s="107" t="n">
        <v>55</v>
      </c>
      <c r="N332" s="108" t="n">
        <f aca="false" ca="false" dt2D="false" dtr="false" t="normal">SUM(P332:T332)</f>
        <v>1424229.1800000002</v>
      </c>
      <c r="O332" s="106" t="n"/>
      <c r="P332" s="114" t="n"/>
      <c r="Q332" s="114" t="n"/>
      <c r="R332" s="114" t="n">
        <v>706857.29</v>
      </c>
      <c r="S332" s="114" t="n">
        <v>717371.89</v>
      </c>
      <c r="T332" s="106" t="n"/>
      <c r="U332" s="106" t="n">
        <v>1075.4766070666</v>
      </c>
      <c r="V332" s="106" t="n">
        <v>1075.4766070666</v>
      </c>
      <c r="W332" s="185" t="n">
        <v>2023</v>
      </c>
      <c r="X332" s="9" t="e">
        <f aca="false" ca="false" dt2D="false" dtr="false" t="normal">+#REF!-'[9]Приложение №1'!$P1157</f>
        <v>#REF!</v>
      </c>
      <c r="Z332" s="113" t="n">
        <f aca="false" ca="false" dt2D="false" dtr="false" t="normal">SUM(AA332:AO332)</f>
        <v>1481678.1712512022</v>
      </c>
      <c r="AA332" s="106" t="n">
        <v>0</v>
      </c>
      <c r="AB332" s="106" t="n">
        <v>0</v>
      </c>
      <c r="AC332" s="106" t="n">
        <v>1290473.52996392</v>
      </c>
      <c r="AD332" s="106" t="n">
        <v>0</v>
      </c>
      <c r="AE332" s="106" t="n">
        <v>0</v>
      </c>
      <c r="AF332" s="106" t="n"/>
      <c r="AG332" s="106" t="n">
        <v>0</v>
      </c>
      <c r="AH332" s="106" t="n">
        <v>0</v>
      </c>
      <c r="AI332" s="106" t="n">
        <v>0</v>
      </c>
      <c r="AJ332" s="106" t="n">
        <v>0</v>
      </c>
      <c r="AK332" s="106" t="n">
        <v>0</v>
      </c>
      <c r="AL332" s="106" t="n">
        <v>0</v>
      </c>
      <c r="AM332" s="106" t="n">
        <v>148167.81712512</v>
      </c>
      <c r="AN332" s="114" t="n">
        <v>14816.781712512</v>
      </c>
      <c r="AO332" s="115" t="n">
        <v>28220.0424496504</v>
      </c>
      <c r="AP332" s="112" t="n">
        <f aca="false" ca="false" dt2D="false" dtr="false" t="normal">+N332-'Приложение №2'!E332</f>
        <v>0</v>
      </c>
      <c r="AQ332" s="1" t="n">
        <v>567861.89</v>
      </c>
      <c r="AR332" s="3" t="n">
        <f aca="false" ca="false" dt2D="false" dtr="false" t="normal">+(K332*10+L332*20)*12*0.85</f>
        <v>138995.4</v>
      </c>
      <c r="AS332" s="3" t="n">
        <f aca="false" ca="false" dt2D="false" dtr="false" t="normal">+(K332*10+L332*20)*12*30</f>
        <v>4905720</v>
      </c>
      <c r="AT332" s="9" t="n">
        <f aca="false" ca="false" dt2D="false" dtr="false" t="normal">+S332-AS332</f>
        <v>-4188348.11</v>
      </c>
      <c r="AU332" s="9" t="e">
        <f aca="false" ca="false" dt2D="false" dtr="false" t="normal">+P332-'[5]Приложение №1'!$P359</f>
        <v>#REF!</v>
      </c>
      <c r="AV332" s="9" t="e">
        <f aca="false" ca="false" dt2D="false" dtr="false" t="normal">+Q332-'[5]Приложение №1'!$Q359</f>
        <v>#REF!</v>
      </c>
      <c r="AW332" s="113" t="n">
        <f aca="false" ca="true" dt2D="false" dtr="false" t="normal">SUBTOTAL(9, AX332:BL332)</f>
        <v>1465551.9724496503</v>
      </c>
      <c r="AX332" s="106" t="n">
        <v>0</v>
      </c>
      <c r="AY332" s="106" t="n">
        <v>0</v>
      </c>
      <c r="AZ332" s="106" t="n">
        <v>1437331.93</v>
      </c>
      <c r="BA332" s="106" t="n">
        <v>0</v>
      </c>
      <c r="BB332" s="106" t="n">
        <v>0</v>
      </c>
      <c r="BC332" s="106" t="n"/>
      <c r="BD332" s="106" t="n"/>
      <c r="BE332" s="106" t="n">
        <v>0</v>
      </c>
      <c r="BF332" s="106" t="n">
        <v>0</v>
      </c>
      <c r="BG332" s="106" t="n">
        <v>0</v>
      </c>
      <c r="BH332" s="106" t="n">
        <v>0</v>
      </c>
      <c r="BI332" s="106" t="n">
        <v>0</v>
      </c>
      <c r="BJ332" s="106" t="n"/>
      <c r="BK332" s="114" t="n"/>
      <c r="BL332" s="187" t="n">
        <v>28220.0424496504</v>
      </c>
      <c r="BM332" s="113" t="n">
        <f aca="false" ca="true" dt2D="false" dtr="false" t="normal">SUBTOTAL(9, BN332:CB332)</f>
        <v>1465551.9724496503</v>
      </c>
      <c r="BN332" s="106" t="n">
        <v>0</v>
      </c>
      <c r="BO332" s="106" t="n">
        <v>0</v>
      </c>
      <c r="BP332" s="106" t="n">
        <v>1437331.93</v>
      </c>
      <c r="BQ332" s="106" t="n">
        <v>0</v>
      </c>
      <c r="BR332" s="106" t="n">
        <v>0</v>
      </c>
      <c r="BS332" s="106" t="n"/>
      <c r="BT332" s="106" t="n"/>
      <c r="BU332" s="106" t="n">
        <v>0</v>
      </c>
      <c r="BV332" s="106" t="n">
        <v>0</v>
      </c>
      <c r="BW332" s="106" t="n">
        <v>0</v>
      </c>
      <c r="BX332" s="106" t="n">
        <v>0</v>
      </c>
      <c r="BY332" s="106" t="n">
        <v>0</v>
      </c>
      <c r="BZ332" s="106" t="n"/>
      <c r="CA332" s="114" t="n"/>
      <c r="CB332" s="115" t="n">
        <v>28220.0424496504</v>
      </c>
      <c r="CD332" s="116" t="n">
        <f aca="false" ca="false" dt2D="false" dtr="false" t="normal">+CD331+1</f>
        <v>313</v>
      </c>
      <c r="CE332" s="117" t="n">
        <f aca="false" ca="false" dt2D="false" dtr="false" t="normal">+CE331+1</f>
        <v>125</v>
      </c>
      <c r="CF332" s="104" t="s">
        <v>404</v>
      </c>
      <c r="CG332" s="117" t="s">
        <v>406</v>
      </c>
      <c r="CH332" s="118" t="n">
        <f aca="false" ca="true" dt2D="false" dtr="false" t="normal">SUBTOTAL(9, CI332:CW332)</f>
        <v>1452449.2224496503</v>
      </c>
      <c r="CI332" s="114" t="n">
        <v>0</v>
      </c>
      <c r="CJ332" s="114" t="n">
        <v>0</v>
      </c>
      <c r="CK332" s="114" t="n">
        <v>1424229.18</v>
      </c>
      <c r="CL332" s="114" t="n">
        <v>0</v>
      </c>
      <c r="CM332" s="114" t="n">
        <v>0</v>
      </c>
      <c r="CN332" s="114" t="n"/>
      <c r="CO332" s="114" t="n"/>
      <c r="CP332" s="114" t="n">
        <v>0</v>
      </c>
      <c r="CQ332" s="114" t="n">
        <v>0</v>
      </c>
      <c r="CR332" s="114" t="n">
        <v>0</v>
      </c>
      <c r="CS332" s="114" t="n">
        <v>0</v>
      </c>
      <c r="CT332" s="114" t="n">
        <v>0</v>
      </c>
      <c r="CU332" s="114" t="n"/>
      <c r="CV332" s="114" t="n"/>
      <c r="CW332" s="115" t="n">
        <v>28220.0424496504</v>
      </c>
      <c r="CZ332" s="117" t="s">
        <v>406</v>
      </c>
      <c r="DA332" s="119" t="n">
        <f aca="false" ca="true" dt2D="false" dtr="false" t="normal">SUBTOTAL(9, DB332:DP332)</f>
        <v>1424229.18</v>
      </c>
      <c r="DB332" s="114" t="n">
        <v>0</v>
      </c>
      <c r="DC332" s="114" t="n">
        <v>0</v>
      </c>
      <c r="DD332" s="114" t="n">
        <v>1424229.18</v>
      </c>
      <c r="DE332" s="114" t="n">
        <v>0</v>
      </c>
      <c r="DF332" s="114" t="n">
        <v>0</v>
      </c>
      <c r="DG332" s="114" t="n"/>
      <c r="DH332" s="114" t="n"/>
      <c r="DI332" s="114" t="n">
        <v>0</v>
      </c>
      <c r="DJ332" s="114" t="n">
        <v>0</v>
      </c>
      <c r="DK332" s="114" t="n">
        <v>0</v>
      </c>
      <c r="DL332" s="114" t="n">
        <v>0</v>
      </c>
      <c r="DM332" s="114" t="n">
        <v>0</v>
      </c>
      <c r="DN332" s="114" t="n"/>
      <c r="DO332" s="114" t="n"/>
      <c r="DP332" s="122" t="n"/>
      <c r="DQ332" s="3" t="n">
        <f aca="false" ca="false" dt2D="false" dtr="false" t="normal">N332-DA332</f>
        <v>0</v>
      </c>
      <c r="DS332" s="9" t="n"/>
    </row>
    <row hidden="false" ht="15" outlineLevel="0" r="333">
      <c r="A333" s="207" t="n">
        <f aca="false" ca="false" dt2D="false" dtr="false" t="normal">+A332+1</f>
        <v>314</v>
      </c>
      <c r="B333" s="207" t="n">
        <f aca="false" ca="false" dt2D="false" dtr="false" t="normal">+B332+1</f>
        <v>126</v>
      </c>
      <c r="C333" s="208" t="s">
        <v>215</v>
      </c>
      <c r="D333" s="208" t="s">
        <v>407</v>
      </c>
      <c r="E333" s="209" t="n">
        <v>1977</v>
      </c>
      <c r="F333" s="209" t="n">
        <v>1977</v>
      </c>
      <c r="G333" s="209" t="s">
        <v>68</v>
      </c>
      <c r="H333" s="105" t="n">
        <v>5</v>
      </c>
      <c r="I333" s="105" t="n">
        <v>1</v>
      </c>
      <c r="J333" s="106" t="n">
        <v>1730.3</v>
      </c>
      <c r="K333" s="106" t="n">
        <v>1456.4</v>
      </c>
      <c r="L333" s="106" t="n">
        <v>0</v>
      </c>
      <c r="M333" s="107" t="n">
        <v>49</v>
      </c>
      <c r="N333" s="108" t="n">
        <f aca="false" ca="false" dt2D="false" dtr="false" t="normal">SUM(P333:T333)</f>
        <v>17277398.86</v>
      </c>
      <c r="O333" s="114" t="n"/>
      <c r="P333" s="114" t="n">
        <f aca="false" ca="false" dt2D="false" dtr="false" t="normal">8955461.07+1753973.84-196116.1+3050599.92</f>
        <v>13563918.73</v>
      </c>
      <c r="Q333" s="114" t="n"/>
      <c r="R333" s="114" t="n">
        <v>1315.8</v>
      </c>
      <c r="S333" s="114" t="n">
        <v>3712164.33</v>
      </c>
      <c r="T333" s="106" t="n"/>
      <c r="U333" s="106" t="n">
        <v>12258.2707206344</v>
      </c>
      <c r="V333" s="106" t="n">
        <v>12258.2707206344</v>
      </c>
      <c r="W333" s="185" t="n">
        <v>2023</v>
      </c>
      <c r="X333" s="9" t="e">
        <f aca="false" ca="false" dt2D="false" dtr="false" t="normal">+#REF!-'[9]Приложение №1'!$P1012</f>
        <v>#REF!</v>
      </c>
      <c r="Z333" s="113" t="n">
        <f aca="false" ca="false" dt2D="false" dtr="false" t="normal">SUM(AA333:AO333)</f>
        <v>38072067.12</v>
      </c>
      <c r="AA333" s="106" t="n">
        <v>4710479.10500622</v>
      </c>
      <c r="AB333" s="106" t="n">
        <v>2176226.30892702</v>
      </c>
      <c r="AC333" s="106" t="n">
        <v>2204614.38392244</v>
      </c>
      <c r="AD333" s="106" t="n">
        <v>1424137.12034328</v>
      </c>
      <c r="AE333" s="106" t="n">
        <v>0</v>
      </c>
      <c r="AF333" s="106" t="n"/>
      <c r="AG333" s="106" t="n">
        <v>146063.50321332</v>
      </c>
      <c r="AH333" s="106" t="n">
        <v>0</v>
      </c>
      <c r="AI333" s="106" t="n">
        <v>11068738.746597</v>
      </c>
      <c r="AJ333" s="106" t="n">
        <v>0</v>
      </c>
      <c r="AK333" s="106" t="n">
        <v>5717896.39513596</v>
      </c>
      <c r="AL333" s="106" t="n">
        <v>5901111.375978</v>
      </c>
      <c r="AM333" s="106" t="n">
        <v>3612798.5854</v>
      </c>
      <c r="AN333" s="114" t="n">
        <v>380720.6712</v>
      </c>
      <c r="AO333" s="115" t="n">
        <v>729280.92427676</v>
      </c>
      <c r="AP333" s="112" t="n">
        <f aca="false" ca="false" dt2D="false" dtr="false" t="normal">+N333-'Приложение №2'!E333</f>
        <v>0</v>
      </c>
      <c r="AQ333" s="9" t="n">
        <f aca="false" ca="false" dt2D="false" dtr="false" t="normal">590020.37-R145</f>
        <v>-147237</v>
      </c>
      <c r="AR333" s="3" t="n">
        <f aca="false" ca="false" dt2D="false" dtr="false" t="normal">+(K333*10+L333*20)*12*0.85</f>
        <v>148552.8</v>
      </c>
      <c r="AS333" s="3" t="n">
        <f aca="false" ca="false" dt2D="false" dtr="false" t="normal">+(K333*10+L333*20)*12*30-S145</f>
        <v>3789794.2800000003</v>
      </c>
      <c r="AT333" s="9" t="n">
        <f aca="false" ca="false" dt2D="false" dtr="false" t="normal">+S333-AS333</f>
        <v>-77629.95000000019</v>
      </c>
      <c r="AU333" s="9" t="e">
        <f aca="false" ca="false" dt2D="false" dtr="false" t="normal">+P333-'[5]Приложение №1'!$P365</f>
        <v>#REF!</v>
      </c>
      <c r="AV333" s="9" t="e">
        <f aca="false" ca="false" dt2D="false" dtr="false" t="normal">+Q333-'[5]Приложение №1'!$Q365</f>
        <v>#REF!</v>
      </c>
      <c r="AW333" s="113" t="n">
        <f aca="false" ca="true" dt2D="false" dtr="false" t="normal">SUBTOTAL(9, AX333:BL333)</f>
        <v>17852945.477532</v>
      </c>
      <c r="AX333" s="106" t="n">
        <v>5026597.23</v>
      </c>
      <c r="AY333" s="106" t="n">
        <v>2161426.54</v>
      </c>
      <c r="AZ333" s="106" t="n">
        <v>2221327.14</v>
      </c>
      <c r="BA333" s="106" t="n">
        <v>1568575.74</v>
      </c>
      <c r="BB333" s="106" t="n"/>
      <c r="BC333" s="106" t="n"/>
      <c r="BD333" s="106" t="n"/>
      <c r="BE333" s="106" t="n"/>
      <c r="BF333" s="106" t="n"/>
      <c r="BG333" s="106" t="n">
        <v>0</v>
      </c>
      <c r="BH333" s="106" t="n"/>
      <c r="BI333" s="106" t="n">
        <v>6200769.64</v>
      </c>
      <c r="BJ333" s="106" t="n"/>
      <c r="BK333" s="114" t="n"/>
      <c r="BL333" s="187" t="n">
        <v>674249.187532</v>
      </c>
      <c r="BM333" s="113" t="n">
        <f aca="false" ca="true" dt2D="false" dtr="false" t="normal">SUBTOTAL(9, BN333:CB333)</f>
        <v>17845432.137532003</v>
      </c>
      <c r="BN333" s="106" t="n">
        <v>5026597.23</v>
      </c>
      <c r="BO333" s="192" t="n">
        <v>1761810.43</v>
      </c>
      <c r="BP333" s="192" t="n">
        <v>2190965.3</v>
      </c>
      <c r="BQ333" s="192" t="n">
        <v>962343.08</v>
      </c>
      <c r="BR333" s="106" t="n"/>
      <c r="BS333" s="106" t="n"/>
      <c r="BT333" s="106" t="n"/>
      <c r="BU333" s="106" t="n"/>
      <c r="BV333" s="106" t="n"/>
      <c r="BW333" s="106" t="n">
        <v>0</v>
      </c>
      <c r="BX333" s="106" t="n"/>
      <c r="BY333" s="192" t="n">
        <v>7229466.91</v>
      </c>
      <c r="BZ333" s="106" t="n"/>
      <c r="CA333" s="114" t="n"/>
      <c r="CB333" s="115" t="n">
        <v>674249.187532</v>
      </c>
      <c r="CD333" s="116" t="n">
        <f aca="false" ca="false" dt2D="false" dtr="false" t="normal">+CD332+1</f>
        <v>314</v>
      </c>
      <c r="CE333" s="117" t="n">
        <f aca="false" ca="false" dt2D="false" dtr="false" t="normal">+CE332+1</f>
        <v>126</v>
      </c>
      <c r="CF333" s="104" t="s">
        <v>215</v>
      </c>
      <c r="CG333" s="117" t="s">
        <v>216</v>
      </c>
      <c r="CH333" s="118" t="n">
        <f aca="false" ca="true" dt2D="false" dtr="false" t="normal">SUBTOTAL(9, CI333:CW333)</f>
        <v>17845432.137532003</v>
      </c>
      <c r="CI333" s="114" t="n">
        <v>5026597.23</v>
      </c>
      <c r="CJ333" s="114" t="n">
        <v>1761810.43</v>
      </c>
      <c r="CK333" s="114" t="n">
        <v>2190965.3</v>
      </c>
      <c r="CL333" s="114" t="n">
        <v>962343.08</v>
      </c>
      <c r="CM333" s="114" t="n"/>
      <c r="CN333" s="114" t="n"/>
      <c r="CO333" s="114" t="n"/>
      <c r="CP333" s="114" t="n"/>
      <c r="CQ333" s="114" t="n"/>
      <c r="CR333" s="114" t="n">
        <v>0</v>
      </c>
      <c r="CS333" s="114" t="n"/>
      <c r="CT333" s="114" t="n">
        <v>7229466.91</v>
      </c>
      <c r="CU333" s="114" t="n"/>
      <c r="CV333" s="114" t="n"/>
      <c r="CW333" s="115" t="n">
        <v>674249.187532</v>
      </c>
      <c r="CZ333" s="117" t="s">
        <v>216</v>
      </c>
      <c r="DA333" s="119" t="n">
        <f aca="false" ca="true" dt2D="false" dtr="false" t="normal">SUBTOTAL(9, DB333:DP333)</f>
        <v>17277398.860000003</v>
      </c>
      <c r="DB333" s="114" t="n">
        <v>5026597.23</v>
      </c>
      <c r="DC333" s="114" t="n">
        <v>1761810.43</v>
      </c>
      <c r="DD333" s="114" t="n">
        <v>2190965.3</v>
      </c>
      <c r="DE333" s="114" t="n">
        <v>962343.08</v>
      </c>
      <c r="DF333" s="114" t="n"/>
      <c r="DG333" s="114" t="n"/>
      <c r="DH333" s="114" t="n"/>
      <c r="DI333" s="114" t="n"/>
      <c r="DJ333" s="114" t="n"/>
      <c r="DK333" s="114" t="n">
        <v>0</v>
      </c>
      <c r="DL333" s="114" t="n"/>
      <c r="DM333" s="114" t="n">
        <v>7229466.91</v>
      </c>
      <c r="DN333" s="114" t="n"/>
      <c r="DO333" s="114" t="n"/>
      <c r="DP333" s="120" t="n">
        <f aca="false" ca="false" dt2D="false" dtr="false" t="normal">143369.99-37154.08</f>
        <v>106215.90999999999</v>
      </c>
      <c r="DQ333" s="3" t="n">
        <f aca="false" ca="false" dt2D="false" dtr="false" t="normal">N333-DA333</f>
        <v>0</v>
      </c>
      <c r="DS333" s="9" t="n"/>
    </row>
    <row hidden="false" ht="15" outlineLevel="0" r="334">
      <c r="A334" s="207" t="n">
        <f aca="false" ca="false" dt2D="false" dtr="false" t="normal">+A333+1</f>
        <v>315</v>
      </c>
      <c r="B334" s="207" t="n">
        <f aca="false" ca="false" dt2D="false" dtr="false" t="normal">+B333+1</f>
        <v>127</v>
      </c>
      <c r="C334" s="208" t="s">
        <v>217</v>
      </c>
      <c r="D334" s="208" t="s">
        <v>408</v>
      </c>
      <c r="E334" s="209" t="n">
        <v>1984</v>
      </c>
      <c r="F334" s="209" t="n">
        <v>1984</v>
      </c>
      <c r="G334" s="209" t="s">
        <v>68</v>
      </c>
      <c r="H334" s="105" t="n">
        <v>5</v>
      </c>
      <c r="I334" s="105" t="n">
        <v>4</v>
      </c>
      <c r="J334" s="106" t="n">
        <v>3359.4</v>
      </c>
      <c r="K334" s="106" t="n">
        <v>2391.8</v>
      </c>
      <c r="L334" s="106" t="n">
        <v>553.2</v>
      </c>
      <c r="M334" s="107" t="n">
        <v>62</v>
      </c>
      <c r="N334" s="108" t="n">
        <f aca="false" ca="false" dt2D="false" dtr="false" t="normal">SUM(P334:T334)</f>
        <v>17387080.56</v>
      </c>
      <c r="O334" s="114" t="n"/>
      <c r="P334" s="114" t="n">
        <f aca="false" ca="false" dt2D="false" dtr="false" t="normal">10041027.15+2382250.6+408269.66+234825.18</f>
        <v>13066372.59</v>
      </c>
      <c r="Q334" s="114" t="n"/>
      <c r="R334" s="114" t="n">
        <v>442334.41</v>
      </c>
      <c r="S334" s="114" t="n">
        <v>3878373.56</v>
      </c>
      <c r="T334" s="106" t="n"/>
      <c r="U334" s="106" t="n">
        <v>9447.50199910945</v>
      </c>
      <c r="V334" s="106" t="n">
        <v>9447.50199910945</v>
      </c>
      <c r="W334" s="185" t="n">
        <v>2023</v>
      </c>
      <c r="X334" s="9" t="e">
        <f aca="false" ca="false" dt2D="false" dtr="false" t="normal">+#REF!-'[9]Приложение №1'!$P1765</f>
        <v>#REF!</v>
      </c>
      <c r="Z334" s="113" t="n">
        <f aca="false" ca="false" dt2D="false" dtr="false" t="normal">SUM(AA334:AO334)</f>
        <v>24399375.708956137</v>
      </c>
      <c r="AA334" s="106" t="n">
        <v>0</v>
      </c>
      <c r="AB334" s="106" t="n">
        <v>0</v>
      </c>
      <c r="AC334" s="106" t="n">
        <v>0</v>
      </c>
      <c r="AD334" s="106" t="n">
        <v>0</v>
      </c>
      <c r="AE334" s="106" t="n">
        <v>0</v>
      </c>
      <c r="AF334" s="106" t="n"/>
      <c r="AG334" s="106" t="n">
        <v>0</v>
      </c>
      <c r="AH334" s="106" t="n">
        <v>0</v>
      </c>
      <c r="AI334" s="106" t="n">
        <v>0</v>
      </c>
      <c r="AJ334" s="106" t="n">
        <v>0</v>
      </c>
      <c r="AK334" s="106" t="n">
        <v>10229706.1</v>
      </c>
      <c r="AL334" s="106" t="n">
        <v>13577874.103206</v>
      </c>
      <c r="AM334" s="106" t="n">
        <v>258631.32</v>
      </c>
      <c r="AN334" s="106" t="n">
        <v>39488.83</v>
      </c>
      <c r="AO334" s="115" t="n">
        <v>293675.35575014</v>
      </c>
      <c r="AP334" s="112" t="n">
        <f aca="false" ca="false" dt2D="false" dtr="false" t="normal">+N334-'Приложение №2'!E334</f>
        <v>0</v>
      </c>
      <c r="AQ334" s="9" t="n">
        <f aca="false" ca="false" dt2D="false" dtr="false" t="normal">1110865.63-R146</f>
        <v>618086.45</v>
      </c>
      <c r="AR334" s="3" t="n">
        <f aca="false" ca="false" dt2D="false" dtr="false" t="normal">+(K334*10+L334*20)*12*0.85</f>
        <v>356816.39999999997</v>
      </c>
      <c r="AS334" s="3" t="n">
        <f aca="false" ca="false" dt2D="false" dtr="false" t="normal">+(K334*10+L334*20)*12*30-3112059.45-S146</f>
        <v>3807576.750000001</v>
      </c>
      <c r="AT334" s="9" t="n">
        <f aca="false" ca="false" dt2D="false" dtr="false" t="normal">+S334-AS334</f>
        <v>70796.80999999912</v>
      </c>
      <c r="AU334" s="9" t="e">
        <f aca="false" ca="false" dt2D="false" dtr="false" t="normal">+P334-'[5]Приложение №1'!$P366</f>
        <v>#REF!</v>
      </c>
      <c r="AV334" s="9" t="e">
        <f aca="false" ca="false" dt2D="false" dtr="false" t="normal">+Q334-'[5]Приложение №1'!$Q366</f>
        <v>#REF!</v>
      </c>
      <c r="AW334" s="113" t="n">
        <f aca="false" ca="true" dt2D="false" dtr="false" t="normal">SUBTOTAL(9, AX334:BL334)</f>
        <v>27822893.38737733</v>
      </c>
      <c r="AX334" s="106" t="n"/>
      <c r="AY334" s="106" t="n"/>
      <c r="AZ334" s="106" t="n">
        <v>3949042.3</v>
      </c>
      <c r="BA334" s="106" t="n"/>
      <c r="BB334" s="106" t="n">
        <v>0</v>
      </c>
      <c r="BC334" s="106" t="n"/>
      <c r="BD334" s="106" t="n"/>
      <c r="BE334" s="106" t="n">
        <v>0</v>
      </c>
      <c r="BF334" s="106" t="n"/>
      <c r="BG334" s="106" t="n">
        <v>0</v>
      </c>
      <c r="BH334" s="106" t="n">
        <v>10229706.1</v>
      </c>
      <c r="BI334" s="106" t="n">
        <v>12638125.92</v>
      </c>
      <c r="BJ334" s="106" t="n"/>
      <c r="BK334" s="106" t="n"/>
      <c r="BL334" s="187" t="n">
        <v>1006019.06737733</v>
      </c>
      <c r="BM334" s="113" t="n">
        <f aca="false" ca="true" dt2D="false" dtr="false" t="normal">SUBTOTAL(9, BN334:CB334)</f>
        <v>28531481.27737733</v>
      </c>
      <c r="BN334" s="106" t="n"/>
      <c r="BO334" s="106" t="n"/>
      <c r="BP334" s="192" t="n">
        <v>3897843.76</v>
      </c>
      <c r="BQ334" s="106" t="n"/>
      <c r="BR334" s="106" t="n">
        <v>0</v>
      </c>
      <c r="BS334" s="106" t="n"/>
      <c r="BT334" s="106" t="n"/>
      <c r="BU334" s="106" t="n">
        <v>0</v>
      </c>
      <c r="BV334" s="106" t="n"/>
      <c r="BW334" s="106" t="n">
        <v>0</v>
      </c>
      <c r="BX334" s="106" t="n">
        <v>10229706.1</v>
      </c>
      <c r="BY334" s="192" t="n">
        <v>13397912.35</v>
      </c>
      <c r="BZ334" s="106" t="n"/>
      <c r="CA334" s="106" t="n"/>
      <c r="CB334" s="115" t="n">
        <v>1006019.06737733</v>
      </c>
      <c r="CD334" s="116" t="n">
        <f aca="false" ca="false" dt2D="false" dtr="false" t="normal">+CD333+1</f>
        <v>315</v>
      </c>
      <c r="CE334" s="117" t="n">
        <f aca="false" ca="false" dt2D="false" dtr="false" t="normal">+CE333+1</f>
        <v>127</v>
      </c>
      <c r="CF334" s="104" t="s">
        <v>217</v>
      </c>
      <c r="CG334" s="117" t="s">
        <v>218</v>
      </c>
      <c r="CH334" s="118" t="n">
        <f aca="false" ca="true" dt2D="false" dtr="false" t="normal">SUBTOTAL(9, CI334:CW334)</f>
        <v>18301775.17737733</v>
      </c>
      <c r="CI334" s="114" t="n"/>
      <c r="CJ334" s="114" t="n"/>
      <c r="CK334" s="114" t="n">
        <v>3897843.76</v>
      </c>
      <c r="CL334" s="114" t="n"/>
      <c r="CM334" s="114" t="n">
        <v>0</v>
      </c>
      <c r="CN334" s="114" t="n"/>
      <c r="CO334" s="114" t="n"/>
      <c r="CP334" s="114" t="n">
        <v>0</v>
      </c>
      <c r="CQ334" s="114" t="n"/>
      <c r="CR334" s="114" t="n">
        <v>0</v>
      </c>
      <c r="CS334" s="114" t="n"/>
      <c r="CT334" s="114" t="n">
        <v>13397912.35</v>
      </c>
      <c r="CU334" s="114" t="n"/>
      <c r="CV334" s="114" t="n"/>
      <c r="CW334" s="115" t="n">
        <v>1006019.06737733</v>
      </c>
      <c r="CZ334" s="117" t="s">
        <v>218</v>
      </c>
      <c r="DA334" s="119" t="n">
        <f aca="false" ca="true" dt2D="false" dtr="false" t="normal">SUBTOTAL(9, DB334:DP334)</f>
        <v>17387080.56</v>
      </c>
      <c r="DB334" s="114" t="n"/>
      <c r="DC334" s="114" t="n"/>
      <c r="DD334" s="114" t="n">
        <v>3897843.76</v>
      </c>
      <c r="DE334" s="114" t="n"/>
      <c r="DF334" s="114" t="n">
        <v>0</v>
      </c>
      <c r="DG334" s="114" t="n"/>
      <c r="DH334" s="114" t="n"/>
      <c r="DI334" s="114" t="n">
        <v>0</v>
      </c>
      <c r="DJ334" s="114" t="n"/>
      <c r="DK334" s="114" t="n">
        <v>0</v>
      </c>
      <c r="DL334" s="114" t="n"/>
      <c r="DM334" s="114" t="n">
        <v>13397912.35</v>
      </c>
      <c r="DN334" s="114" t="n"/>
      <c r="DO334" s="114" t="n"/>
      <c r="DP334" s="120" t="n">
        <v>91324.45</v>
      </c>
      <c r="DQ334" s="3" t="n">
        <f aca="false" ca="false" dt2D="false" dtr="false" t="normal">N334-DA334</f>
        <v>0</v>
      </c>
      <c r="DS334" s="9" t="n"/>
    </row>
    <row hidden="false" ht="15" outlineLevel="0" r="335">
      <c r="A335" s="207" t="n">
        <f aca="false" ca="false" dt2D="false" dtr="false" t="normal">+A334+1</f>
        <v>316</v>
      </c>
      <c r="B335" s="207" t="n">
        <f aca="false" ca="false" dt2D="false" dtr="false" t="normal">+B334+1</f>
        <v>128</v>
      </c>
      <c r="C335" s="210" t="s">
        <v>221</v>
      </c>
      <c r="D335" s="210" t="s">
        <v>409</v>
      </c>
      <c r="E335" s="209" t="n">
        <v>1972</v>
      </c>
      <c r="F335" s="209" t="n">
        <v>2013</v>
      </c>
      <c r="G335" s="209" t="s">
        <v>68</v>
      </c>
      <c r="H335" s="105" t="n">
        <v>4</v>
      </c>
      <c r="I335" s="105" t="n">
        <v>3</v>
      </c>
      <c r="J335" s="106" t="n">
        <v>1348.9</v>
      </c>
      <c r="K335" s="106" t="n">
        <v>1047.4</v>
      </c>
      <c r="L335" s="106" t="n">
        <v>182.5</v>
      </c>
      <c r="M335" s="107" t="n">
        <v>50</v>
      </c>
      <c r="N335" s="108" t="n">
        <f aca="false" ca="false" dt2D="false" dtr="false" t="normal">SUM(P335:T335)</f>
        <v>723055.9</v>
      </c>
      <c r="O335" s="106" t="n"/>
      <c r="P335" s="114" t="n"/>
      <c r="Q335" s="114" t="n"/>
      <c r="R335" s="114" t="n">
        <v>425426.039642386</v>
      </c>
      <c r="S335" s="114" t="n">
        <v>297629.860357614</v>
      </c>
      <c r="T335" s="106" t="n"/>
      <c r="U335" s="114" t="n">
        <v>3239.32438031685</v>
      </c>
      <c r="V335" s="114" t="n">
        <v>1362.283020064</v>
      </c>
      <c r="W335" s="185" t="n">
        <v>2023</v>
      </c>
      <c r="X335" s="9" t="e">
        <f aca="false" ca="false" dt2D="false" dtr="false" t="normal">+#REF!-'[9]Приложение №1'!$P932</f>
        <v>#REF!</v>
      </c>
      <c r="Z335" s="113" t="n">
        <f aca="false" ca="false" dt2D="false" dtr="false" t="normal">SUM(AA335:AO335)</f>
        <v>6001891.949999999</v>
      </c>
      <c r="AA335" s="106" t="n">
        <v>0</v>
      </c>
      <c r="AB335" s="106" t="n">
        <v>0</v>
      </c>
      <c r="AC335" s="106" t="n">
        <v>1189999.01255088</v>
      </c>
      <c r="AD335" s="106" t="n">
        <v>0</v>
      </c>
      <c r="AE335" s="106" t="n">
        <v>0</v>
      </c>
      <c r="AF335" s="106" t="n"/>
      <c r="AG335" s="106" t="n">
        <v>0</v>
      </c>
      <c r="AH335" s="106" t="n">
        <v>0</v>
      </c>
      <c r="AI335" s="106" t="n">
        <v>0</v>
      </c>
      <c r="AJ335" s="106" t="n">
        <v>764864.7916203</v>
      </c>
      <c r="AK335" s="106" t="n">
        <v>0</v>
      </c>
      <c r="AL335" s="106" t="n">
        <v>3272507.99724912</v>
      </c>
      <c r="AM335" s="106" t="n">
        <v>600189.195</v>
      </c>
      <c r="AN335" s="114" t="n">
        <v>60018.9195</v>
      </c>
      <c r="AO335" s="115" t="n">
        <v>114312.0340797</v>
      </c>
      <c r="AP335" s="112" t="n">
        <f aca="false" ca="false" dt2D="false" dtr="false" t="normal">+N335-'Приложение №2'!E335</f>
        <v>0</v>
      </c>
      <c r="AQ335" s="121" t="n">
        <v>655483.31</v>
      </c>
      <c r="AR335" s="3" t="n">
        <f aca="false" ca="false" dt2D="false" dtr="false" t="normal">+(K335*10.5+L335*21)*12*0.85</f>
        <v>151268.04</v>
      </c>
      <c r="AS335" s="3" t="n">
        <f aca="false" ca="false" dt2D="false" dtr="false" t="normal">+(K335*10.5+L335*21)*12*30</f>
        <v>5338872.000000001</v>
      </c>
      <c r="AT335" s="9" t="n">
        <f aca="false" ca="false" dt2D="false" dtr="false" t="normal">+S335-AS335</f>
        <v>-5041242.139642387</v>
      </c>
      <c r="AU335" s="9" t="e">
        <f aca="false" ca="false" dt2D="false" dtr="false" t="normal">+P335-'[5]Приложение №1'!$P407</f>
        <v>#REF!</v>
      </c>
      <c r="AV335" s="9" t="e">
        <f aca="false" ca="false" dt2D="false" dtr="false" t="normal">+Q335-'[5]Приложение №1'!$Q407</f>
        <v>#REF!</v>
      </c>
      <c r="AW335" s="186" t="n">
        <f aca="false" ca="true" dt2D="false" dtr="false" t="normal">SUBTOTAL(9, AX335:BL335)</f>
        <v>3392868.35594387</v>
      </c>
      <c r="AX335" s="106" t="n">
        <v>0</v>
      </c>
      <c r="AY335" s="106" t="n">
        <v>0</v>
      </c>
      <c r="AZ335" s="106" t="n"/>
      <c r="BA335" s="106" t="n">
        <v>0</v>
      </c>
      <c r="BB335" s="106" t="n">
        <v>0</v>
      </c>
      <c r="BC335" s="106" t="n"/>
      <c r="BD335" s="106" t="n"/>
      <c r="BE335" s="106" t="n">
        <v>0</v>
      </c>
      <c r="BF335" s="106" t="n">
        <v>0</v>
      </c>
      <c r="BG335" s="106" t="n"/>
      <c r="BH335" s="106" t="n">
        <v>0</v>
      </c>
      <c r="BI335" s="106" t="n">
        <v>3272507.99724912</v>
      </c>
      <c r="BJ335" s="106" t="n"/>
      <c r="BK335" s="114" t="n"/>
      <c r="BL335" s="187" t="n">
        <v>120360.35869475</v>
      </c>
      <c r="BM335" s="186" t="n">
        <f aca="false" ca="true" dt2D="false" dtr="false" t="normal">SUBTOTAL(9, BN335:CB335)</f>
        <v>843416.25869475</v>
      </c>
      <c r="BN335" s="106" t="n">
        <v>0</v>
      </c>
      <c r="BO335" s="106" t="n">
        <v>0</v>
      </c>
      <c r="BP335" s="106" t="n"/>
      <c r="BQ335" s="106" t="n">
        <v>0</v>
      </c>
      <c r="BR335" s="106" t="n">
        <v>0</v>
      </c>
      <c r="BS335" s="106" t="n"/>
      <c r="BT335" s="106" t="n"/>
      <c r="BU335" s="106" t="n">
        <v>0</v>
      </c>
      <c r="BV335" s="106" t="n">
        <v>0</v>
      </c>
      <c r="BW335" s="106" t="n"/>
      <c r="BX335" s="106" t="n">
        <v>0</v>
      </c>
      <c r="BY335" s="106" t="n">
        <v>723055.9</v>
      </c>
      <c r="BZ335" s="106" t="n"/>
      <c r="CA335" s="114" t="n"/>
      <c r="CB335" s="115" t="n">
        <v>120360.35869475</v>
      </c>
      <c r="CD335" s="116" t="n">
        <f aca="false" ca="false" dt2D="false" dtr="false" t="normal">+CD334+1</f>
        <v>316</v>
      </c>
      <c r="CE335" s="117" t="n">
        <f aca="false" ca="false" dt2D="false" dtr="false" t="normal">+CE334+1</f>
        <v>128</v>
      </c>
      <c r="CF335" s="104" t="s">
        <v>221</v>
      </c>
      <c r="CG335" s="117" t="s">
        <v>409</v>
      </c>
      <c r="CH335" s="188" t="n">
        <f aca="false" ca="true" dt2D="false" dtr="false" t="normal">SUBTOTAL(9, CI335:CW335)</f>
        <v>843416.25869475</v>
      </c>
      <c r="CI335" s="114" t="n">
        <v>0</v>
      </c>
      <c r="CJ335" s="114" t="n">
        <v>0</v>
      </c>
      <c r="CK335" s="114" t="n"/>
      <c r="CL335" s="114" t="n">
        <v>0</v>
      </c>
      <c r="CM335" s="114" t="n">
        <v>0</v>
      </c>
      <c r="CN335" s="114" t="n"/>
      <c r="CO335" s="114" t="n"/>
      <c r="CP335" s="114" t="n">
        <v>0</v>
      </c>
      <c r="CQ335" s="114" t="n">
        <v>0</v>
      </c>
      <c r="CR335" s="114" t="n"/>
      <c r="CS335" s="114" t="n">
        <v>0</v>
      </c>
      <c r="CT335" s="114" t="n">
        <v>723055.9</v>
      </c>
      <c r="CU335" s="114" t="n"/>
      <c r="CV335" s="114" t="n"/>
      <c r="CW335" s="115" t="n">
        <v>120360.35869475</v>
      </c>
      <c r="CZ335" s="117" t="s">
        <v>409</v>
      </c>
      <c r="DA335" s="189" t="n">
        <f aca="false" ca="true" dt2D="false" dtr="false" t="normal">SUBTOTAL(9, DB335:DP335)</f>
        <v>723055.9</v>
      </c>
      <c r="DB335" s="114" t="n">
        <v>0</v>
      </c>
      <c r="DC335" s="114" t="n">
        <v>0</v>
      </c>
      <c r="DD335" s="114" t="n"/>
      <c r="DE335" s="114" t="n">
        <v>0</v>
      </c>
      <c r="DF335" s="114" t="n">
        <v>0</v>
      </c>
      <c r="DG335" s="114" t="n"/>
      <c r="DH335" s="114" t="n"/>
      <c r="DI335" s="114" t="n">
        <v>0</v>
      </c>
      <c r="DJ335" s="114" t="n">
        <v>0</v>
      </c>
      <c r="DK335" s="114" t="n"/>
      <c r="DL335" s="114" t="n">
        <v>0</v>
      </c>
      <c r="DM335" s="114" t="n">
        <v>723055.9</v>
      </c>
      <c r="DN335" s="114" t="n"/>
      <c r="DO335" s="114" t="n"/>
      <c r="DP335" s="122" t="n"/>
      <c r="DQ335" s="3" t="n">
        <f aca="false" ca="false" dt2D="false" dtr="false" t="normal">N335-DA335</f>
        <v>0</v>
      </c>
      <c r="DS335" s="9" t="n"/>
    </row>
    <row hidden="false" ht="15" outlineLevel="0" r="336">
      <c r="A336" s="207" t="n">
        <f aca="false" ca="false" dt2D="false" dtr="false" t="normal">+A335+1</f>
        <v>317</v>
      </c>
      <c r="B336" s="207" t="n">
        <f aca="false" ca="false" dt2D="false" dtr="false" t="normal">+B335+1</f>
        <v>129</v>
      </c>
      <c r="C336" s="210" t="s">
        <v>221</v>
      </c>
      <c r="D336" s="210" t="s">
        <v>410</v>
      </c>
      <c r="E336" s="209" t="n">
        <v>1977</v>
      </c>
      <c r="F336" s="209" t="n">
        <v>1977</v>
      </c>
      <c r="G336" s="209" t="s">
        <v>68</v>
      </c>
      <c r="H336" s="105" t="n">
        <v>4</v>
      </c>
      <c r="I336" s="105" t="n">
        <v>1</v>
      </c>
      <c r="J336" s="106" t="n">
        <v>1434.1</v>
      </c>
      <c r="K336" s="106" t="n">
        <v>1287.6</v>
      </c>
      <c r="L336" s="106" t="n">
        <v>100.6</v>
      </c>
      <c r="M336" s="107" t="n">
        <v>46</v>
      </c>
      <c r="N336" s="108" t="n">
        <f aca="false" ca="false" dt2D="false" dtr="false" t="normal">SUM(P336:T336)</f>
        <v>17170798.84</v>
      </c>
      <c r="O336" s="106" t="n"/>
      <c r="P336" s="215" t="n">
        <v>4825024.43</v>
      </c>
      <c r="Q336" s="114" t="n"/>
      <c r="R336" s="114" t="n">
        <v>755102.63</v>
      </c>
      <c r="S336" s="114" t="n">
        <v>11590671.78</v>
      </c>
      <c r="T336" s="114" t="n"/>
      <c r="U336" s="114" t="n">
        <v>14353.4163000947</v>
      </c>
      <c r="V336" s="114" t="n">
        <v>1374.283020064</v>
      </c>
      <c r="W336" s="185" t="n">
        <v>2023</v>
      </c>
      <c r="X336" s="9" t="e">
        <f aca="false" ca="false" dt2D="false" dtr="false" t="normal">+#REF!-'[9]Приложение №1'!$P1552</f>
        <v>#REF!</v>
      </c>
      <c r="Z336" s="113" t="n">
        <f aca="false" ca="false" dt2D="false" dtr="false" t="normal">SUM(AA336:AO336)</f>
        <v>23517143.8</v>
      </c>
      <c r="AA336" s="106" t="n">
        <v>3661472.251872</v>
      </c>
      <c r="AB336" s="106" t="n">
        <v>1317876.044346</v>
      </c>
      <c r="AC336" s="106" t="n">
        <v>1401977.691654</v>
      </c>
      <c r="AD336" s="106" t="n">
        <v>886159.657356</v>
      </c>
      <c r="AE336" s="106" t="n">
        <v>0</v>
      </c>
      <c r="AF336" s="106" t="n"/>
      <c r="AG336" s="106" t="n">
        <v>124380.970098</v>
      </c>
      <c r="AH336" s="106" t="n">
        <v>0</v>
      </c>
      <c r="AI336" s="106" t="n">
        <v>6856026.578808</v>
      </c>
      <c r="AJ336" s="106" t="n">
        <v>848379.404958</v>
      </c>
      <c r="AK336" s="106" t="n">
        <v>3566453.538684</v>
      </c>
      <c r="AL336" s="106" t="n">
        <v>3838143.514884</v>
      </c>
      <c r="AM336" s="106" t="n">
        <v>460066.39</v>
      </c>
      <c r="AN336" s="106" t="n">
        <v>64159.31</v>
      </c>
      <c r="AO336" s="115" t="n">
        <v>492048.44734</v>
      </c>
      <c r="AP336" s="112" t="n">
        <f aca="false" ca="false" dt2D="false" dtr="false" t="normal">+N336-'Приложение №2'!E336</f>
        <v>0</v>
      </c>
      <c r="AQ336" s="121" t="n">
        <v>595652.15</v>
      </c>
      <c r="AR336" s="3" t="n">
        <f aca="false" ca="false" dt2D="false" dtr="false" t="normal">+(K336*10.5+L336*21)*12*0.85</f>
        <v>159450.47999999998</v>
      </c>
      <c r="AS336" s="3" t="n">
        <f aca="false" ca="false" dt2D="false" dtr="false" t="normal">+(K336*10.5+L336*21)*12*30</f>
        <v>5627664</v>
      </c>
      <c r="AT336" s="9" t="n">
        <f aca="false" ca="false" dt2D="false" dtr="false" t="normal">+S336-AS336</f>
        <v>5963007.779999999</v>
      </c>
      <c r="AU336" s="9" t="e">
        <f aca="false" ca="false" dt2D="false" dtr="false" t="normal">+P336-'[5]Приложение №1'!$P654</f>
        <v>#REF!</v>
      </c>
      <c r="AV336" s="9" t="e">
        <f aca="false" ca="false" dt2D="false" dtr="false" t="normal">+Q336-'[5]Приложение №1'!$Q654</f>
        <v>#REF!</v>
      </c>
      <c r="AW336" s="186" t="n">
        <f aca="false" ca="true" dt2D="false" dtr="false" t="normal">SUBTOTAL(9, AX336:BL336)</f>
        <v>18481458.82800196</v>
      </c>
      <c r="AX336" s="106" t="n">
        <v>3661472.251872</v>
      </c>
      <c r="AY336" s="106" t="n">
        <v>1317876.044346</v>
      </c>
      <c r="AZ336" s="106" t="n">
        <v>1401977.691654</v>
      </c>
      <c r="BA336" s="106" t="n">
        <v>886159.657356</v>
      </c>
      <c r="BB336" s="106" t="n">
        <v>0</v>
      </c>
      <c r="BC336" s="106" t="n"/>
      <c r="BD336" s="106" t="n">
        <v>124380.970098</v>
      </c>
      <c r="BE336" s="106" t="n">
        <v>0</v>
      </c>
      <c r="BF336" s="106" t="n">
        <v>6856026.578808</v>
      </c>
      <c r="BG336" s="106" t="n"/>
      <c r="BH336" s="106" t="n"/>
      <c r="BI336" s="106" t="n">
        <v>3838143.514884</v>
      </c>
      <c r="BJ336" s="106" t="n"/>
      <c r="BK336" s="106" t="n"/>
      <c r="BL336" s="187" t="n">
        <v>395422.11898396</v>
      </c>
      <c r="BM336" s="186" t="n">
        <f aca="false" ca="true" dt2D="false" dtr="false" t="normal">SUBTOTAL(9, BN336:CB336)</f>
        <v>18246687.396347962</v>
      </c>
      <c r="BN336" s="106" t="n">
        <v>3661472.251872</v>
      </c>
      <c r="BO336" s="106" t="n">
        <v>1317876.044346</v>
      </c>
      <c r="BP336" s="192" t="n">
        <v>1167206.26</v>
      </c>
      <c r="BQ336" s="106" t="n">
        <v>886159.657356</v>
      </c>
      <c r="BR336" s="106" t="n">
        <v>0</v>
      </c>
      <c r="BS336" s="106" t="n"/>
      <c r="BT336" s="106" t="n">
        <v>124380.970098</v>
      </c>
      <c r="BU336" s="106" t="n">
        <v>0</v>
      </c>
      <c r="BV336" s="106" t="n">
        <v>6856026.578808</v>
      </c>
      <c r="BW336" s="106" t="n"/>
      <c r="BX336" s="106" t="n"/>
      <c r="BY336" s="106" t="n">
        <v>3838143.514884</v>
      </c>
      <c r="BZ336" s="106" t="n"/>
      <c r="CA336" s="106" t="n"/>
      <c r="CB336" s="115" t="n">
        <v>395422.11898396</v>
      </c>
      <c r="CD336" s="116" t="n">
        <f aca="false" ca="false" dt2D="false" dtr="false" t="normal">+CD335+1</f>
        <v>317</v>
      </c>
      <c r="CE336" s="117" t="n">
        <f aca="false" ca="false" dt2D="false" dtr="false" t="normal">+CE335+1</f>
        <v>129</v>
      </c>
      <c r="CF336" s="104" t="s">
        <v>221</v>
      </c>
      <c r="CG336" s="117" t="s">
        <v>410</v>
      </c>
      <c r="CH336" s="188" t="n">
        <f aca="false" ca="true" dt2D="false" dtr="false" t="normal">SUBTOTAL(9, CI336:CW336)</f>
        <v>17566220.95898396</v>
      </c>
      <c r="CI336" s="114" t="n">
        <v>4702523.48</v>
      </c>
      <c r="CJ336" s="114" t="n">
        <v>2022696.79</v>
      </c>
      <c r="CK336" s="114" t="n">
        <v>1167206.26</v>
      </c>
      <c r="CL336" s="114" t="n">
        <v>727220.9</v>
      </c>
      <c r="CM336" s="114" t="n">
        <v>0</v>
      </c>
      <c r="CN336" s="114" t="n"/>
      <c r="CO336" s="114" t="n"/>
      <c r="CP336" s="114" t="n">
        <v>0</v>
      </c>
      <c r="CQ336" s="114" t="n">
        <v>8051725.51</v>
      </c>
      <c r="CR336" s="114" t="n"/>
      <c r="CS336" s="114" t="n"/>
      <c r="CT336" s="114" t="n">
        <v>499425.9</v>
      </c>
      <c r="CU336" s="114" t="n"/>
      <c r="CV336" s="114" t="n"/>
      <c r="CW336" s="115" t="n">
        <v>395422.11898396</v>
      </c>
      <c r="CZ336" s="117" t="s">
        <v>410</v>
      </c>
      <c r="DA336" s="189" t="n">
        <f aca="false" ca="true" dt2D="false" dtr="false" t="normal">SUBTOTAL(9, DB336:DP336)</f>
        <v>17170798.84</v>
      </c>
      <c r="DB336" s="114" t="n">
        <v>4702523.48</v>
      </c>
      <c r="DC336" s="114" t="n">
        <v>2022696.79</v>
      </c>
      <c r="DD336" s="114" t="n">
        <v>1167206.26</v>
      </c>
      <c r="DE336" s="114" t="n">
        <v>727220.9</v>
      </c>
      <c r="DF336" s="114" t="n">
        <v>0</v>
      </c>
      <c r="DG336" s="114" t="n"/>
      <c r="DH336" s="114" t="n"/>
      <c r="DI336" s="114" t="n">
        <v>0</v>
      </c>
      <c r="DJ336" s="114" t="n">
        <v>8051725.51</v>
      </c>
      <c r="DK336" s="114" t="n"/>
      <c r="DL336" s="114" t="n"/>
      <c r="DM336" s="114" t="n">
        <v>499425.9</v>
      </c>
      <c r="DN336" s="114" t="n"/>
      <c r="DO336" s="114" t="n"/>
      <c r="DP336" s="122" t="n"/>
      <c r="DQ336" s="3" t="n">
        <f aca="false" ca="false" dt2D="false" dtr="false" t="normal">N336-DA336</f>
        <v>0</v>
      </c>
      <c r="DS336" s="9" t="n"/>
    </row>
    <row customFormat="true" hidden="false" ht="15" outlineLevel="0" r="337" s="129">
      <c r="A337" s="207" t="n">
        <f aca="false" ca="false" dt2D="false" dtr="false" t="normal">+A336+1</f>
        <v>318</v>
      </c>
      <c r="B337" s="207" t="n">
        <f aca="false" ca="false" dt2D="false" dtr="false" t="normal">+B336+1</f>
        <v>130</v>
      </c>
      <c r="C337" s="208" t="s">
        <v>221</v>
      </c>
      <c r="D337" s="208" t="s">
        <v>411</v>
      </c>
      <c r="E337" s="209" t="s">
        <v>103</v>
      </c>
      <c r="F337" s="209" t="n"/>
      <c r="G337" s="209" t="s">
        <v>68</v>
      </c>
      <c r="H337" s="105" t="s">
        <v>104</v>
      </c>
      <c r="I337" s="105" t="s">
        <v>187</v>
      </c>
      <c r="J337" s="106" t="n">
        <v>6010.4</v>
      </c>
      <c r="K337" s="106" t="n">
        <v>4246.1</v>
      </c>
      <c r="L337" s="106" t="n">
        <v>999.9</v>
      </c>
      <c r="M337" s="107" t="n">
        <v>135</v>
      </c>
      <c r="N337" s="108" t="n">
        <f aca="false" ca="false" dt2D="false" dtr="false" t="normal">SUM(P337:T337)</f>
        <v>48104587.04000001</v>
      </c>
      <c r="O337" s="114" t="n">
        <v>0</v>
      </c>
      <c r="P337" s="114" t="n">
        <v>21572351.43</v>
      </c>
      <c r="Q337" s="114" t="n">
        <v>1821800</v>
      </c>
      <c r="R337" s="114" t="n">
        <v>4098343.92</v>
      </c>
      <c r="S337" s="114" t="n">
        <v>20612091.69</v>
      </c>
      <c r="T337" s="114" t="n"/>
      <c r="U337" s="106" t="n">
        <v>10376.1525433728</v>
      </c>
      <c r="V337" s="106" t="n">
        <v>10376.1525433728</v>
      </c>
      <c r="W337" s="185" t="n">
        <v>2023</v>
      </c>
      <c r="X337" s="129" t="n">
        <v>2132659.26</v>
      </c>
      <c r="Y337" s="129" t="n">
        <f aca="false" ca="false" dt2D="false" dtr="false" t="normal">+(K337*9.1+L337*18.19)*12</f>
        <v>681932.2920000001</v>
      </c>
      <c r="AA337" s="130" t="e">
        <f aca="false" ca="false" dt2D="false" dtr="false" t="normal">+N337-'[4]Приложение № 2'!E359</f>
        <v>#REF!</v>
      </c>
      <c r="AD337" s="130" t="e">
        <f aca="false" ca="false" dt2D="false" dtr="false" t="normal">+N337-'[4]Приложение № 2'!E359</f>
        <v>#REF!</v>
      </c>
      <c r="AP337" s="112" t="n">
        <f aca="false" ca="false" dt2D="false" dtr="false" t="normal">+N337-'Приложение №2'!E337</f>
        <v>0</v>
      </c>
      <c r="AQ337" s="135" t="n">
        <v>3461262.12</v>
      </c>
      <c r="AR337" s="3" t="n">
        <f aca="false" ca="false" dt2D="false" dtr="false" t="normal">+(K337*10+L337*20)*12*0.85</f>
        <v>637081.7999999999</v>
      </c>
      <c r="AS337" s="3" t="n">
        <f aca="false" ca="false" dt2D="false" dtr="false" t="normal">+(K337*10+L337*20)*12*30</f>
        <v>22485240</v>
      </c>
      <c r="AT337" s="9" t="n">
        <f aca="false" ca="false" dt2D="false" dtr="false" t="normal">+S337-AS337</f>
        <v>-1873148.3099999987</v>
      </c>
      <c r="AU337" s="9" t="n"/>
      <c r="AV337" s="9" t="n"/>
      <c r="AW337" s="113" t="n">
        <f aca="false" ca="true" dt2D="false" dtr="false" t="normal">SUBTOTAL(9, AX337:BL337)</f>
        <v>58126032.092533484</v>
      </c>
      <c r="AX337" s="106" t="n">
        <v>11786769.2</v>
      </c>
      <c r="AY337" s="106" t="n">
        <v>5983962.09</v>
      </c>
      <c r="AZ337" s="106" t="n">
        <v>4295794.1</v>
      </c>
      <c r="BA337" s="106" t="n"/>
      <c r="BB337" s="106" t="n"/>
      <c r="BC337" s="106" t="n"/>
      <c r="BD337" s="106" t="n"/>
      <c r="BE337" s="106" t="n"/>
      <c r="BF337" s="106" t="n">
        <v>30868652.56</v>
      </c>
      <c r="BG337" s="106" t="n"/>
      <c r="BH337" s="106" t="n"/>
      <c r="BI337" s="106" t="n">
        <v>2170343.35</v>
      </c>
      <c r="BJ337" s="106" t="n">
        <v>1495997.29</v>
      </c>
      <c r="BK337" s="106" t="n">
        <v>43785.2359808</v>
      </c>
      <c r="BL337" s="187" t="n">
        <v>1480728.26655268</v>
      </c>
      <c r="BM337" s="113" t="n">
        <f aca="false" ca="true" dt2D="false" dtr="false" t="normal">SUBTOTAL(9, BN337:CB337)</f>
        <v>49886186.69253348</v>
      </c>
      <c r="BN337" s="106" t="n">
        <v>7902876.34</v>
      </c>
      <c r="BO337" s="106" t="n">
        <v>4092711.1</v>
      </c>
      <c r="BP337" s="106" t="n">
        <v>4295794.1</v>
      </c>
      <c r="BQ337" s="106" t="n"/>
      <c r="BR337" s="106" t="n"/>
      <c r="BS337" s="106" t="n"/>
      <c r="BT337" s="106" t="n"/>
      <c r="BU337" s="106" t="n"/>
      <c r="BV337" s="192" t="n">
        <v>28212794</v>
      </c>
      <c r="BW337" s="106" t="n"/>
      <c r="BX337" s="106" t="n"/>
      <c r="BY337" s="106" t="n">
        <v>2361500.36</v>
      </c>
      <c r="BZ337" s="106" t="n">
        <v>1495997.29</v>
      </c>
      <c r="CA337" s="106" t="n">
        <v>43785.2359808</v>
      </c>
      <c r="CB337" s="115" t="n">
        <v>1480728.26655268</v>
      </c>
      <c r="CD337" s="116" t="n">
        <f aca="false" ca="false" dt2D="false" dtr="false" t="normal">+CD336+1</f>
        <v>318</v>
      </c>
      <c r="CE337" s="117" t="n">
        <f aca="false" ca="false" dt2D="false" dtr="false" t="normal">+CE336+1</f>
        <v>130</v>
      </c>
      <c r="CF337" s="104" t="s">
        <v>221</v>
      </c>
      <c r="CG337" s="117" t="s">
        <v>411</v>
      </c>
      <c r="CH337" s="118" t="n">
        <f aca="false" ca="true" dt2D="false" dtr="false" t="normal">SUBTOTAL(9, CI337:CW337)</f>
        <v>49585315.30655268</v>
      </c>
      <c r="CI337" s="114" t="n">
        <v>7902876.34</v>
      </c>
      <c r="CJ337" s="114" t="n">
        <v>4092711.1</v>
      </c>
      <c r="CK337" s="114" t="n">
        <v>4295794.1</v>
      </c>
      <c r="CL337" s="114" t="n"/>
      <c r="CM337" s="114" t="n"/>
      <c r="CN337" s="114" t="n"/>
      <c r="CO337" s="114" t="n"/>
      <c r="CP337" s="114" t="n"/>
      <c r="CQ337" s="114" t="n">
        <v>28212794</v>
      </c>
      <c r="CR337" s="114" t="n"/>
      <c r="CS337" s="114" t="n"/>
      <c r="CT337" s="114" t="n">
        <v>2361500.36</v>
      </c>
      <c r="CU337" s="114" t="n">
        <v>1221768.28</v>
      </c>
      <c r="CV337" s="114" t="n">
        <v>17142.86</v>
      </c>
      <c r="CW337" s="115" t="n">
        <v>1480728.26655268</v>
      </c>
      <c r="CZ337" s="117" t="s">
        <v>411</v>
      </c>
      <c r="DA337" s="119" t="n">
        <f aca="false" ca="true" dt2D="false" dtr="false" t="normal">SUBTOTAL(9, DB337:DP337)</f>
        <v>48104587.04</v>
      </c>
      <c r="DB337" s="114" t="n">
        <v>7902876.34</v>
      </c>
      <c r="DC337" s="114" t="n">
        <v>4092711.1</v>
      </c>
      <c r="DD337" s="114" t="n">
        <v>4295794.1</v>
      </c>
      <c r="DE337" s="114" t="n"/>
      <c r="DF337" s="114" t="n"/>
      <c r="DG337" s="114" t="n"/>
      <c r="DH337" s="114" t="n"/>
      <c r="DI337" s="114" t="n"/>
      <c r="DJ337" s="114" t="n">
        <v>28212794</v>
      </c>
      <c r="DK337" s="114" t="n"/>
      <c r="DL337" s="114" t="n"/>
      <c r="DM337" s="114" t="n">
        <v>2361500.36</v>
      </c>
      <c r="DN337" s="114" t="n">
        <v>1221768.28</v>
      </c>
      <c r="DO337" s="114" t="n">
        <v>17142.86</v>
      </c>
      <c r="DP337" s="122" t="n"/>
      <c r="DQ337" s="3" t="n">
        <f aca="false" ca="false" dt2D="false" dtr="false" t="normal">N337-DA337</f>
        <v>0</v>
      </c>
      <c r="DS337" s="9" t="n"/>
    </row>
    <row hidden="false" ht="15" outlineLevel="0" r="338">
      <c r="A338" s="207" t="n">
        <f aca="false" ca="false" dt2D="false" dtr="false" t="normal">+A337+1</f>
        <v>319</v>
      </c>
      <c r="B338" s="207" t="n">
        <f aca="false" ca="false" dt2D="false" dtr="false" t="normal">+B337+1</f>
        <v>131</v>
      </c>
      <c r="C338" s="208" t="s">
        <v>221</v>
      </c>
      <c r="D338" s="208" t="s">
        <v>412</v>
      </c>
      <c r="E338" s="209" t="n">
        <v>1970</v>
      </c>
      <c r="F338" s="209" t="n">
        <v>1970</v>
      </c>
      <c r="G338" s="209" t="s">
        <v>68</v>
      </c>
      <c r="H338" s="105" t="n">
        <v>4</v>
      </c>
      <c r="I338" s="105" t="n">
        <v>1</v>
      </c>
      <c r="J338" s="106" t="n">
        <v>1343.6</v>
      </c>
      <c r="K338" s="106" t="n">
        <v>929.1</v>
      </c>
      <c r="L338" s="106" t="n">
        <v>317.9</v>
      </c>
      <c r="M338" s="107" t="n">
        <v>43</v>
      </c>
      <c r="N338" s="108" t="n">
        <f aca="false" ca="false" dt2D="false" dtr="false" t="normal">SUM(P338:T338)</f>
        <v>12188197.2</v>
      </c>
      <c r="O338" s="114" t="n"/>
      <c r="P338" s="114" t="n">
        <v>5781379.39479801</v>
      </c>
      <c r="Q338" s="114" t="n"/>
      <c r="R338" s="114" t="n">
        <v>973196.25</v>
      </c>
      <c r="S338" s="114" t="n">
        <v>5433621.55520199</v>
      </c>
      <c r="T338" s="114" t="n"/>
      <c r="U338" s="114" t="n">
        <v>17559.7851100856</v>
      </c>
      <c r="V338" s="114" t="n">
        <v>1364.283020064</v>
      </c>
      <c r="W338" s="185" t="n">
        <v>2023</v>
      </c>
      <c r="X338" s="9" t="e">
        <f aca="false" ca="false" dt2D="false" dtr="false" t="normal">+#REF!-'[9]Приложение №1'!$P934</f>
        <v>#REF!</v>
      </c>
      <c r="Z338" s="113" t="n">
        <f aca="false" ca="false" dt2D="false" dtr="false" t="normal">SUM(AA338:AO338)</f>
        <v>19642322.44</v>
      </c>
      <c r="AA338" s="106" t="n">
        <v>2821780.51804194</v>
      </c>
      <c r="AB338" s="106" t="n">
        <v>1017993.65387538</v>
      </c>
      <c r="AC338" s="106" t="n">
        <v>1063553.75405916</v>
      </c>
      <c r="AD338" s="106" t="n">
        <v>665875.47655356</v>
      </c>
      <c r="AE338" s="106" t="n">
        <v>0</v>
      </c>
      <c r="AF338" s="106" t="n"/>
      <c r="AG338" s="106" t="n">
        <v>101809.49181312</v>
      </c>
      <c r="AH338" s="106" t="n">
        <v>0</v>
      </c>
      <c r="AI338" s="106" t="n">
        <v>5222681.4190824</v>
      </c>
      <c r="AJ338" s="106" t="n">
        <v>683592.8513505</v>
      </c>
      <c r="AK338" s="106" t="n">
        <v>2711658.32731794</v>
      </c>
      <c r="AL338" s="106" t="n">
        <v>2924782.39109238</v>
      </c>
      <c r="AM338" s="106" t="n">
        <v>1855741.9673</v>
      </c>
      <c r="AN338" s="114" t="n">
        <v>196423.2244</v>
      </c>
      <c r="AO338" s="115" t="n">
        <v>376429.36511362</v>
      </c>
      <c r="AP338" s="112" t="n">
        <f aca="false" ca="false" dt2D="false" dtr="false" t="normal">+N338-'Приложение №2'!E338</f>
        <v>0</v>
      </c>
      <c r="AQ338" s="121" t="n">
        <v>805595.46</v>
      </c>
      <c r="AR338" s="3" t="n">
        <f aca="false" ca="false" dt2D="false" dtr="false" t="normal">+(K338*10.5+L338*21)*12*0.85</f>
        <v>167600.79</v>
      </c>
      <c r="AS338" s="3" t="n">
        <f aca="false" ca="false" dt2D="false" dtr="false" t="normal">+(K338*10.5+L338*21)*12*30</f>
        <v>5915322.000000001</v>
      </c>
      <c r="AT338" s="9" t="n">
        <f aca="false" ca="false" dt2D="false" dtr="false" t="normal">+S338-AS338</f>
        <v>-481700.44479801133</v>
      </c>
      <c r="AU338" s="9" t="e">
        <f aca="false" ca="false" dt2D="false" dtr="false" t="normal">+P338-'[5]Приложение №1'!$P408</f>
        <v>#REF!</v>
      </c>
      <c r="AV338" s="9" t="e">
        <f aca="false" ca="false" dt2D="false" dtr="false" t="normal">+Q338-'[5]Приложение №1'!$Q408</f>
        <v>#REF!</v>
      </c>
      <c r="AW338" s="186" t="n">
        <f aca="false" ca="true" dt2D="false" dtr="false" t="normal">SUBTOTAL(9, AX338:BL338)</f>
        <v>16314796.345780578</v>
      </c>
      <c r="AX338" s="106" t="n">
        <v>3315321.42</v>
      </c>
      <c r="AY338" s="106" t="n">
        <v>1221730.31</v>
      </c>
      <c r="AZ338" s="106" t="n">
        <v>1207334.47612856</v>
      </c>
      <c r="BA338" s="106" t="n">
        <v>839833.16</v>
      </c>
      <c r="BB338" s="106" t="n">
        <v>0</v>
      </c>
      <c r="BC338" s="106" t="n"/>
      <c r="BD338" s="106" t="n">
        <v>115576.723809767</v>
      </c>
      <c r="BE338" s="106" t="n"/>
      <c r="BF338" s="106" t="n">
        <v>5928706.72550048</v>
      </c>
      <c r="BG338" s="106" t="n"/>
      <c r="BH338" s="106" t="n">
        <v>0</v>
      </c>
      <c r="BI338" s="106" t="n">
        <v>3320169.80935353</v>
      </c>
      <c r="BJ338" s="106" t="n"/>
      <c r="BK338" s="114" t="n"/>
      <c r="BL338" s="187" t="n">
        <v>366123.72098824</v>
      </c>
      <c r="BM338" s="186" t="n">
        <f aca="false" ca="true" dt2D="false" dtr="false" t="normal">SUBTOTAL(9, BN338:CB338)</f>
        <v>12669897.644798009</v>
      </c>
      <c r="BN338" s="106" t="n">
        <v>2561264.63</v>
      </c>
      <c r="BO338" s="106" t="n">
        <v>1831960.83</v>
      </c>
      <c r="BP338" s="106" t="n">
        <v>1491883.2</v>
      </c>
      <c r="BQ338" s="106" t="n">
        <v>879028.5</v>
      </c>
      <c r="BR338" s="106" t="n">
        <v>0</v>
      </c>
      <c r="BS338" s="106" t="n"/>
      <c r="BT338" s="106" t="n">
        <v>115576.723809767</v>
      </c>
      <c r="BU338" s="106" t="n"/>
      <c r="BV338" s="106" t="n">
        <v>4643142.23</v>
      </c>
      <c r="BW338" s="106" t="n"/>
      <c r="BX338" s="106" t="n">
        <v>0</v>
      </c>
      <c r="BY338" s="106" t="n">
        <v>780917.81</v>
      </c>
      <c r="BZ338" s="106" t="n"/>
      <c r="CA338" s="114" t="n"/>
      <c r="CB338" s="115" t="n">
        <v>366123.72098824</v>
      </c>
      <c r="CD338" s="116" t="n">
        <f aca="false" ca="false" dt2D="false" dtr="false" t="normal">+CD337+1</f>
        <v>319</v>
      </c>
      <c r="CE338" s="117" t="n">
        <f aca="false" ca="false" dt2D="false" dtr="false" t="normal">+CE337+1</f>
        <v>131</v>
      </c>
      <c r="CF338" s="104" t="s">
        <v>221</v>
      </c>
      <c r="CG338" s="117" t="s">
        <v>412</v>
      </c>
      <c r="CH338" s="188" t="n">
        <f aca="false" ca="true" dt2D="false" dtr="false" t="normal">SUBTOTAL(9, CI338:CW338)</f>
        <v>12554320.920988241</v>
      </c>
      <c r="CI338" s="114" t="n">
        <v>2561264.63</v>
      </c>
      <c r="CJ338" s="114" t="n">
        <v>1831960.83</v>
      </c>
      <c r="CK338" s="114" t="n">
        <v>1491883.2</v>
      </c>
      <c r="CL338" s="114" t="n">
        <v>879028.5</v>
      </c>
      <c r="CM338" s="114" t="n">
        <v>0</v>
      </c>
      <c r="CN338" s="114" t="n"/>
      <c r="CO338" s="114" t="n"/>
      <c r="CP338" s="114" t="n"/>
      <c r="CQ338" s="114" t="n">
        <v>4643142.23</v>
      </c>
      <c r="CR338" s="114" t="n"/>
      <c r="CS338" s="114" t="n">
        <v>0</v>
      </c>
      <c r="CT338" s="114" t="n">
        <v>780917.81</v>
      </c>
      <c r="CU338" s="114" t="n"/>
      <c r="CV338" s="114" t="n"/>
      <c r="CW338" s="115" t="n">
        <v>366123.72098824</v>
      </c>
      <c r="CZ338" s="117" t="s">
        <v>412</v>
      </c>
      <c r="DA338" s="189" t="n">
        <f aca="false" ca="true" dt2D="false" dtr="false" t="normal">SUBTOTAL(9, DB338:DP338)</f>
        <v>12188197.200000001</v>
      </c>
      <c r="DB338" s="114" t="n">
        <v>2561264.63</v>
      </c>
      <c r="DC338" s="114" t="n">
        <v>1831960.83</v>
      </c>
      <c r="DD338" s="114" t="n">
        <v>1491883.2</v>
      </c>
      <c r="DE338" s="114" t="n">
        <v>879028.5</v>
      </c>
      <c r="DF338" s="114" t="n">
        <v>0</v>
      </c>
      <c r="DG338" s="114" t="n"/>
      <c r="DH338" s="114" t="n"/>
      <c r="DI338" s="114" t="n"/>
      <c r="DJ338" s="114" t="n">
        <v>4643142.23</v>
      </c>
      <c r="DK338" s="114" t="n"/>
      <c r="DL338" s="114" t="n">
        <v>0</v>
      </c>
      <c r="DM338" s="114" t="n">
        <v>780917.81</v>
      </c>
      <c r="DN338" s="114" t="n"/>
      <c r="DO338" s="114" t="n"/>
      <c r="DP338" s="122" t="n"/>
      <c r="DQ338" s="3" t="n">
        <f aca="false" ca="false" dt2D="false" dtr="false" t="normal">N338-DA338</f>
        <v>0</v>
      </c>
      <c r="DS338" s="9" t="n"/>
    </row>
    <row hidden="false" ht="15" outlineLevel="0" r="339">
      <c r="A339" s="207" t="n">
        <f aca="false" ca="false" dt2D="false" dtr="false" t="normal">+A338+1</f>
        <v>320</v>
      </c>
      <c r="B339" s="207" t="n">
        <f aca="false" ca="false" dt2D="false" dtr="false" t="normal">+B338+1</f>
        <v>132</v>
      </c>
      <c r="C339" s="210" t="s">
        <v>221</v>
      </c>
      <c r="D339" s="210" t="s">
        <v>413</v>
      </c>
      <c r="E339" s="209" t="n">
        <v>1975</v>
      </c>
      <c r="F339" s="209" t="n">
        <v>1975</v>
      </c>
      <c r="G339" s="209" t="s">
        <v>68</v>
      </c>
      <c r="H339" s="105" t="n">
        <v>5</v>
      </c>
      <c r="I339" s="105" t="n">
        <v>5</v>
      </c>
      <c r="J339" s="106" t="n">
        <v>3670.4</v>
      </c>
      <c r="K339" s="106" t="n">
        <v>2958</v>
      </c>
      <c r="L339" s="106" t="n">
        <v>417.2</v>
      </c>
      <c r="M339" s="107" t="n">
        <v>116</v>
      </c>
      <c r="N339" s="108" t="n">
        <f aca="false" ca="false" dt2D="false" dtr="false" t="normal">SUM(P339:T339)</f>
        <v>13503759.23</v>
      </c>
      <c r="O339" s="106" t="n"/>
      <c r="P339" s="114" t="n"/>
      <c r="Q339" s="114" t="n"/>
      <c r="R339" s="114" t="n">
        <v>1002672.83</v>
      </c>
      <c r="S339" s="114" t="n">
        <v>12501086.4</v>
      </c>
      <c r="T339" s="114" t="n"/>
      <c r="U339" s="114" t="n">
        <v>17616.2217731655</v>
      </c>
      <c r="V339" s="114" t="n">
        <v>1375.283020064</v>
      </c>
      <c r="W339" s="185" t="n">
        <v>2023</v>
      </c>
      <c r="X339" s="9" t="e">
        <f aca="false" ca="false" dt2D="false" dtr="false" t="normal">+#REF!-'[9]Приложение №1'!$P1554</f>
        <v>#REF!</v>
      </c>
      <c r="Z339" s="113" t="n">
        <f aca="false" ca="false" dt2D="false" dtr="false" t="normal">SUM(AA339:AO339)</f>
        <v>63008068.42</v>
      </c>
      <c r="AA339" s="106" t="n">
        <v>10289263.558588</v>
      </c>
      <c r="AB339" s="106" t="n">
        <v>3743156.061442</v>
      </c>
      <c r="AC339" s="106" t="n">
        <v>3946478.511262</v>
      </c>
      <c r="AD339" s="106" t="n">
        <v>2525477.515036</v>
      </c>
      <c r="AE339" s="106" t="n">
        <v>0</v>
      </c>
      <c r="AF339" s="106" t="n"/>
      <c r="AG339" s="106" t="n">
        <v>347116.720356</v>
      </c>
      <c r="AH339" s="106" t="n">
        <v>0</v>
      </c>
      <c r="AI339" s="106" t="n">
        <v>19311206.205424</v>
      </c>
      <c r="AJ339" s="106" t="n">
        <v>0</v>
      </c>
      <c r="AK339" s="106" t="n">
        <v>10034931.104254</v>
      </c>
      <c r="AL339" s="106" t="n">
        <v>10831078.675998</v>
      </c>
      <c r="AM339" s="106" t="n">
        <v>572156.82</v>
      </c>
      <c r="AN339" s="106" t="n">
        <v>72629</v>
      </c>
      <c r="AO339" s="115" t="n">
        <v>1334574.24764</v>
      </c>
      <c r="AP339" s="112" t="n">
        <f aca="false" ca="false" dt2D="false" dtr="false" t="normal">+N339-'Приложение №2'!E339</f>
        <v>0</v>
      </c>
      <c r="AQ339" s="121" t="n">
        <v>1791489.77</v>
      </c>
      <c r="AR339" s="3" t="n">
        <f aca="false" ca="false" dt2D="false" dtr="false" t="normal">+(K339*10.5+L339*21)*12*0.85</f>
        <v>406166.04</v>
      </c>
      <c r="AS339" s="3" t="n">
        <f aca="false" ca="false" dt2D="false" dtr="false" t="normal">+(K339*10.5+L339*21)*12*30</f>
        <v>14335271.999999998</v>
      </c>
      <c r="AT339" s="9" t="n">
        <f aca="false" ca="false" dt2D="false" dtr="false" t="normal">+S339-AS339</f>
        <v>-1834185.5999999978</v>
      </c>
      <c r="AU339" s="9" t="e">
        <f aca="false" ca="false" dt2D="false" dtr="false" t="normal">+P339-'[5]Приложение №1'!$P655</f>
        <v>#REF!</v>
      </c>
      <c r="AV339" s="9" t="e">
        <f aca="false" ca="false" dt2D="false" dtr="false" t="normal">+Q339-'[5]Приложение №1'!$Q655</f>
        <v>#REF!</v>
      </c>
      <c r="AW339" s="186" t="n">
        <f aca="false" ca="true" dt2D="false" dtr="false" t="normal">SUBTOTAL(9, AX339:BL339)</f>
        <v>52108784.00502341</v>
      </c>
      <c r="AX339" s="106" t="n">
        <v>10289258.887333</v>
      </c>
      <c r="AY339" s="106" t="n">
        <v>3743163.2397435</v>
      </c>
      <c r="AZ339" s="106" t="n">
        <v>3946494.73677818</v>
      </c>
      <c r="BA339" s="106" t="n">
        <v>2525483.22419293</v>
      </c>
      <c r="BB339" s="106" t="n">
        <v>0</v>
      </c>
      <c r="BC339" s="106" t="n"/>
      <c r="BD339" s="106" t="n">
        <v>347129.279308192</v>
      </c>
      <c r="BE339" s="106" t="n">
        <v>0</v>
      </c>
      <c r="BF339" s="106" t="n">
        <v>19311208.0205521</v>
      </c>
      <c r="BG339" s="106" t="n">
        <v>0</v>
      </c>
      <c r="BH339" s="106" t="n"/>
      <c r="BI339" s="106" t="n">
        <v>10831087.3864405</v>
      </c>
      <c r="BJ339" s="106" t="n"/>
      <c r="BK339" s="106" t="n"/>
      <c r="BL339" s="187" t="n">
        <v>1114959.23067501</v>
      </c>
      <c r="BM339" s="186" t="n">
        <f aca="false" ca="true" dt2D="false" dtr="false" t="normal">SUBTOTAL(9, BN339:CB339)</f>
        <v>52108784.00502341</v>
      </c>
      <c r="BN339" s="106" t="n">
        <v>10289258.887333</v>
      </c>
      <c r="BO339" s="106" t="n">
        <v>3743163.2397435</v>
      </c>
      <c r="BP339" s="106" t="n">
        <v>3946494.73677818</v>
      </c>
      <c r="BQ339" s="106" t="n">
        <v>2525483.22419293</v>
      </c>
      <c r="BR339" s="106" t="n">
        <v>0</v>
      </c>
      <c r="BS339" s="106" t="n"/>
      <c r="BT339" s="106" t="n">
        <v>347129.279308192</v>
      </c>
      <c r="BU339" s="106" t="n">
        <v>0</v>
      </c>
      <c r="BV339" s="106" t="n">
        <v>19311208.0205521</v>
      </c>
      <c r="BW339" s="106" t="n">
        <v>0</v>
      </c>
      <c r="BX339" s="106" t="n"/>
      <c r="BY339" s="106" t="n">
        <v>10831087.3864405</v>
      </c>
      <c r="BZ339" s="106" t="n"/>
      <c r="CA339" s="106" t="n"/>
      <c r="CB339" s="115" t="n">
        <v>1114959.23067501</v>
      </c>
      <c r="CD339" s="116" t="n">
        <f aca="false" ca="false" dt2D="false" dtr="false" t="normal">+CD338+1</f>
        <v>320</v>
      </c>
      <c r="CE339" s="117" t="n">
        <f aca="false" ca="false" dt2D="false" dtr="false" t="normal">+CE338+1</f>
        <v>132</v>
      </c>
      <c r="CF339" s="104" t="s">
        <v>221</v>
      </c>
      <c r="CG339" s="117" t="s">
        <v>413</v>
      </c>
      <c r="CH339" s="188" t="n">
        <f aca="false" ca="true" dt2D="false" dtr="false" t="normal">SUBTOTAL(9, CI339:CW339)</f>
        <v>14618718.46067501</v>
      </c>
      <c r="CI339" s="114" t="n">
        <v>10796865.48</v>
      </c>
      <c r="CJ339" s="114" t="n"/>
      <c r="CK339" s="114" t="n">
        <v>2146766.74</v>
      </c>
      <c r="CL339" s="114" t="n"/>
      <c r="CM339" s="114" t="n">
        <v>0</v>
      </c>
      <c r="CN339" s="114" t="n"/>
      <c r="CO339" s="114" t="n"/>
      <c r="CP339" s="114" t="n">
        <v>0</v>
      </c>
      <c r="CQ339" s="114" t="n"/>
      <c r="CR339" s="114" t="n">
        <v>0</v>
      </c>
      <c r="CS339" s="114" t="n"/>
      <c r="CT339" s="114" t="n">
        <v>560127.01</v>
      </c>
      <c r="CU339" s="114" t="n"/>
      <c r="CV339" s="114" t="n"/>
      <c r="CW339" s="115" t="n">
        <v>1114959.23067501</v>
      </c>
      <c r="CZ339" s="117" t="s">
        <v>413</v>
      </c>
      <c r="DA339" s="189" t="n">
        <f aca="false" ca="true" dt2D="false" dtr="false" t="normal">SUBTOTAL(9, DB339:DP339)</f>
        <v>13503759.23</v>
      </c>
      <c r="DB339" s="114" t="n">
        <v>10796865.48</v>
      </c>
      <c r="DC339" s="114" t="n"/>
      <c r="DD339" s="114" t="n">
        <v>2146766.74</v>
      </c>
      <c r="DE339" s="114" t="n"/>
      <c r="DF339" s="114" t="n">
        <v>0</v>
      </c>
      <c r="DG339" s="114" t="n"/>
      <c r="DH339" s="114" t="n"/>
      <c r="DI339" s="114" t="n">
        <v>0</v>
      </c>
      <c r="DJ339" s="114" t="n"/>
      <c r="DK339" s="114" t="n">
        <v>0</v>
      </c>
      <c r="DL339" s="114" t="n"/>
      <c r="DM339" s="114" t="n">
        <v>560127.01</v>
      </c>
      <c r="DN339" s="114" t="n"/>
      <c r="DO339" s="114" t="n"/>
      <c r="DP339" s="122" t="n"/>
      <c r="DQ339" s="3" t="n">
        <f aca="false" ca="false" dt2D="false" dtr="false" t="normal">N339-DA339</f>
        <v>0</v>
      </c>
      <c r="DS339" s="9" t="n"/>
    </row>
    <row hidden="false" ht="15" outlineLevel="0" r="340">
      <c r="A340" s="207" t="n">
        <f aca="false" ca="false" dt2D="false" dtr="false" t="normal">+A339+1</f>
        <v>321</v>
      </c>
      <c r="B340" s="207" t="n">
        <f aca="false" ca="false" dt2D="false" dtr="false" t="normal">+B339+1</f>
        <v>133</v>
      </c>
      <c r="C340" s="210" t="s">
        <v>221</v>
      </c>
      <c r="D340" s="210" t="s">
        <v>414</v>
      </c>
      <c r="E340" s="209" t="n">
        <v>2002</v>
      </c>
      <c r="F340" s="209" t="n">
        <v>2002</v>
      </c>
      <c r="G340" s="209" t="s">
        <v>68</v>
      </c>
      <c r="H340" s="105" t="n">
        <v>9</v>
      </c>
      <c r="I340" s="105" t="n">
        <v>2</v>
      </c>
      <c r="J340" s="106" t="n">
        <v>5167.9</v>
      </c>
      <c r="K340" s="106" t="n">
        <v>4391.9</v>
      </c>
      <c r="L340" s="106" t="n">
        <v>0</v>
      </c>
      <c r="M340" s="107" t="n">
        <v>172</v>
      </c>
      <c r="N340" s="108" t="n">
        <f aca="false" ca="false" dt2D="false" dtr="false" t="normal">SUM(P340:T340)</f>
        <v>5375027</v>
      </c>
      <c r="O340" s="106" t="n"/>
      <c r="P340" s="114" t="n"/>
      <c r="Q340" s="114" t="n">
        <v>718272</v>
      </c>
      <c r="R340" s="114" t="n">
        <v>3024815.9802</v>
      </c>
      <c r="S340" s="114" t="n">
        <v>1631939.0198</v>
      </c>
      <c r="T340" s="114" t="n"/>
      <c r="U340" s="106" t="n">
        <v>1635.44707302079</v>
      </c>
      <c r="V340" s="106" t="n">
        <v>1635.44707302079</v>
      </c>
      <c r="W340" s="185" t="n">
        <v>2023</v>
      </c>
      <c r="X340" s="9" t="s">
        <v>415</v>
      </c>
      <c r="Z340" s="113" t="n"/>
      <c r="AA340" s="106" t="n"/>
      <c r="AB340" s="106" t="n"/>
      <c r="AC340" s="106" t="n"/>
      <c r="AD340" s="106" t="n"/>
      <c r="AE340" s="106" t="n"/>
      <c r="AF340" s="106" t="n"/>
      <c r="AG340" s="106" t="n"/>
      <c r="AH340" s="106" t="n"/>
      <c r="AI340" s="106" t="n"/>
      <c r="AJ340" s="106" t="n"/>
      <c r="AK340" s="106" t="n"/>
      <c r="AL340" s="106" t="n"/>
      <c r="AM340" s="106" t="n"/>
      <c r="AN340" s="114" t="n"/>
      <c r="AO340" s="115" t="n"/>
      <c r="AP340" s="112" t="n">
        <f aca="false" ca="false" dt2D="false" dtr="false" t="normal">+N340-'Приложение №2'!E340</f>
        <v>0</v>
      </c>
      <c r="AQ340" s="1" t="n">
        <v>2429458.8</v>
      </c>
      <c r="AR340" s="3" t="n">
        <f aca="false" ca="false" dt2D="false" dtr="false" t="normal">+(K340*13.29+L340*22.52)*12*0.85</f>
        <v>595357.1801999998</v>
      </c>
      <c r="AS340" s="3" t="n">
        <f aca="false" ca="false" dt2D="false" dtr="false" t="normal">+(K340*13.29+L340*22.52)*12*30</f>
        <v>21012606.359999996</v>
      </c>
      <c r="AT340" s="9" t="n">
        <f aca="false" ca="false" dt2D="false" dtr="false" t="normal">+S340-AS340</f>
        <v>-19380667.340199996</v>
      </c>
      <c r="AU340" s="9" t="e">
        <f aca="false" ca="false" dt2D="false" dtr="false" t="normal">+P340-'[5]Приложение №1'!$P367</f>
        <v>#REF!</v>
      </c>
      <c r="AV340" s="9" t="e">
        <f aca="false" ca="false" dt2D="false" dtr="false" t="normal">+Q340-'[5]Приложение №1'!$Q367</f>
        <v>#REF!</v>
      </c>
      <c r="AW340" s="113" t="n">
        <f aca="false" ca="true" dt2D="false" dtr="false" t="normal">SUBTOTAL(9, AX340:BL340)</f>
        <v>7182719.999999997</v>
      </c>
      <c r="AZ340" s="106" t="n"/>
      <c r="BB340" s="106" t="n"/>
      <c r="BC340" s="106" t="n"/>
      <c r="BD340" s="106" t="n"/>
      <c r="BE340" s="106" t="n">
        <v>6868490.35750856</v>
      </c>
      <c r="BF340" s="106" t="n"/>
      <c r="BG340" s="106" t="n"/>
      <c r="BH340" s="106" t="n"/>
      <c r="BI340" s="106" t="n"/>
      <c r="BJ340" s="106" t="n">
        <v>140029.66941696</v>
      </c>
      <c r="BK340" s="114" t="n">
        <v>24000</v>
      </c>
      <c r="BL340" s="187" t="n">
        <v>150199.973074477</v>
      </c>
      <c r="BM340" s="113" t="n">
        <f aca="false" ca="true" dt2D="false" dtr="false" t="normal">SUBTOTAL(9, BN340:CB340)</f>
        <v>7182719.999999997</v>
      </c>
      <c r="BP340" s="106" t="n"/>
      <c r="BR340" s="106" t="n"/>
      <c r="BS340" s="106" t="n"/>
      <c r="BT340" s="106" t="n"/>
      <c r="BU340" s="106" t="n">
        <v>6868490.35750856</v>
      </c>
      <c r="BV340" s="106" t="n"/>
      <c r="BW340" s="106" t="n"/>
      <c r="BX340" s="106" t="n"/>
      <c r="BY340" s="106" t="n"/>
      <c r="BZ340" s="106" t="n">
        <v>140029.66941696</v>
      </c>
      <c r="CA340" s="114" t="n">
        <v>24000</v>
      </c>
      <c r="CB340" s="115" t="n">
        <v>150199.973074477</v>
      </c>
      <c r="CD340" s="116" t="n">
        <f aca="false" ca="false" dt2D="false" dtr="false" t="normal">+CD339+1</f>
        <v>321</v>
      </c>
      <c r="CE340" s="117" t="n">
        <f aca="false" ca="false" dt2D="false" dtr="false" t="normal">+CE339+1</f>
        <v>133</v>
      </c>
      <c r="CF340" s="104" t="s">
        <v>221</v>
      </c>
      <c r="CG340" s="117" t="s">
        <v>414</v>
      </c>
      <c r="CH340" s="118" t="n">
        <f aca="false" ca="true" dt2D="false" dtr="false" t="normal">SUBTOTAL(9, CI340:CW340)</f>
        <v>5525226.973074477</v>
      </c>
      <c r="CI340" s="191" t="n"/>
      <c r="CJ340" s="114" t="n"/>
      <c r="CK340" s="114" t="n"/>
      <c r="CL340" s="114" t="n"/>
      <c r="CM340" s="114" t="n"/>
      <c r="CN340" s="114" t="n"/>
      <c r="CO340" s="114" t="n"/>
      <c r="CP340" s="114" t="n">
        <v>5252854.22</v>
      </c>
      <c r="CQ340" s="114" t="n"/>
      <c r="CR340" s="114" t="n"/>
      <c r="CS340" s="114" t="n"/>
      <c r="CT340" s="114" t="n"/>
      <c r="CU340" s="114" t="n">
        <v>103820.17</v>
      </c>
      <c r="CV340" s="114" t="n">
        <v>18352.61</v>
      </c>
      <c r="CW340" s="115" t="n">
        <v>150199.973074477</v>
      </c>
      <c r="CZ340" s="117" t="s">
        <v>414</v>
      </c>
      <c r="DA340" s="119" t="n">
        <f aca="false" ca="true" dt2D="false" dtr="false" t="normal">SUBTOTAL(9, DB340:DP340)</f>
        <v>5375027</v>
      </c>
      <c r="DB340" s="191" t="n"/>
      <c r="DC340" s="114" t="n"/>
      <c r="DD340" s="114" t="n"/>
      <c r="DE340" s="114" t="n"/>
      <c r="DF340" s="114" t="n"/>
      <c r="DG340" s="114" t="n"/>
      <c r="DH340" s="114" t="n"/>
      <c r="DI340" s="114" t="n">
        <v>5252854.22</v>
      </c>
      <c r="DJ340" s="114" t="n"/>
      <c r="DK340" s="114" t="n"/>
      <c r="DL340" s="114" t="n"/>
      <c r="DM340" s="114" t="n"/>
      <c r="DN340" s="114" t="n">
        <v>103820.17</v>
      </c>
      <c r="DO340" s="114" t="n">
        <v>18352.61</v>
      </c>
      <c r="DP340" s="122" t="n"/>
      <c r="DQ340" s="3" t="n">
        <f aca="false" ca="false" dt2D="false" dtr="false" t="normal">N340-DA340</f>
        <v>0</v>
      </c>
      <c r="DS340" s="9" t="n"/>
    </row>
    <row hidden="false" ht="15" outlineLevel="0" r="341">
      <c r="A341" s="207" t="n">
        <f aca="false" ca="false" dt2D="false" dtr="false" t="normal">+A340+1</f>
        <v>322</v>
      </c>
      <c r="B341" s="207" t="n">
        <f aca="false" ca="false" dt2D="false" dtr="false" t="normal">+B340+1</f>
        <v>134</v>
      </c>
      <c r="C341" s="210" t="s">
        <v>221</v>
      </c>
      <c r="D341" s="210" t="s">
        <v>416</v>
      </c>
      <c r="E341" s="209" t="n">
        <v>1970</v>
      </c>
      <c r="F341" s="209" t="n">
        <v>1970</v>
      </c>
      <c r="G341" s="209" t="s">
        <v>68</v>
      </c>
      <c r="H341" s="105" t="n">
        <v>4</v>
      </c>
      <c r="I341" s="105" t="n">
        <v>4</v>
      </c>
      <c r="J341" s="106" t="n">
        <v>1365.1</v>
      </c>
      <c r="K341" s="106" t="n">
        <v>1195.16</v>
      </c>
      <c r="L341" s="106" t="n">
        <v>66.4</v>
      </c>
      <c r="M341" s="107" t="n">
        <v>42</v>
      </c>
      <c r="N341" s="108" t="n">
        <f aca="false" ca="false" dt2D="false" dtr="false" t="normal">SUM(P341:T341)</f>
        <v>4053363.43</v>
      </c>
      <c r="O341" s="106" t="n"/>
      <c r="P341" s="114" t="n"/>
      <c r="Q341" s="114" t="n"/>
      <c r="R341" s="114" t="n">
        <v>558986.376</v>
      </c>
      <c r="S341" s="114" t="n">
        <v>3494377.054</v>
      </c>
      <c r="T341" s="114" t="n"/>
      <c r="U341" s="114" t="n">
        <v>4957.532395306</v>
      </c>
      <c r="V341" s="114" t="n">
        <v>1366.283020064</v>
      </c>
      <c r="W341" s="185" t="n">
        <v>2023</v>
      </c>
      <c r="X341" s="9" t="e">
        <f aca="false" ca="false" dt2D="false" dtr="false" t="normal">+#REF!-'[9]Приложение №1'!$P934</f>
        <v>#REF!</v>
      </c>
      <c r="Z341" s="113" t="n">
        <f aca="false" ca="false" dt2D="false" dtr="false" t="normal">SUM(AA341:AO341)</f>
        <v>20539765.11</v>
      </c>
      <c r="AA341" s="106" t="n">
        <v>3073518.78910986</v>
      </c>
      <c r="AB341" s="106" t="n">
        <v>1108811.47643322</v>
      </c>
      <c r="AC341" s="106" t="n">
        <v>1158436.10990604</v>
      </c>
      <c r="AD341" s="106" t="n">
        <v>725279.93417964</v>
      </c>
      <c r="AE341" s="106" t="n">
        <v>0</v>
      </c>
      <c r="AF341" s="106" t="n"/>
      <c r="AG341" s="106" t="n">
        <v>110892.17747328</v>
      </c>
      <c r="AH341" s="106" t="n">
        <v>0</v>
      </c>
      <c r="AI341" s="106" t="n">
        <v>5688610.2120456</v>
      </c>
      <c r="AJ341" s="106" t="n">
        <v>0</v>
      </c>
      <c r="AK341" s="106" t="n">
        <v>2953572.31555386</v>
      </c>
      <c r="AL341" s="106" t="n">
        <v>3185709.72320622</v>
      </c>
      <c r="AM341" s="106" t="n">
        <v>1935807.5387</v>
      </c>
      <c r="AN341" s="114" t="n">
        <v>205397.6511</v>
      </c>
      <c r="AO341" s="115" t="n">
        <v>393729.18229228</v>
      </c>
      <c r="AP341" s="112" t="n">
        <f aca="false" ca="false" dt2D="false" dtr="false" t="normal">+N341-'Приложение №2'!E341</f>
        <v>0</v>
      </c>
      <c r="AQ341" s="1" t="n">
        <f aca="false" ca="false" dt2D="false" dtr="false" t="normal">578197.03-161435.17</f>
        <v>416761.86</v>
      </c>
      <c r="AR341" s="3" t="n">
        <f aca="false" ca="false" dt2D="false" dtr="false" t="normal">+(K341*10.5+L341*21)*12*0.85</f>
        <v>142224.516</v>
      </c>
      <c r="AS341" s="3" t="n">
        <f aca="false" ca="false" dt2D="false" dtr="false" t="normal">+(K341*10.5+L341*21)*12*30-1010645.26</f>
        <v>4009043.54</v>
      </c>
      <c r="AT341" s="9" t="n">
        <f aca="false" ca="false" dt2D="false" dtr="false" t="normal">+S341-AS341</f>
        <v>-514666.48600000003</v>
      </c>
      <c r="AU341" s="9" t="e">
        <f aca="false" ca="false" dt2D="false" dtr="false" t="normal">+P341-'[5]Приложение №1'!$P408</f>
        <v>#REF!</v>
      </c>
      <c r="AV341" s="9" t="e">
        <f aca="false" ca="false" dt2D="false" dtr="false" t="normal">+Q341-'[5]Приложение №1'!$Q408</f>
        <v>#REF!</v>
      </c>
      <c r="AW341" s="186" t="n">
        <f aca="false" ca="true" dt2D="false" dtr="false" t="normal">SUBTOTAL(9, AX341:BL341)</f>
        <v>5925044.417573919</v>
      </c>
      <c r="AX341" s="106" t="n"/>
      <c r="AY341" s="106" t="n"/>
      <c r="AZ341" s="106" t="n"/>
      <c r="BA341" s="106" t="n"/>
      <c r="BB341" s="106" t="n">
        <v>0</v>
      </c>
      <c r="BC341" s="106" t="n"/>
      <c r="BD341" s="106" t="n"/>
      <c r="BE341" s="106" t="n">
        <v>0</v>
      </c>
      <c r="BF341" s="106" t="n">
        <v>5688610.2120456</v>
      </c>
      <c r="BG341" s="106" t="n">
        <v>0</v>
      </c>
      <c r="BH341" s="106" t="n"/>
      <c r="BI341" s="106" t="n"/>
      <c r="BJ341" s="106" t="n"/>
      <c r="BK341" s="114" t="n"/>
      <c r="BL341" s="187" t="n">
        <v>236434.205528319</v>
      </c>
      <c r="BM341" s="186" t="n">
        <f aca="false" ca="true" dt2D="false" dtr="false" t="normal">SUBTOTAL(9, BN341:CB341)</f>
        <v>4289797.6355283195</v>
      </c>
      <c r="BN341" s="106" t="n"/>
      <c r="BO341" s="106" t="n"/>
      <c r="BP341" s="106" t="n"/>
      <c r="BQ341" s="106" t="n"/>
      <c r="BR341" s="106" t="n">
        <v>0</v>
      </c>
      <c r="BS341" s="106" t="n"/>
      <c r="BT341" s="106" t="n"/>
      <c r="BU341" s="106" t="n">
        <v>0</v>
      </c>
      <c r="BV341" s="106" t="n">
        <v>4053363.43</v>
      </c>
      <c r="BW341" s="106" t="n">
        <v>0</v>
      </c>
      <c r="BX341" s="106" t="n"/>
      <c r="BY341" s="106" t="n"/>
      <c r="BZ341" s="106" t="n"/>
      <c r="CA341" s="114" t="n"/>
      <c r="CB341" s="115" t="n">
        <v>236434.205528319</v>
      </c>
      <c r="CD341" s="116" t="n">
        <f aca="false" ca="false" dt2D="false" dtr="false" t="normal">+CD340+1</f>
        <v>322</v>
      </c>
      <c r="CE341" s="117" t="n">
        <f aca="false" ca="false" dt2D="false" dtr="false" t="normal">+CE340+1</f>
        <v>134</v>
      </c>
      <c r="CF341" s="104" t="s">
        <v>221</v>
      </c>
      <c r="CG341" s="117" t="s">
        <v>416</v>
      </c>
      <c r="CH341" s="188" t="n">
        <f aca="false" ca="true" dt2D="false" dtr="false" t="normal">SUBTOTAL(9, CI341:CW341)</f>
        <v>4289797.6355283195</v>
      </c>
      <c r="CI341" s="114" t="n"/>
      <c r="CJ341" s="114" t="n"/>
      <c r="CK341" s="114" t="n"/>
      <c r="CL341" s="114" t="n"/>
      <c r="CM341" s="114" t="n">
        <v>0</v>
      </c>
      <c r="CN341" s="114" t="n"/>
      <c r="CO341" s="114" t="n"/>
      <c r="CP341" s="114" t="n">
        <v>0</v>
      </c>
      <c r="CQ341" s="114" t="n">
        <v>4053363.43</v>
      </c>
      <c r="CR341" s="114" t="n">
        <v>0</v>
      </c>
      <c r="CS341" s="114" t="n"/>
      <c r="CT341" s="114" t="n"/>
      <c r="CU341" s="114" t="n"/>
      <c r="CV341" s="114" t="n"/>
      <c r="CW341" s="115" t="n">
        <v>236434.205528319</v>
      </c>
      <c r="CZ341" s="117" t="s">
        <v>416</v>
      </c>
      <c r="DA341" s="189" t="n">
        <f aca="false" ca="true" dt2D="false" dtr="false" t="normal">SUBTOTAL(9, DB341:DP341)</f>
        <v>4053363.43</v>
      </c>
      <c r="DB341" s="114" t="n"/>
      <c r="DC341" s="114" t="n"/>
      <c r="DD341" s="114" t="n"/>
      <c r="DE341" s="114" t="n"/>
      <c r="DF341" s="114" t="n">
        <v>0</v>
      </c>
      <c r="DG341" s="114" t="n"/>
      <c r="DH341" s="114" t="n"/>
      <c r="DI341" s="114" t="n">
        <v>0</v>
      </c>
      <c r="DJ341" s="114" t="n">
        <v>4053363.43</v>
      </c>
      <c r="DK341" s="114" t="n">
        <v>0</v>
      </c>
      <c r="DL341" s="114" t="n"/>
      <c r="DM341" s="114" t="n"/>
      <c r="DN341" s="114" t="n"/>
      <c r="DO341" s="114" t="n"/>
      <c r="DP341" s="122" t="n"/>
      <c r="DQ341" s="3" t="n">
        <f aca="false" ca="false" dt2D="false" dtr="false" t="normal">N341-DA341</f>
        <v>0</v>
      </c>
      <c r="DS341" s="9" t="n"/>
    </row>
    <row hidden="false" ht="15" outlineLevel="0" r="342">
      <c r="A342" s="207" t="n">
        <f aca="false" ca="false" dt2D="false" dtr="false" t="normal">+A341+1</f>
        <v>323</v>
      </c>
      <c r="B342" s="207" t="n">
        <f aca="false" ca="false" dt2D="false" dtr="false" t="normal">+B341+1</f>
        <v>135</v>
      </c>
      <c r="C342" s="208" t="s">
        <v>221</v>
      </c>
      <c r="D342" s="208" t="s">
        <v>417</v>
      </c>
      <c r="E342" s="209" t="n">
        <v>1965</v>
      </c>
      <c r="F342" s="209" t="n">
        <v>1965</v>
      </c>
      <c r="G342" s="209" t="s">
        <v>68</v>
      </c>
      <c r="H342" s="105" t="n">
        <v>3</v>
      </c>
      <c r="I342" s="105" t="n">
        <v>2</v>
      </c>
      <c r="J342" s="106" t="n">
        <v>987.3</v>
      </c>
      <c r="K342" s="106" t="n">
        <v>918.1</v>
      </c>
      <c r="L342" s="106" t="n">
        <v>68.1</v>
      </c>
      <c r="M342" s="107" t="n">
        <v>38</v>
      </c>
      <c r="N342" s="108" t="n">
        <f aca="false" ca="false" dt2D="false" dtr="false" t="normal">SUM(P342:T342)</f>
        <v>11760430.97</v>
      </c>
      <c r="O342" s="114" t="n"/>
      <c r="P342" s="114" t="n">
        <v>9279245.73</v>
      </c>
      <c r="Q342" s="114" t="n"/>
      <c r="R342" s="114" t="n">
        <v>516779.02</v>
      </c>
      <c r="S342" s="114" t="n">
        <v>1964406.22</v>
      </c>
      <c r="T342" s="114" t="n"/>
      <c r="U342" s="114" t="n">
        <v>30592.0731245017</v>
      </c>
      <c r="V342" s="114" t="n">
        <v>1367.283020064</v>
      </c>
      <c r="W342" s="185" t="n">
        <v>2023</v>
      </c>
      <c r="X342" s="9" t="e">
        <f aca="false" ca="false" dt2D="false" dtr="false" t="normal">+#REF!-'[9]Приложение №1'!$P933</f>
        <v>#REF!</v>
      </c>
      <c r="Z342" s="113" t="n">
        <f aca="false" ca="false" dt2D="false" dtr="false" t="normal">SUM(AA342:AO342)</f>
        <v>36579168.81999999</v>
      </c>
      <c r="AA342" s="106" t="n">
        <v>3296586.42421836</v>
      </c>
      <c r="AB342" s="106" t="n">
        <v>2005923.7262883</v>
      </c>
      <c r="AC342" s="106" t="n">
        <v>945220.05597012</v>
      </c>
      <c r="AD342" s="106" t="n">
        <v>805515.18886356</v>
      </c>
      <c r="AE342" s="106" t="n">
        <v>0</v>
      </c>
      <c r="AF342" s="106" t="n"/>
      <c r="AG342" s="106" t="n">
        <v>312478.894455</v>
      </c>
      <c r="AH342" s="106" t="n">
        <v>0</v>
      </c>
      <c r="AI342" s="106" t="n">
        <v>9536457.4951716</v>
      </c>
      <c r="AJ342" s="106" t="n">
        <v>0</v>
      </c>
      <c r="AK342" s="106" t="n">
        <v>7797629.05718748</v>
      </c>
      <c r="AL342" s="106" t="n">
        <v>7337973.32029314</v>
      </c>
      <c r="AM342" s="106" t="n">
        <v>3474991.5172</v>
      </c>
      <c r="AN342" s="114" t="n">
        <v>365791.6882</v>
      </c>
      <c r="AO342" s="115" t="n">
        <v>700601.45215244</v>
      </c>
      <c r="AP342" s="112" t="n">
        <f aca="false" ca="false" dt2D="false" dtr="false" t="normal">+N342-'Приложение №2'!E342</f>
        <v>0</v>
      </c>
      <c r="AQ342" s="121" t="n">
        <v>403863.49</v>
      </c>
      <c r="AR342" s="3" t="n">
        <f aca="false" ca="false" dt2D="false" dtr="false" t="normal">+(K342*10.5+L342*21)*12*0.85</f>
        <v>112915.53000000001</v>
      </c>
      <c r="AS342" s="3" t="n">
        <f aca="false" ca="false" dt2D="false" dtr="false" t="normal">+(K342*10.5+L342*21)*12*30</f>
        <v>3985254.0000000005</v>
      </c>
      <c r="AT342" s="9" t="n">
        <f aca="false" ca="false" dt2D="false" dtr="false" t="normal">+S342-AS342</f>
        <v>-2020847.7800000005</v>
      </c>
      <c r="AU342" s="9" t="e">
        <f aca="false" ca="false" dt2D="false" dtr="false" t="normal">+P342-'[5]Приложение №1'!$P407</f>
        <v>#REF!</v>
      </c>
      <c r="AV342" s="9" t="e">
        <f aca="false" ca="false" dt2D="false" dtr="false" t="normal">+Q342-'[5]Приложение №1'!$Q407</f>
        <v>#REF!</v>
      </c>
      <c r="AW342" s="186" t="n">
        <f aca="false" ca="true" dt2D="false" dtr="false" t="normal">SUBTOTAL(9, AX342:BL342)</f>
        <v>28086582.335605</v>
      </c>
      <c r="AX342" s="106" t="n"/>
      <c r="AY342" s="106" t="n"/>
      <c r="AZ342" s="106" t="n"/>
      <c r="BA342" s="106" t="n"/>
      <c r="BB342" s="106" t="n"/>
      <c r="BC342" s="106" t="n"/>
      <c r="BD342" s="106" t="n"/>
      <c r="BE342" s="106" t="n">
        <v>0</v>
      </c>
      <c r="BF342" s="106" t="n">
        <v>10499304.299652</v>
      </c>
      <c r="BG342" s="106" t="n">
        <v>0</v>
      </c>
      <c r="BH342" s="106" t="n">
        <v>8671328.175216</v>
      </c>
      <c r="BI342" s="106" t="n">
        <v>8142382.544856</v>
      </c>
      <c r="BJ342" s="106" t="n"/>
      <c r="BK342" s="114" t="n"/>
      <c r="BL342" s="187" t="n">
        <v>773567.315881</v>
      </c>
      <c r="BM342" s="186" t="n">
        <f aca="false" ca="true" dt2D="false" dtr="false" t="normal">SUBTOTAL(9, BN342:CB342)</f>
        <v>21205326.461097002</v>
      </c>
      <c r="BN342" s="106" t="n"/>
      <c r="BO342" s="106" t="n"/>
      <c r="BP342" s="106" t="n"/>
      <c r="BQ342" s="106" t="n"/>
      <c r="BR342" s="106" t="n"/>
      <c r="BS342" s="106" t="n"/>
      <c r="BT342" s="106" t="n"/>
      <c r="BU342" s="106" t="n">
        <v>0</v>
      </c>
      <c r="BV342" s="106" t="n">
        <v>10962284.21</v>
      </c>
      <c r="BW342" s="106" t="n">
        <v>0</v>
      </c>
      <c r="BX342" s="106" t="n">
        <v>8671328.175216</v>
      </c>
      <c r="BY342" s="106" t="n">
        <v>798146.76</v>
      </c>
      <c r="BZ342" s="106" t="n"/>
      <c r="CA342" s="114" t="n"/>
      <c r="CB342" s="115" t="n">
        <v>773567.315881</v>
      </c>
      <c r="CD342" s="116" t="n">
        <f aca="false" ca="false" dt2D="false" dtr="false" t="normal">+CD341+1</f>
        <v>323</v>
      </c>
      <c r="CE342" s="117" t="n">
        <f aca="false" ca="false" dt2D="false" dtr="false" t="normal">+CE341+1</f>
        <v>135</v>
      </c>
      <c r="CF342" s="104" t="s">
        <v>221</v>
      </c>
      <c r="CG342" s="117" t="s">
        <v>417</v>
      </c>
      <c r="CH342" s="188" t="n">
        <f aca="false" ca="true" dt2D="false" dtr="false" t="normal">SUBTOTAL(9, CI342:CW342)</f>
        <v>12533998.285881002</v>
      </c>
      <c r="CI342" s="114" t="n"/>
      <c r="CJ342" s="114" t="n"/>
      <c r="CK342" s="114" t="n"/>
      <c r="CL342" s="114" t="n"/>
      <c r="CM342" s="114" t="n"/>
      <c r="CN342" s="114" t="n"/>
      <c r="CO342" s="114" t="n"/>
      <c r="CP342" s="114" t="n">
        <v>0</v>
      </c>
      <c r="CQ342" s="114" t="n">
        <v>10962284.21</v>
      </c>
      <c r="CR342" s="114" t="n">
        <v>0</v>
      </c>
      <c r="CS342" s="114" t="n"/>
      <c r="CT342" s="114" t="n">
        <v>798146.76</v>
      </c>
      <c r="CU342" s="114" t="n"/>
      <c r="CV342" s="114" t="n"/>
      <c r="CW342" s="115" t="n">
        <v>773567.315881</v>
      </c>
      <c r="CZ342" s="117" t="s">
        <v>417</v>
      </c>
      <c r="DA342" s="189" t="n">
        <f aca="false" ca="true" dt2D="false" dtr="false" t="normal">SUBTOTAL(9, DB342:DP342)</f>
        <v>11760430.97</v>
      </c>
      <c r="DB342" s="114" t="n"/>
      <c r="DC342" s="114" t="n"/>
      <c r="DD342" s="114" t="n"/>
      <c r="DE342" s="114" t="n"/>
      <c r="DF342" s="114" t="n"/>
      <c r="DG342" s="114" t="n"/>
      <c r="DH342" s="114" t="n"/>
      <c r="DI342" s="114" t="n">
        <v>0</v>
      </c>
      <c r="DJ342" s="114" t="n">
        <v>10962284.21</v>
      </c>
      <c r="DK342" s="114" t="n">
        <v>0</v>
      </c>
      <c r="DL342" s="114" t="n"/>
      <c r="DM342" s="114" t="n">
        <v>798146.76</v>
      </c>
      <c r="DN342" s="114" t="n"/>
      <c r="DO342" s="114" t="n"/>
      <c r="DP342" s="122" t="n"/>
      <c r="DQ342" s="3" t="n">
        <f aca="false" ca="false" dt2D="false" dtr="false" t="normal">N342-DA342</f>
        <v>0</v>
      </c>
      <c r="DS342" s="9" t="n"/>
    </row>
    <row hidden="false" ht="15" outlineLevel="0" r="343">
      <c r="A343" s="207" t="n">
        <f aca="false" ca="false" dt2D="false" dtr="false" t="normal">+A342+1</f>
        <v>324</v>
      </c>
      <c r="B343" s="207" t="n">
        <f aca="false" ca="false" dt2D="false" dtr="false" t="normal">+B342+1</f>
        <v>136</v>
      </c>
      <c r="C343" s="210" t="s">
        <v>221</v>
      </c>
      <c r="D343" s="210" t="s">
        <v>418</v>
      </c>
      <c r="E343" s="209" t="n">
        <v>1964</v>
      </c>
      <c r="F343" s="209" t="n">
        <v>1964</v>
      </c>
      <c r="G343" s="209" t="s">
        <v>68</v>
      </c>
      <c r="H343" s="105" t="n">
        <v>3</v>
      </c>
      <c r="I343" s="105" t="n">
        <v>1</v>
      </c>
      <c r="J343" s="106" t="n">
        <v>998.5</v>
      </c>
      <c r="K343" s="106" t="n">
        <v>928.6</v>
      </c>
      <c r="L343" s="106" t="n">
        <v>69.9</v>
      </c>
      <c r="M343" s="107" t="n">
        <v>43</v>
      </c>
      <c r="N343" s="108" t="n">
        <f aca="false" ca="false" dt2D="false" dtr="false" t="normal">SUM(P343:T343)</f>
        <v>5428761.31</v>
      </c>
      <c r="O343" s="106" t="n"/>
      <c r="P343" s="114" t="n"/>
      <c r="Q343" s="114" t="n"/>
      <c r="R343" s="114" t="n">
        <v>597721.75</v>
      </c>
      <c r="S343" s="114" t="n">
        <v>4831039.56</v>
      </c>
      <c r="T343" s="114" t="n"/>
      <c r="U343" s="114" t="n">
        <v>30578.2000321602</v>
      </c>
      <c r="V343" s="114" t="n">
        <v>1368.283020064</v>
      </c>
      <c r="W343" s="185" t="n">
        <v>2023</v>
      </c>
      <c r="X343" s="9" t="e">
        <f aca="false" ca="false" dt2D="false" dtr="false" t="normal">+#REF!-'[9]Приложение №1'!$P934</f>
        <v>#REF!</v>
      </c>
      <c r="Z343" s="113" t="n">
        <f aca="false" ca="false" dt2D="false" dtr="false" t="normal">SUM(AA343:AO343)</f>
        <v>36927435.980000004</v>
      </c>
      <c r="AA343" s="106" t="n">
        <v>3327972.94184628</v>
      </c>
      <c r="AB343" s="106" t="n">
        <v>2025021.95334306</v>
      </c>
      <c r="AC343" s="106" t="n">
        <v>954219.41462316</v>
      </c>
      <c r="AD343" s="106" t="n">
        <v>813184.4343966</v>
      </c>
      <c r="AE343" s="106" t="n">
        <v>0</v>
      </c>
      <c r="AF343" s="106" t="n"/>
      <c r="AG343" s="106" t="n">
        <v>315453.97193604</v>
      </c>
      <c r="AH343" s="106" t="n">
        <v>0</v>
      </c>
      <c r="AI343" s="106" t="n">
        <v>9627253.298838</v>
      </c>
      <c r="AJ343" s="106" t="n">
        <v>0</v>
      </c>
      <c r="AK343" s="106" t="n">
        <v>7871869.62904356</v>
      </c>
      <c r="AL343" s="106" t="n">
        <v>7407837.5399091</v>
      </c>
      <c r="AM343" s="106" t="n">
        <v>3508076.6172</v>
      </c>
      <c r="AN343" s="114" t="n">
        <v>369274.3598</v>
      </c>
      <c r="AO343" s="115" t="n">
        <v>707271.8190642</v>
      </c>
      <c r="AP343" s="112" t="n">
        <f aca="false" ca="false" dt2D="false" dtr="false" t="normal">+N343-'Приложение №2'!E343</f>
        <v>0</v>
      </c>
      <c r="AQ343" s="121" t="n">
        <v>483296.11</v>
      </c>
      <c r="AR343" s="3" t="n">
        <f aca="false" ca="false" dt2D="false" dtr="false" t="normal">+(K343*10.5+L343*21)*12*0.85</f>
        <v>114425.64000000001</v>
      </c>
      <c r="AS343" s="3" t="n">
        <f aca="false" ca="false" dt2D="false" dtr="false" t="normal">+(K343*10.5+L343*21)*12*30</f>
        <v>4038552.000000001</v>
      </c>
      <c r="AT343" s="9" t="n">
        <f aca="false" ca="false" dt2D="false" dtr="false" t="normal">+S343-AS343</f>
        <v>792487.5599999987</v>
      </c>
      <c r="AU343" s="9" t="e">
        <f aca="false" ca="false" dt2D="false" dtr="false" t="normal">+P343-'[5]Приложение №1'!$P408</f>
        <v>#REF!</v>
      </c>
      <c r="AV343" s="9" t="e">
        <f aca="false" ca="false" dt2D="false" dtr="false" t="normal">+Q343-'[5]Приложение №1'!$Q408</f>
        <v>#REF!</v>
      </c>
      <c r="AW343" s="186" t="n">
        <f aca="false" ca="true" dt2D="false" dtr="false" t="normal">SUBTOTAL(9, AX343:BL343)</f>
        <v>28394916.54986396</v>
      </c>
      <c r="AX343" s="106" t="n"/>
      <c r="AY343" s="106" t="n"/>
      <c r="AZ343" s="106" t="n"/>
      <c r="BA343" s="106" t="n"/>
      <c r="BB343" s="106" t="n"/>
      <c r="BC343" s="106" t="n"/>
      <c r="BD343" s="106" t="n"/>
      <c r="BE343" s="106" t="n">
        <v>0</v>
      </c>
      <c r="BF343" s="106" t="n">
        <v>10614144.820062</v>
      </c>
      <c r="BG343" s="106" t="n">
        <v>0</v>
      </c>
      <c r="BH343" s="106" t="n">
        <v>8769141.946152</v>
      </c>
      <c r="BI343" s="106" t="n">
        <v>8229942.08505</v>
      </c>
      <c r="BJ343" s="106" t="n"/>
      <c r="BK343" s="114" t="n"/>
      <c r="BL343" s="187" t="n">
        <v>781687.69859996</v>
      </c>
      <c r="BM343" s="186" t="n">
        <f aca="false" ca="true" dt2D="false" dtr="false" t="normal">SUBTOTAL(9, BN343:CB343)</f>
        <v>21006405.15481396</v>
      </c>
      <c r="BN343" s="106" t="n"/>
      <c r="BO343" s="106" t="n"/>
      <c r="BP343" s="106" t="n"/>
      <c r="BQ343" s="106" t="n"/>
      <c r="BR343" s="106" t="n"/>
      <c r="BS343" s="106" t="n"/>
      <c r="BT343" s="106" t="n"/>
      <c r="BU343" s="106" t="n">
        <v>0</v>
      </c>
      <c r="BV343" s="106" t="n">
        <v>10614144.820062</v>
      </c>
      <c r="BW343" s="106" t="n">
        <v>0</v>
      </c>
      <c r="BX343" s="106" t="n">
        <v>8769141.946152</v>
      </c>
      <c r="BY343" s="216" t="n">
        <v>841430.69</v>
      </c>
      <c r="BZ343" s="106" t="n"/>
      <c r="CA343" s="114" t="n"/>
      <c r="CB343" s="115" t="n">
        <v>781687.69859996</v>
      </c>
      <c r="CD343" s="116" t="n">
        <f aca="false" ca="false" dt2D="false" dtr="false" t="normal">+CD342+1</f>
        <v>324</v>
      </c>
      <c r="CE343" s="117" t="n">
        <f aca="false" ca="false" dt2D="false" dtr="false" t="normal">+CE342+1</f>
        <v>136</v>
      </c>
      <c r="CF343" s="104" t="s">
        <v>221</v>
      </c>
      <c r="CG343" s="117" t="s">
        <v>418</v>
      </c>
      <c r="CH343" s="188" t="n">
        <f aca="false" ca="true" dt2D="false" dtr="false" t="normal">SUBTOTAL(9, CI343:CW343)</f>
        <v>6210449.00859996</v>
      </c>
      <c r="CI343" s="114" t="n"/>
      <c r="CJ343" s="114" t="n"/>
      <c r="CK343" s="114" t="n"/>
      <c r="CL343" s="114" t="n"/>
      <c r="CM343" s="114" t="n"/>
      <c r="CN343" s="114" t="n"/>
      <c r="CO343" s="114" t="n"/>
      <c r="CP343" s="114" t="n">
        <v>0</v>
      </c>
      <c r="CQ343" s="114" t="n">
        <v>4587330.62</v>
      </c>
      <c r="CR343" s="114" t="n">
        <v>0</v>
      </c>
      <c r="CS343" s="114" t="n"/>
      <c r="CT343" s="114" t="n">
        <v>841430.69</v>
      </c>
      <c r="CU343" s="114" t="n"/>
      <c r="CV343" s="114" t="n"/>
      <c r="CW343" s="115" t="n">
        <v>781687.69859996</v>
      </c>
      <c r="CZ343" s="117" t="s">
        <v>418</v>
      </c>
      <c r="DA343" s="189" t="n">
        <f aca="false" ca="true" dt2D="false" dtr="false" t="normal">SUBTOTAL(9, DB343:DP343)</f>
        <v>5428761.3100000005</v>
      </c>
      <c r="DB343" s="114" t="n"/>
      <c r="DC343" s="114" t="n"/>
      <c r="DD343" s="114" t="n"/>
      <c r="DE343" s="114" t="n"/>
      <c r="DF343" s="114" t="n"/>
      <c r="DG343" s="114" t="n"/>
      <c r="DH343" s="114" t="n"/>
      <c r="DI343" s="114" t="n">
        <v>0</v>
      </c>
      <c r="DJ343" s="114" t="n">
        <v>4587330.62</v>
      </c>
      <c r="DK343" s="114" t="n">
        <v>0</v>
      </c>
      <c r="DL343" s="114" t="n"/>
      <c r="DM343" s="114" t="n">
        <v>841430.69</v>
      </c>
      <c r="DN343" s="114" t="n"/>
      <c r="DO343" s="114" t="n"/>
      <c r="DP343" s="122" t="n"/>
      <c r="DQ343" s="3" t="n">
        <f aca="false" ca="false" dt2D="false" dtr="false" t="normal">N343-DA343</f>
        <v>0</v>
      </c>
      <c r="DS343" s="9" t="n"/>
    </row>
    <row hidden="false" ht="15" outlineLevel="0" r="344">
      <c r="A344" s="207" t="n">
        <f aca="false" ca="false" dt2D="false" dtr="false" t="normal">+A343+1</f>
        <v>325</v>
      </c>
      <c r="B344" s="207" t="n">
        <f aca="false" ca="false" dt2D="false" dtr="false" t="normal">+B343+1</f>
        <v>137</v>
      </c>
      <c r="C344" s="210" t="s">
        <v>221</v>
      </c>
      <c r="D344" s="210" t="s">
        <v>419</v>
      </c>
      <c r="E344" s="209" t="n">
        <v>1976</v>
      </c>
      <c r="F344" s="209" t="n">
        <v>1976</v>
      </c>
      <c r="G344" s="209" t="s">
        <v>68</v>
      </c>
      <c r="H344" s="105" t="n">
        <v>5</v>
      </c>
      <c r="I344" s="105" t="n">
        <v>5</v>
      </c>
      <c r="J344" s="106" t="n">
        <v>3760.4</v>
      </c>
      <c r="K344" s="106" t="n">
        <v>2861.4</v>
      </c>
      <c r="L344" s="106" t="n">
        <v>798.2</v>
      </c>
      <c r="M344" s="107" t="n">
        <v>103</v>
      </c>
      <c r="N344" s="108" t="n">
        <f aca="false" ca="false" dt2D="false" dtr="false" t="normal">SUM(P344:T344)</f>
        <v>1345945.45</v>
      </c>
      <c r="O344" s="106" t="n"/>
      <c r="P344" s="114" t="n"/>
      <c r="Q344" s="114" t="n"/>
      <c r="R344" s="114" t="n">
        <v>294555.73</v>
      </c>
      <c r="S344" s="114" t="n">
        <v>1051389.72</v>
      </c>
      <c r="T344" s="114" t="n"/>
      <c r="U344" s="114" t="n">
        <v>12570.0152707284</v>
      </c>
      <c r="V344" s="114" t="n">
        <v>1376.283020064</v>
      </c>
      <c r="W344" s="185" t="n">
        <v>2023</v>
      </c>
      <c r="X344" s="9" t="e">
        <f aca="false" ca="false" dt2D="false" dtr="false" t="normal">+#REF!-'[9]Приложение №1'!$P1306</f>
        <v>#REF!</v>
      </c>
      <c r="Z344" s="113" t="n">
        <f aca="false" ca="false" dt2D="false" dtr="false" t="normal">SUM(AA344:AO344)</f>
        <v>64553057.02</v>
      </c>
      <c r="AA344" s="106" t="n">
        <v>10537075.366258</v>
      </c>
      <c r="AB344" s="106" t="n">
        <v>3835013.475832</v>
      </c>
      <c r="AC344" s="106" t="n">
        <v>4042843.38661</v>
      </c>
      <c r="AD344" s="106" t="n">
        <v>2587058.611186</v>
      </c>
      <c r="AE344" s="106" t="n">
        <v>0</v>
      </c>
      <c r="AF344" s="106" t="n"/>
      <c r="AG344" s="106" t="n">
        <v>355628.191716</v>
      </c>
      <c r="AH344" s="106" t="n">
        <v>0</v>
      </c>
      <c r="AI344" s="106" t="n">
        <v>19695633.831832</v>
      </c>
      <c r="AJ344" s="106" t="n">
        <v>0</v>
      </c>
      <c r="AK344" s="106" t="n">
        <v>10278986.262244</v>
      </c>
      <c r="AL344" s="106" t="n">
        <v>11095009.75779</v>
      </c>
      <c r="AM344" s="106" t="n">
        <v>686396.29</v>
      </c>
      <c r="AN344" s="106" t="n">
        <v>74254.35</v>
      </c>
      <c r="AO344" s="115" t="n">
        <v>1365157.496532</v>
      </c>
      <c r="AP344" s="112" t="n">
        <f aca="false" ca="false" dt2D="false" dtr="false" t="normal">+N344-'Приложение №2'!E344</f>
        <v>0</v>
      </c>
      <c r="AQ344" s="121" t="n">
        <v>1678565.67</v>
      </c>
      <c r="AR344" s="3" t="n">
        <f aca="false" ca="false" dt2D="false" dtr="false" t="normal">+(K344*10.5+L344*21)*12*0.85</f>
        <v>477430.38</v>
      </c>
      <c r="AS344" s="3" t="n">
        <f aca="false" ca="false" dt2D="false" dtr="false" t="normal">+(K344*10.5+L344*21)*12*30</f>
        <v>16850484</v>
      </c>
      <c r="AT344" s="9" t="n">
        <f aca="false" ca="false" dt2D="false" dtr="false" t="normal">+S344-AS344</f>
        <v>-15799094.28</v>
      </c>
      <c r="AU344" s="9" t="e">
        <f aca="false" ca="false" dt2D="false" dtr="false" t="normal">+P344-'[5]Приложение №1'!$P407</f>
        <v>#REF!</v>
      </c>
      <c r="AV344" s="9" t="e">
        <f aca="false" ca="false" dt2D="false" dtr="false" t="normal">+Q344-'[5]Приложение №1'!$Q407</f>
        <v>#REF!</v>
      </c>
      <c r="AW344" s="186" t="n">
        <f aca="false" ca="true" dt2D="false" dtr="false" t="normal">SUBTOTAL(9, AX344:BL344)</f>
        <v>35967841.69566232</v>
      </c>
      <c r="AX344" s="106" t="n"/>
      <c r="AY344" s="106" t="n"/>
      <c r="AZ344" s="106" t="n">
        <v>4042843.38661</v>
      </c>
      <c r="BA344" s="106" t="n"/>
      <c r="BB344" s="106" t="n">
        <v>0</v>
      </c>
      <c r="BC344" s="106" t="n"/>
      <c r="BD344" s="106" t="n"/>
      <c r="BE344" s="106" t="n">
        <v>0</v>
      </c>
      <c r="BF344" s="106" t="n">
        <v>19695633.831832</v>
      </c>
      <c r="BG344" s="106" t="n"/>
      <c r="BH344" s="106" t="n"/>
      <c r="BI344" s="106" t="n">
        <v>11089164.4332</v>
      </c>
      <c r="BJ344" s="106" t="n"/>
      <c r="BK344" s="106" t="n"/>
      <c r="BL344" s="187" t="n">
        <v>1140200.04402032</v>
      </c>
      <c r="BM344" s="186" t="n">
        <f aca="false" ca="true" dt2D="false" dtr="false" t="normal">SUBTOTAL(9, BN344:CB344)</f>
        <v>35967841.69566232</v>
      </c>
      <c r="BN344" s="106" t="n"/>
      <c r="BO344" s="106" t="n"/>
      <c r="BP344" s="106" t="n">
        <v>4042843.38661</v>
      </c>
      <c r="BQ344" s="106" t="n"/>
      <c r="BR344" s="106" t="n">
        <v>0</v>
      </c>
      <c r="BS344" s="106" t="n"/>
      <c r="BT344" s="106" t="n"/>
      <c r="BU344" s="106" t="n">
        <v>0</v>
      </c>
      <c r="BV344" s="106" t="n">
        <v>19695633.831832</v>
      </c>
      <c r="BW344" s="106" t="n"/>
      <c r="BX344" s="106" t="n"/>
      <c r="BY344" s="106" t="n">
        <v>11089164.4332</v>
      </c>
      <c r="BZ344" s="106" t="n"/>
      <c r="CA344" s="106" t="n"/>
      <c r="CB344" s="115" t="n">
        <v>1140200.04402032</v>
      </c>
      <c r="CD344" s="116" t="n">
        <f aca="false" ca="false" dt2D="false" dtr="false" t="normal">+CD343+1</f>
        <v>325</v>
      </c>
      <c r="CE344" s="117" t="n">
        <f aca="false" ca="false" dt2D="false" dtr="false" t="normal">+CE343+1</f>
        <v>137</v>
      </c>
      <c r="CF344" s="104" t="s">
        <v>221</v>
      </c>
      <c r="CG344" s="117" t="s">
        <v>419</v>
      </c>
      <c r="CH344" s="188" t="n">
        <f aca="false" ca="true" dt2D="false" dtr="false" t="normal">SUBTOTAL(9, CI344:CW344)</f>
        <v>2486145.49402032</v>
      </c>
      <c r="CI344" s="114" t="n"/>
      <c r="CJ344" s="114" t="n"/>
      <c r="CK344" s="114" t="n"/>
      <c r="CL344" s="114" t="n"/>
      <c r="CM344" s="114" t="n">
        <v>0</v>
      </c>
      <c r="CN344" s="114" t="n"/>
      <c r="CO344" s="114" t="n"/>
      <c r="CP344" s="114" t="n">
        <v>0</v>
      </c>
      <c r="CQ344" s="114" t="n"/>
      <c r="CR344" s="114" t="n"/>
      <c r="CS344" s="114" t="n"/>
      <c r="CT344" s="114" t="n">
        <v>1345945.45</v>
      </c>
      <c r="CU344" s="114" t="n"/>
      <c r="CV344" s="114" t="n"/>
      <c r="CW344" s="115" t="n">
        <v>1140200.04402032</v>
      </c>
      <c r="CZ344" s="117" t="s">
        <v>419</v>
      </c>
      <c r="DA344" s="189" t="n">
        <f aca="false" ca="true" dt2D="false" dtr="false" t="normal">SUBTOTAL(9, DB344:DP344)</f>
        <v>1345945.45</v>
      </c>
      <c r="DB344" s="114" t="n"/>
      <c r="DC344" s="114" t="n"/>
      <c r="DD344" s="114" t="n"/>
      <c r="DE344" s="114" t="n"/>
      <c r="DF344" s="114" t="n">
        <v>0</v>
      </c>
      <c r="DG344" s="114" t="n"/>
      <c r="DH344" s="114" t="n"/>
      <c r="DI344" s="114" t="n">
        <v>0</v>
      </c>
      <c r="DJ344" s="114" t="n"/>
      <c r="DK344" s="114" t="n"/>
      <c r="DL344" s="114" t="n"/>
      <c r="DM344" s="114" t="n">
        <v>1345945.45</v>
      </c>
      <c r="DN344" s="114" t="n"/>
      <c r="DO344" s="114" t="n"/>
      <c r="DP344" s="122" t="n"/>
      <c r="DQ344" s="3" t="n">
        <f aca="false" ca="false" dt2D="false" dtr="false" t="normal">N344-DA344</f>
        <v>0</v>
      </c>
      <c r="DS344" s="9" t="n"/>
    </row>
    <row hidden="false" ht="15" outlineLevel="0" r="345">
      <c r="A345" s="207" t="n">
        <f aca="false" ca="false" dt2D="false" dtr="false" t="normal">+A344+1</f>
        <v>326</v>
      </c>
      <c r="B345" s="207" t="n">
        <f aca="false" ca="false" dt2D="false" dtr="false" t="normal">+B344+1</f>
        <v>138</v>
      </c>
      <c r="C345" s="208" t="s">
        <v>221</v>
      </c>
      <c r="D345" s="208" t="s">
        <v>420</v>
      </c>
      <c r="E345" s="209" t="n">
        <v>1967</v>
      </c>
      <c r="F345" s="209" t="n">
        <v>1967</v>
      </c>
      <c r="G345" s="209" t="s">
        <v>68</v>
      </c>
      <c r="H345" s="105" t="n">
        <v>3</v>
      </c>
      <c r="I345" s="105" t="n">
        <v>2</v>
      </c>
      <c r="J345" s="106" t="n">
        <v>994.3</v>
      </c>
      <c r="K345" s="106" t="n">
        <v>775.2</v>
      </c>
      <c r="L345" s="106" t="n">
        <v>168.7</v>
      </c>
      <c r="M345" s="107" t="n">
        <v>26</v>
      </c>
      <c r="N345" s="108" t="n">
        <f aca="false" ca="false" dt2D="false" dtr="false" t="normal">SUM(P345:T345)</f>
        <v>17534237.759999998</v>
      </c>
      <c r="O345" s="114" t="n"/>
      <c r="P345" s="114" t="n">
        <v>6263171.39</v>
      </c>
      <c r="Q345" s="114" t="n"/>
      <c r="R345" s="114" t="n">
        <v>283126.35</v>
      </c>
      <c r="S345" s="114" t="n">
        <v>10987940.02</v>
      </c>
      <c r="T345" s="114" t="n"/>
      <c r="U345" s="106" t="n">
        <v>20448.4354222008</v>
      </c>
      <c r="V345" s="106" t="n">
        <v>20448.4354222008</v>
      </c>
      <c r="W345" s="185" t="n">
        <v>2023</v>
      </c>
      <c r="X345" s="9" t="e">
        <f aca="false" ca="false" dt2D="false" dtr="false" t="normal">+#REF!-'[9]Приложение №1'!$P1393</f>
        <v>#REF!</v>
      </c>
      <c r="Z345" s="113" t="n">
        <f aca="false" ca="false" dt2D="false" dtr="false" t="normal">SUM(AA345:AO345)</f>
        <v>34167233.34</v>
      </c>
      <c r="AA345" s="106" t="n">
        <v>3079218.06645726</v>
      </c>
      <c r="AB345" s="106" t="n">
        <v>1873658.31769158</v>
      </c>
      <c r="AC345" s="106" t="n">
        <v>882894.70095414</v>
      </c>
      <c r="AD345" s="106" t="n">
        <v>752401.61084172</v>
      </c>
      <c r="AE345" s="106" t="n">
        <v>0</v>
      </c>
      <c r="AF345" s="106" t="n"/>
      <c r="AG345" s="106" t="n">
        <v>291874.83960432</v>
      </c>
      <c r="AH345" s="106" t="n">
        <v>0</v>
      </c>
      <c r="AI345" s="106" t="n">
        <v>8907648.2312202</v>
      </c>
      <c r="AJ345" s="106" t="n">
        <v>0</v>
      </c>
      <c r="AK345" s="106" t="n">
        <v>7283473.63502934</v>
      </c>
      <c r="AL345" s="106" t="n">
        <v>6854126.4005718</v>
      </c>
      <c r="AM345" s="106" t="n">
        <v>3245859.594</v>
      </c>
      <c r="AN345" s="114" t="n">
        <v>341672.3334</v>
      </c>
      <c r="AO345" s="115" t="n">
        <v>654405.61022964</v>
      </c>
      <c r="AP345" s="112" t="n">
        <f aca="false" ca="false" dt2D="false" dtr="false" t="normal">+N345-'Приложение №2'!E345</f>
        <v>0</v>
      </c>
      <c r="AQ345" s="1" t="n">
        <v>373291.08</v>
      </c>
      <c r="AR345" s="3" t="n">
        <f aca="false" ca="false" dt2D="false" dtr="false" t="normal">+(K345*10+L345*20)*12*0.85</f>
        <v>113485.2</v>
      </c>
      <c r="AS345" s="3" t="n">
        <f aca="false" ca="false" dt2D="false" dtr="false" t="normal">+(K345*10+L345*20)*12*30</f>
        <v>4005360</v>
      </c>
      <c r="AT345" s="9" t="n">
        <f aca="false" ca="false" dt2D="false" dtr="false" t="normal">+S345-AS345</f>
        <v>6982580.02</v>
      </c>
      <c r="AU345" s="9" t="e">
        <f aca="false" ca="false" dt2D="false" dtr="false" t="normal">+#REF!-'[5]Приложение №1'!$P369</f>
        <v>#REF!</v>
      </c>
      <c r="AV345" s="9" t="e">
        <f aca="false" ca="false" dt2D="false" dtr="false" t="normal">+Q345-'[5]Приложение №1'!$Q369</f>
        <v>#REF!</v>
      </c>
      <c r="AW345" s="113" t="n">
        <f aca="false" ca="true" dt2D="false" dtr="false" t="normal">SUBTOTAL(9, AX345:BL345)</f>
        <v>19301278.195015322</v>
      </c>
      <c r="AX345" s="106" t="n"/>
      <c r="AY345" s="106" t="n">
        <v>450967.71</v>
      </c>
      <c r="AZ345" s="106" t="n"/>
      <c r="BA345" s="106" t="n">
        <v>341058.14</v>
      </c>
      <c r="BB345" s="106" t="n">
        <v>0</v>
      </c>
      <c r="BC345" s="106" t="n"/>
      <c r="BD345" s="106" t="n"/>
      <c r="BE345" s="106" t="n">
        <v>0</v>
      </c>
      <c r="BF345" s="106" t="n">
        <v>9849605.506398</v>
      </c>
      <c r="BG345" s="106" t="n">
        <v>0</v>
      </c>
      <c r="BH345" s="106" t="n">
        <v>8095399.449984</v>
      </c>
      <c r="BI345" s="106" t="n">
        <v>283215.94</v>
      </c>
      <c r="BJ345" s="106" t="n"/>
      <c r="BK345" s="114" t="n"/>
      <c r="BL345" s="187" t="n">
        <v>281031.44863332</v>
      </c>
      <c r="BM345" s="113" t="n">
        <f aca="false" ca="true" dt2D="false" dtr="false" t="normal">SUBTOTAL(9, BN345:CB345)</f>
        <v>18238808.65861732</v>
      </c>
      <c r="BN345" s="106" t="n"/>
      <c r="BO345" s="106" t="n">
        <v>450967.71</v>
      </c>
      <c r="BP345" s="106" t="n"/>
      <c r="BQ345" s="106" t="n">
        <v>341058.14</v>
      </c>
      <c r="BR345" s="106" t="n">
        <v>0</v>
      </c>
      <c r="BS345" s="106" t="n"/>
      <c r="BT345" s="106" t="n"/>
      <c r="BU345" s="106" t="n">
        <v>0</v>
      </c>
      <c r="BV345" s="106" t="n">
        <v>8787135.97</v>
      </c>
      <c r="BW345" s="106" t="n">
        <v>0</v>
      </c>
      <c r="BX345" s="106" t="n">
        <v>8095399.449984</v>
      </c>
      <c r="BY345" s="106" t="n">
        <v>283215.94</v>
      </c>
      <c r="BZ345" s="106" t="n"/>
      <c r="CA345" s="114" t="n"/>
      <c r="CB345" s="115" t="n">
        <v>281031.44863332</v>
      </c>
      <c r="CD345" s="116" t="n">
        <f aca="false" ca="false" dt2D="false" dtr="false" t="normal">+CD344+1</f>
        <v>326</v>
      </c>
      <c r="CE345" s="117" t="n">
        <f aca="false" ca="false" dt2D="false" dtr="false" t="normal">+CE344+1</f>
        <v>138</v>
      </c>
      <c r="CF345" s="104" t="s">
        <v>221</v>
      </c>
      <c r="CG345" s="117" t="s">
        <v>420</v>
      </c>
      <c r="CH345" s="118" t="n">
        <f aca="false" ca="true" dt2D="false" dtr="false" t="normal">SUBTOTAL(9, CI345:CW345)</f>
        <v>17815269.20863332</v>
      </c>
      <c r="CI345" s="114" t="n"/>
      <c r="CJ345" s="114" t="n"/>
      <c r="CK345" s="114" t="n"/>
      <c r="CL345" s="114" t="n"/>
      <c r="CM345" s="114" t="n">
        <v>0</v>
      </c>
      <c r="CN345" s="114" t="n"/>
      <c r="CO345" s="114" t="n"/>
      <c r="CP345" s="114" t="n">
        <v>0</v>
      </c>
      <c r="CQ345" s="114" t="n">
        <v>8787135.97</v>
      </c>
      <c r="CR345" s="114" t="n">
        <v>0</v>
      </c>
      <c r="CS345" s="114" t="n">
        <v>8747101.79</v>
      </c>
      <c r="CT345" s="114" t="n"/>
      <c r="CU345" s="114" t="n"/>
      <c r="CV345" s="114" t="n"/>
      <c r="CW345" s="115" t="n">
        <v>281031.44863332</v>
      </c>
      <c r="CZ345" s="117" t="s">
        <v>420</v>
      </c>
      <c r="DA345" s="119" t="n">
        <f aca="false" ca="true" dt2D="false" dtr="false" t="normal">SUBTOTAL(9, DB345:DP345)</f>
        <v>17534237.759999998</v>
      </c>
      <c r="DB345" s="114" t="n"/>
      <c r="DC345" s="114" t="n"/>
      <c r="DD345" s="114" t="n"/>
      <c r="DE345" s="114" t="n"/>
      <c r="DF345" s="114" t="n">
        <v>0</v>
      </c>
      <c r="DG345" s="114" t="n"/>
      <c r="DH345" s="114" t="n"/>
      <c r="DI345" s="114" t="n">
        <v>0</v>
      </c>
      <c r="DJ345" s="114" t="n">
        <v>8787135.97</v>
      </c>
      <c r="DK345" s="114" t="n">
        <v>0</v>
      </c>
      <c r="DL345" s="114" t="n">
        <v>8747101.79</v>
      </c>
      <c r="DM345" s="114" t="n"/>
      <c r="DN345" s="114" t="n"/>
      <c r="DO345" s="114" t="n"/>
      <c r="DP345" s="122" t="n"/>
      <c r="DQ345" s="3" t="n">
        <f aca="false" ca="false" dt2D="false" dtr="false" t="normal">N345-DA345</f>
        <v>0</v>
      </c>
      <c r="DS345" s="9" t="n"/>
    </row>
    <row hidden="false" ht="15" outlineLevel="0" r="346">
      <c r="A346" s="207" t="n">
        <f aca="false" ca="false" dt2D="false" dtr="false" t="normal">+A345+1</f>
        <v>327</v>
      </c>
      <c r="B346" s="207" t="n">
        <f aca="false" ca="false" dt2D="false" dtr="false" t="normal">+B345+1</f>
        <v>139</v>
      </c>
      <c r="C346" s="208" t="s">
        <v>221</v>
      </c>
      <c r="D346" s="208" t="s">
        <v>421</v>
      </c>
      <c r="E346" s="209" t="n">
        <v>1970</v>
      </c>
      <c r="F346" s="209" t="n">
        <v>1970</v>
      </c>
      <c r="G346" s="209" t="s">
        <v>68</v>
      </c>
      <c r="H346" s="105" t="n">
        <v>3</v>
      </c>
      <c r="I346" s="105" t="n">
        <v>3</v>
      </c>
      <c r="J346" s="106" t="n">
        <v>1002.4</v>
      </c>
      <c r="K346" s="106" t="n">
        <v>930.4</v>
      </c>
      <c r="L346" s="106" t="n">
        <v>71.8</v>
      </c>
      <c r="M346" s="107" t="n">
        <v>40</v>
      </c>
      <c r="N346" s="108" t="n">
        <f aca="false" ca="false" dt2D="false" dtr="false" t="normal">SUM(P346:T346)</f>
        <v>12625636.219999999</v>
      </c>
      <c r="O346" s="114" t="n"/>
      <c r="P346" s="114" t="n">
        <v>7402149.08</v>
      </c>
      <c r="Q346" s="114" t="n"/>
      <c r="R346" s="114" t="n">
        <v>618572.46</v>
      </c>
      <c r="S346" s="114" t="n">
        <v>4604914.68</v>
      </c>
      <c r="T346" s="114" t="n"/>
      <c r="U346" s="114" t="n">
        <v>30704.5547820676</v>
      </c>
      <c r="V346" s="114" t="n">
        <v>1370.283020064</v>
      </c>
      <c r="W346" s="185" t="n">
        <v>2023</v>
      </c>
      <c r="X346" s="9" t="e">
        <f aca="false" ca="false" dt2D="false" dtr="false" t="normal">+#REF!-'[9]Приложение №1'!$P935</f>
        <v>#REF!</v>
      </c>
      <c r="Z346" s="113" t="n">
        <f aca="false" ca="false" dt2D="false" dtr="false" t="normal">SUM(AA346:AO346)</f>
        <v>37138619.279999994</v>
      </c>
      <c r="AA346" s="106" t="n">
        <v>3347005.1922762</v>
      </c>
      <c r="AB346" s="106" t="n">
        <v>2036602.79352348</v>
      </c>
      <c r="AC346" s="106" t="n">
        <v>959676.4727151</v>
      </c>
      <c r="AD346" s="106" t="n">
        <v>817834.93398936</v>
      </c>
      <c r="AE346" s="106" t="n">
        <v>0</v>
      </c>
      <c r="AF346" s="106" t="n"/>
      <c r="AG346" s="106" t="n">
        <v>317258.0186874</v>
      </c>
      <c r="AH346" s="106" t="n">
        <v>0</v>
      </c>
      <c r="AI346" s="106" t="n">
        <v>9682310.3290956</v>
      </c>
      <c r="AJ346" s="106" t="n">
        <v>0</v>
      </c>
      <c r="AK346" s="106" t="n">
        <v>7916887.84777716</v>
      </c>
      <c r="AL346" s="106" t="n">
        <v>7450202.02277148</v>
      </c>
      <c r="AM346" s="106" t="n">
        <v>3528138.8599</v>
      </c>
      <c r="AN346" s="114" t="n">
        <v>371386.1928</v>
      </c>
      <c r="AO346" s="115" t="n">
        <v>711316.61646422</v>
      </c>
      <c r="AP346" s="112" t="n">
        <f aca="false" ca="false" dt2D="false" dtr="false" t="normal">+N346-'Приложение №2'!E346</f>
        <v>0</v>
      </c>
      <c r="AQ346" s="121" t="n">
        <v>503547.06</v>
      </c>
      <c r="AR346" s="3" t="n">
        <f aca="false" ca="false" dt2D="false" dtr="false" t="normal">+(K346*10.5+L346*21)*12*0.85</f>
        <v>115025.39999999997</v>
      </c>
      <c r="AS346" s="3" t="n">
        <f aca="false" ca="false" dt2D="false" dtr="false" t="normal">+(K346*10.5+L346*21)*12*30</f>
        <v>4059719.999999999</v>
      </c>
      <c r="AT346" s="9" t="n">
        <f aca="false" ca="false" dt2D="false" dtr="false" t="normal">+S346-AS346</f>
        <v>545194.6800000006</v>
      </c>
      <c r="AU346" s="9" t="e">
        <f aca="false" ca="false" dt2D="false" dtr="false" t="normal">+P346-'[5]Приложение №1'!$P409</f>
        <v>#REF!</v>
      </c>
      <c r="AV346" s="9" t="e">
        <f aca="false" ca="false" dt2D="false" dtr="false" t="normal">+Q346-'[5]Приложение №1'!$Q409</f>
        <v>#REF!</v>
      </c>
      <c r="AW346" s="186" t="n">
        <f aca="false" ca="true" dt2D="false" dtr="false" t="normal">SUBTOTAL(9, AX346:BL346)</f>
        <v>26562361.1883313</v>
      </c>
      <c r="AX346" s="106" t="n"/>
      <c r="AY346" s="106" t="n"/>
      <c r="AZ346" s="106" t="n"/>
      <c r="BA346" s="106" t="n"/>
      <c r="BB346" s="106" t="n">
        <v>0</v>
      </c>
      <c r="BC346" s="106" t="n"/>
      <c r="BD346" s="106" t="n"/>
      <c r="BE346" s="106" t="n">
        <v>0</v>
      </c>
      <c r="BF346" s="106" t="n">
        <v>9682310.3290956</v>
      </c>
      <c r="BG346" s="106" t="n">
        <v>0</v>
      </c>
      <c r="BH346" s="106" t="n">
        <v>8718532.22</v>
      </c>
      <c r="BI346" s="106" t="n">
        <v>7450202.02277148</v>
      </c>
      <c r="BJ346" s="106" t="n"/>
      <c r="BK346" s="114" t="n"/>
      <c r="BL346" s="187" t="n">
        <v>711316.61646422</v>
      </c>
      <c r="BM346" s="186" t="n">
        <f aca="false" ca="true" dt2D="false" dtr="false" t="normal">SUBTOTAL(9, BN346:CB346)</f>
        <v>22055485.05646422</v>
      </c>
      <c r="BN346" s="106" t="n"/>
      <c r="BO346" s="106" t="n"/>
      <c r="BP346" s="106" t="n"/>
      <c r="BQ346" s="106" t="n"/>
      <c r="BR346" s="106" t="n">
        <v>0</v>
      </c>
      <c r="BS346" s="106" t="n"/>
      <c r="BT346" s="106" t="n"/>
      <c r="BU346" s="106" t="n">
        <v>0</v>
      </c>
      <c r="BV346" s="106" t="n">
        <v>11687466.91</v>
      </c>
      <c r="BW346" s="106" t="n">
        <v>0</v>
      </c>
      <c r="BX346" s="106" t="n">
        <v>8718532.22</v>
      </c>
      <c r="BY346" s="106" t="n">
        <v>938169.31</v>
      </c>
      <c r="BZ346" s="106" t="n"/>
      <c r="CA346" s="114" t="n"/>
      <c r="CB346" s="115" t="n">
        <v>711316.61646422</v>
      </c>
      <c r="CD346" s="116" t="n">
        <f aca="false" ca="false" dt2D="false" dtr="false" t="normal">+CD345+1</f>
        <v>327</v>
      </c>
      <c r="CE346" s="117" t="n">
        <f aca="false" ca="false" dt2D="false" dtr="false" t="normal">+CE345+1</f>
        <v>139</v>
      </c>
      <c r="CF346" s="104" t="s">
        <v>221</v>
      </c>
      <c r="CG346" s="117" t="s">
        <v>421</v>
      </c>
      <c r="CH346" s="188" t="n">
        <f aca="false" ca="true" dt2D="false" dtr="false" t="normal">SUBTOTAL(9, CI346:CW346)</f>
        <v>13336952.83646422</v>
      </c>
      <c r="CI346" s="114" t="n"/>
      <c r="CJ346" s="114" t="n"/>
      <c r="CK346" s="114" t="n"/>
      <c r="CL346" s="114" t="n"/>
      <c r="CM346" s="114" t="n">
        <v>0</v>
      </c>
      <c r="CN346" s="114" t="n"/>
      <c r="CO346" s="114" t="n"/>
      <c r="CP346" s="114" t="n">
        <v>0</v>
      </c>
      <c r="CQ346" s="114" t="n">
        <v>11687466.91</v>
      </c>
      <c r="CR346" s="114" t="n">
        <v>0</v>
      </c>
      <c r="CS346" s="114" t="n"/>
      <c r="CT346" s="114" t="n">
        <v>938169.31</v>
      </c>
      <c r="CU346" s="114" t="n"/>
      <c r="CV346" s="114" t="n"/>
      <c r="CW346" s="115" t="n">
        <v>711316.61646422</v>
      </c>
      <c r="CZ346" s="117" t="s">
        <v>421</v>
      </c>
      <c r="DA346" s="189" t="n">
        <f aca="false" ca="true" dt2D="false" dtr="false" t="normal">SUBTOTAL(9, DB346:DP346)</f>
        <v>12625636.22</v>
      </c>
      <c r="DB346" s="114" t="n"/>
      <c r="DC346" s="114" t="n"/>
      <c r="DD346" s="114" t="n"/>
      <c r="DE346" s="114" t="n"/>
      <c r="DF346" s="114" t="n">
        <v>0</v>
      </c>
      <c r="DG346" s="114" t="n"/>
      <c r="DH346" s="114" t="n"/>
      <c r="DI346" s="114" t="n">
        <v>0</v>
      </c>
      <c r="DJ346" s="114" t="n">
        <v>11687466.91</v>
      </c>
      <c r="DK346" s="114" t="n">
        <v>0</v>
      </c>
      <c r="DL346" s="114" t="n"/>
      <c r="DM346" s="114" t="n">
        <v>938169.31</v>
      </c>
      <c r="DN346" s="114" t="n"/>
      <c r="DO346" s="114" t="n"/>
      <c r="DP346" s="122" t="n"/>
      <c r="DQ346" s="3" t="n">
        <f aca="false" ca="false" dt2D="false" dtr="false" t="normal">N346-DA346</f>
        <v>0</v>
      </c>
      <c r="DS346" s="9" t="n"/>
    </row>
    <row hidden="false" ht="15" outlineLevel="0" r="347">
      <c r="A347" s="207" t="n">
        <f aca="false" ca="false" dt2D="false" dtr="false" t="normal">+A346+1</f>
        <v>328</v>
      </c>
      <c r="B347" s="207" t="n">
        <f aca="false" ca="false" dt2D="false" dtr="false" t="normal">+B346+1</f>
        <v>140</v>
      </c>
      <c r="C347" s="208" t="s">
        <v>221</v>
      </c>
      <c r="D347" s="208" t="s">
        <v>422</v>
      </c>
      <c r="E347" s="209" t="n">
        <v>1975</v>
      </c>
      <c r="F347" s="209" t="n">
        <v>1975</v>
      </c>
      <c r="G347" s="209" t="s">
        <v>68</v>
      </c>
      <c r="H347" s="105" t="n">
        <v>4</v>
      </c>
      <c r="I347" s="105" t="n">
        <v>1</v>
      </c>
      <c r="J347" s="106" t="n">
        <v>1425.2</v>
      </c>
      <c r="K347" s="106" t="n">
        <v>1131.8</v>
      </c>
      <c r="L347" s="106" t="n">
        <v>129.9</v>
      </c>
      <c r="M347" s="107" t="n">
        <v>56</v>
      </c>
      <c r="N347" s="108" t="n">
        <f aca="false" ca="false" dt2D="false" dtr="false" t="normal">SUM(P347:T347)</f>
        <v>14985012.03</v>
      </c>
      <c r="O347" s="114" t="n"/>
      <c r="P347" s="114" t="n">
        <v>8246837.02849671</v>
      </c>
      <c r="Q347" s="114" t="n"/>
      <c r="R347" s="114" t="n">
        <v>873157.21</v>
      </c>
      <c r="S347" s="114" t="n">
        <v>5865017.79150329</v>
      </c>
      <c r="T347" s="114" t="n"/>
      <c r="U347" s="114" t="n">
        <v>12907.6391731851</v>
      </c>
      <c r="V347" s="114" t="n">
        <v>1379.283020064</v>
      </c>
      <c r="W347" s="185" t="n">
        <v>2023</v>
      </c>
      <c r="X347" s="9" t="e">
        <f aca="false" ca="false" dt2D="false" dtr="false" t="normal">+#REF!-'[9]Приложение №1'!$P1310</f>
        <v>#REF!</v>
      </c>
      <c r="Z347" s="113" t="n">
        <f aca="false" ca="false" dt2D="false" dtr="false" t="normal">SUM(AA347:AO347)</f>
        <v>23375883.6</v>
      </c>
      <c r="AA347" s="106" t="n">
        <v>3639720.451128</v>
      </c>
      <c r="AB347" s="106" t="n">
        <v>1310198.586234</v>
      </c>
      <c r="AC347" s="106" t="n">
        <v>1393886.85333</v>
      </c>
      <c r="AD347" s="106" t="n">
        <v>881139.783264</v>
      </c>
      <c r="AE347" s="106" t="n">
        <v>0</v>
      </c>
      <c r="AF347" s="106" t="n"/>
      <c r="AG347" s="106" t="n">
        <v>123633.848142</v>
      </c>
      <c r="AH347" s="106" t="n">
        <v>0</v>
      </c>
      <c r="AI347" s="106" t="n">
        <v>6816774.97335</v>
      </c>
      <c r="AJ347" s="106" t="n">
        <v>840779.696616</v>
      </c>
      <c r="AK347" s="106" t="n">
        <v>3546979.28265</v>
      </c>
      <c r="AL347" s="106" t="n">
        <v>3815904.59502</v>
      </c>
      <c r="AM347" s="106" t="n">
        <v>455993.49</v>
      </c>
      <c r="AN347" s="106" t="n">
        <v>61706.92</v>
      </c>
      <c r="AO347" s="115" t="n">
        <v>489165.120266</v>
      </c>
      <c r="AP347" s="112" t="n">
        <f aca="false" ca="false" dt2D="false" dtr="false" t="normal">+N347-'Приложение №2'!E347</f>
        <v>0</v>
      </c>
      <c r="AQ347" s="121" t="n">
        <v>575076.49</v>
      </c>
      <c r="AR347" s="3" t="n">
        <f aca="false" ca="false" dt2D="false" dtr="false" t="normal">+(K347*10.5+L347*21)*12*0.85</f>
        <v>149040.36</v>
      </c>
      <c r="AS347" s="3" t="n">
        <f aca="false" ca="false" dt2D="false" dtr="false" t="normal">+(K347*10.5+L347*21)*12*30</f>
        <v>5260247.999999999</v>
      </c>
      <c r="AT347" s="9" t="n">
        <f aca="false" ca="false" dt2D="false" dtr="false" t="normal">+S347-AS347</f>
        <v>604769.7915032906</v>
      </c>
      <c r="AU347" s="9" t="e">
        <f aca="false" ca="false" dt2D="false" dtr="false" t="normal">+P347-'[5]Приложение №1'!$P411</f>
        <v>#REF!</v>
      </c>
      <c r="AV347" s="9" t="e">
        <f aca="false" ca="false" dt2D="false" dtr="false" t="normal">+Q347-'[5]Приложение №1'!$Q411</f>
        <v>#REF!</v>
      </c>
      <c r="AW347" s="186" t="n">
        <f aca="false" ca="true" dt2D="false" dtr="false" t="normal">SUBTOTAL(9, AX347:BL347)</f>
        <v>14608866.01621094</v>
      </c>
      <c r="AX347" s="106" t="n"/>
      <c r="AY347" s="106" t="n">
        <v>1310198.586234</v>
      </c>
      <c r="AZ347" s="106" t="n">
        <v>1393886.85333</v>
      </c>
      <c r="BA347" s="106" t="n">
        <v>881139.783264</v>
      </c>
      <c r="BB347" s="106" t="n">
        <v>0</v>
      </c>
      <c r="BC347" s="106" t="n"/>
      <c r="BD347" s="106" t="n"/>
      <c r="BE347" s="106" t="n">
        <v>0</v>
      </c>
      <c r="BF347" s="106" t="n">
        <v>6816774.97335</v>
      </c>
      <c r="BG347" s="106" t="n"/>
      <c r="BH347" s="106" t="n"/>
      <c r="BI347" s="106" t="n">
        <v>3815904.59502</v>
      </c>
      <c r="BJ347" s="106" t="n"/>
      <c r="BK347" s="106" t="n"/>
      <c r="BL347" s="187" t="n">
        <v>390961.22501294</v>
      </c>
      <c r="BM347" s="186" t="n">
        <f aca="false" ca="true" dt2D="false" dtr="false" t="normal">SUBTOTAL(9, BN347:CB347)</f>
        <v>15499607.10315494</v>
      </c>
      <c r="BN347" s="106" t="n">
        <v>3850862.68</v>
      </c>
      <c r="BO347" s="106" t="n">
        <v>1527090.45</v>
      </c>
      <c r="BP347" s="106" t="n">
        <v>1632419.86</v>
      </c>
      <c r="BQ347" s="106" t="n">
        <v>1086100.56</v>
      </c>
      <c r="BR347" s="106" t="n">
        <v>0</v>
      </c>
      <c r="BS347" s="106" t="n"/>
      <c r="BT347" s="106" t="n">
        <v>123633.848142</v>
      </c>
      <c r="BU347" s="106" t="n">
        <v>0</v>
      </c>
      <c r="BV347" s="106" t="n">
        <v>5722546.32</v>
      </c>
      <c r="BW347" s="106" t="n"/>
      <c r="BX347" s="106" t="n"/>
      <c r="BY347" s="106" t="n">
        <v>1165992.16</v>
      </c>
      <c r="BZ347" s="106" t="n"/>
      <c r="CA347" s="106" t="n"/>
      <c r="CB347" s="115" t="n">
        <v>390961.22501294</v>
      </c>
      <c r="CD347" s="116" t="n">
        <f aca="false" ca="false" dt2D="false" dtr="false" t="normal">+CD346+1</f>
        <v>328</v>
      </c>
      <c r="CE347" s="117" t="n">
        <f aca="false" ca="false" dt2D="false" dtr="false" t="normal">+CE346+1</f>
        <v>140</v>
      </c>
      <c r="CF347" s="104" t="s">
        <v>221</v>
      </c>
      <c r="CG347" s="117" t="s">
        <v>422</v>
      </c>
      <c r="CH347" s="188" t="n">
        <f aca="false" ca="true" dt2D="false" dtr="false" t="normal">SUBTOTAL(9, CI347:CW347)</f>
        <v>15375973.25501294</v>
      </c>
      <c r="CI347" s="114" t="n">
        <v>3850862.68</v>
      </c>
      <c r="CJ347" s="114" t="n">
        <v>1527090.45</v>
      </c>
      <c r="CK347" s="114" t="n">
        <v>1632419.86</v>
      </c>
      <c r="CL347" s="114" t="n">
        <v>1086100.56</v>
      </c>
      <c r="CM347" s="114" t="n">
        <v>0</v>
      </c>
      <c r="CN347" s="114" t="n"/>
      <c r="CO347" s="114" t="n"/>
      <c r="CP347" s="114" t="n">
        <v>0</v>
      </c>
      <c r="CQ347" s="114" t="n">
        <v>5722546.32</v>
      </c>
      <c r="CR347" s="114" t="n"/>
      <c r="CS347" s="114" t="n"/>
      <c r="CT347" s="114" t="n">
        <v>1165992.16</v>
      </c>
      <c r="CU347" s="114" t="n"/>
      <c r="CV347" s="114" t="n"/>
      <c r="CW347" s="115" t="n">
        <v>390961.22501294</v>
      </c>
      <c r="CZ347" s="117" t="s">
        <v>422</v>
      </c>
      <c r="DA347" s="189" t="n">
        <f aca="false" ca="true" dt2D="false" dtr="false" t="normal">SUBTOTAL(9, DB347:DP347)</f>
        <v>14985012.030000001</v>
      </c>
      <c r="DB347" s="114" t="n">
        <v>3850862.68</v>
      </c>
      <c r="DC347" s="114" t="n">
        <v>1527090.45</v>
      </c>
      <c r="DD347" s="114" t="n">
        <v>1632419.86</v>
      </c>
      <c r="DE347" s="114" t="n">
        <v>1086100.56</v>
      </c>
      <c r="DF347" s="114" t="n">
        <v>0</v>
      </c>
      <c r="DG347" s="114" t="n"/>
      <c r="DH347" s="114" t="n"/>
      <c r="DI347" s="114" t="n">
        <v>0</v>
      </c>
      <c r="DJ347" s="114" t="n">
        <v>5722546.32</v>
      </c>
      <c r="DK347" s="114" t="n"/>
      <c r="DL347" s="114" t="n"/>
      <c r="DM347" s="114" t="n">
        <v>1165992.16</v>
      </c>
      <c r="DN347" s="114" t="n"/>
      <c r="DO347" s="114" t="n"/>
      <c r="DP347" s="122" t="n"/>
      <c r="DQ347" s="3" t="n">
        <f aca="false" ca="false" dt2D="false" dtr="false" t="normal">N347-DA347</f>
        <v>0</v>
      </c>
      <c r="DS347" s="9" t="n"/>
    </row>
    <row hidden="false" ht="15" outlineLevel="0" r="348">
      <c r="A348" s="207" t="n">
        <f aca="false" ca="false" dt2D="false" dtr="false" t="normal">+A347+1</f>
        <v>329</v>
      </c>
      <c r="B348" s="207" t="n">
        <f aca="false" ca="false" dt2D="false" dtr="false" t="normal">+B347+1</f>
        <v>141</v>
      </c>
      <c r="C348" s="208" t="s">
        <v>221</v>
      </c>
      <c r="D348" s="208" t="s">
        <v>226</v>
      </c>
      <c r="E348" s="209" t="n">
        <v>1962</v>
      </c>
      <c r="F348" s="209" t="n">
        <v>1962</v>
      </c>
      <c r="G348" s="209" t="s">
        <v>68</v>
      </c>
      <c r="H348" s="105" t="n">
        <v>3</v>
      </c>
      <c r="I348" s="105" t="n">
        <v>2</v>
      </c>
      <c r="J348" s="106" t="n">
        <v>937.1</v>
      </c>
      <c r="K348" s="106" t="n">
        <v>723.7</v>
      </c>
      <c r="L348" s="106" t="n">
        <v>213.4</v>
      </c>
      <c r="M348" s="107" t="n">
        <v>26</v>
      </c>
      <c r="N348" s="108" t="n">
        <f aca="false" ca="false" dt2D="false" dtr="false" t="normal">SUM(P348:T348)</f>
        <v>9645371.620000001</v>
      </c>
      <c r="O348" s="114" t="n"/>
      <c r="P348" s="114" t="n">
        <v>5649280.01</v>
      </c>
      <c r="Q348" s="114" t="n"/>
      <c r="R348" s="114" t="n">
        <v>218510.12</v>
      </c>
      <c r="S348" s="114" t="n">
        <v>3777581.49</v>
      </c>
      <c r="T348" s="114" t="n"/>
      <c r="U348" s="106" t="n">
        <v>10649.2456602796</v>
      </c>
      <c r="V348" s="106" t="n">
        <v>10649.2456602796</v>
      </c>
      <c r="W348" s="185" t="n">
        <v>2023</v>
      </c>
      <c r="X348" s="9" t="e">
        <f aca="false" ca="false" dt2D="false" dtr="false" t="normal">+#REF!-'[9]Приложение №1'!$P1396</f>
        <v>#REF!</v>
      </c>
      <c r="Z348" s="113" t="n">
        <f aca="false" ca="false" dt2D="false" dtr="false" t="normal">SUM(AA348:AO348)</f>
        <v>26675784</v>
      </c>
      <c r="AA348" s="106" t="n">
        <v>2404073.9634912</v>
      </c>
      <c r="AB348" s="106" t="n">
        <v>1462843.1901888</v>
      </c>
      <c r="AC348" s="106" t="n">
        <v>689312.7111024</v>
      </c>
      <c r="AD348" s="106" t="n">
        <v>587431.3148928</v>
      </c>
      <c r="AE348" s="106" t="n">
        <v>0</v>
      </c>
      <c r="AF348" s="106" t="n"/>
      <c r="AG348" s="106" t="n">
        <v>227878.8628032</v>
      </c>
      <c r="AH348" s="106" t="n">
        <v>0</v>
      </c>
      <c r="AI348" s="106" t="n">
        <v>6954572.465568</v>
      </c>
      <c r="AJ348" s="106" t="n">
        <v>0</v>
      </c>
      <c r="AK348" s="106" t="n">
        <v>5686511.6200032</v>
      </c>
      <c r="AL348" s="106" t="n">
        <v>5351302.3282992</v>
      </c>
      <c r="AM348" s="106" t="n">
        <v>2534177.952</v>
      </c>
      <c r="AN348" s="114" t="n">
        <v>266757.84</v>
      </c>
      <c r="AO348" s="115" t="n">
        <v>510921.7516512</v>
      </c>
      <c r="AP348" s="112" t="n">
        <f aca="false" ca="false" dt2D="false" dtr="false" t="normal">+N348-'Приложение №2'!E348</f>
        <v>0</v>
      </c>
      <c r="AQ348" s="9" t="n">
        <f aca="false" ca="false" dt2D="false" dtr="false" t="normal">294416.56-R152</f>
        <v>101159.12</v>
      </c>
      <c r="AR348" s="3" t="n">
        <f aca="false" ca="false" dt2D="false" dtr="false" t="normal">+(K348*10+L348*20)*12*0.85</f>
        <v>117351</v>
      </c>
      <c r="AS348" s="3" t="n">
        <f aca="false" ca="false" dt2D="false" dtr="false" t="normal">+(K348*10+L348*20)*12*30-S152</f>
        <v>3568730.1160512</v>
      </c>
      <c r="AT348" s="9" t="n">
        <f aca="false" ca="false" dt2D="false" dtr="false" t="normal">+S348-AS348</f>
        <v>208851.37394880038</v>
      </c>
      <c r="AU348" s="9" t="e">
        <f aca="false" ca="false" dt2D="false" dtr="false" t="normal">+P348-'[5]Приложение №1'!$P371</f>
        <v>#REF!</v>
      </c>
      <c r="AV348" s="9" t="e">
        <f aca="false" ca="false" dt2D="false" dtr="false" t="normal">+Q348-'[5]Приложение №1'!$Q371</f>
        <v>#REF!</v>
      </c>
      <c r="AW348" s="113" t="n">
        <f aca="false" ca="true" dt2D="false" dtr="false" t="normal">SUBTOTAL(9, AX348:BL348)</f>
        <v>9979408.108248001</v>
      </c>
      <c r="AX348" s="106" t="n"/>
      <c r="AY348" s="106" t="n"/>
      <c r="AZ348" s="106" t="n"/>
      <c r="BA348" s="106" t="n"/>
      <c r="BB348" s="106" t="n">
        <v>0</v>
      </c>
      <c r="BC348" s="106" t="n"/>
      <c r="BD348" s="106" t="n"/>
      <c r="BE348" s="106" t="n">
        <v>0</v>
      </c>
      <c r="BF348" s="106" t="n"/>
      <c r="BG348" s="106" t="n">
        <v>0</v>
      </c>
      <c r="BH348" s="106" t="n">
        <v>8231571.61</v>
      </c>
      <c r="BI348" s="106" t="n">
        <v>1428913.34</v>
      </c>
      <c r="BJ348" s="106" t="n"/>
      <c r="BK348" s="114" t="n"/>
      <c r="BL348" s="187" t="n">
        <v>318923.158248</v>
      </c>
      <c r="BM348" s="113" t="n">
        <f aca="false" ca="true" dt2D="false" dtr="false" t="normal">SUBTOTAL(9, BN348:CB348)</f>
        <v>11143529.128248</v>
      </c>
      <c r="BN348" s="106" t="n"/>
      <c r="BO348" s="106" t="n"/>
      <c r="BP348" s="106" t="n">
        <v>953705.41</v>
      </c>
      <c r="BQ348" s="106" t="n"/>
      <c r="BR348" s="106" t="n">
        <v>0</v>
      </c>
      <c r="BS348" s="106" t="n"/>
      <c r="BT348" s="106" t="n"/>
      <c r="BU348" s="106" t="n">
        <v>0</v>
      </c>
      <c r="BV348" s="106" t="n"/>
      <c r="BW348" s="106" t="n">
        <v>0</v>
      </c>
      <c r="BX348" s="106" t="n">
        <v>8441987.22</v>
      </c>
      <c r="BY348" s="106" t="n">
        <v>1428913.34</v>
      </c>
      <c r="BZ348" s="106" t="n"/>
      <c r="CA348" s="114" t="n"/>
      <c r="CB348" s="115" t="n">
        <v>318923.158248</v>
      </c>
      <c r="CD348" s="116" t="n">
        <f aca="false" ca="false" dt2D="false" dtr="false" t="normal">+CD347+1</f>
        <v>329</v>
      </c>
      <c r="CE348" s="117" t="n">
        <f aca="false" ca="false" dt2D="false" dtr="false" t="normal">+CE347+1</f>
        <v>141</v>
      </c>
      <c r="CF348" s="104" t="s">
        <v>221</v>
      </c>
      <c r="CG348" s="117" t="s">
        <v>226</v>
      </c>
      <c r="CH348" s="118" t="n">
        <f aca="false" ca="true" dt2D="false" dtr="false" t="normal">SUBTOTAL(9, CI348:CW348)</f>
        <v>9964294.778248</v>
      </c>
      <c r="CI348" s="114" t="n"/>
      <c r="CJ348" s="114" t="n"/>
      <c r="CK348" s="114" t="n">
        <v>1203384.4</v>
      </c>
      <c r="CL348" s="114" t="n"/>
      <c r="CM348" s="114" t="n">
        <v>0</v>
      </c>
      <c r="CN348" s="114" t="n"/>
      <c r="CO348" s="114" t="n"/>
      <c r="CP348" s="114" t="n">
        <v>0</v>
      </c>
      <c r="CQ348" s="114" t="n"/>
      <c r="CR348" s="114" t="n">
        <v>0</v>
      </c>
      <c r="CS348" s="114" t="n">
        <v>8441987.22</v>
      </c>
      <c r="CT348" s="114" t="n"/>
      <c r="CU348" s="114" t="n"/>
      <c r="CV348" s="114" t="n"/>
      <c r="CW348" s="115" t="n">
        <v>318923.158248</v>
      </c>
      <c r="CZ348" s="117" t="s">
        <v>226</v>
      </c>
      <c r="DA348" s="119" t="n">
        <f aca="false" ca="true" dt2D="false" dtr="false" t="normal">SUBTOTAL(9, DB348:DP348)</f>
        <v>9645371.620000001</v>
      </c>
      <c r="DB348" s="114" t="n"/>
      <c r="DC348" s="114" t="n"/>
      <c r="DD348" s="114" t="n">
        <v>1203384.4</v>
      </c>
      <c r="DE348" s="114" t="n"/>
      <c r="DF348" s="114" t="n">
        <v>0</v>
      </c>
      <c r="DG348" s="114" t="n"/>
      <c r="DH348" s="114" t="n"/>
      <c r="DI348" s="114" t="n">
        <v>0</v>
      </c>
      <c r="DJ348" s="114" t="n"/>
      <c r="DK348" s="114" t="n">
        <v>0</v>
      </c>
      <c r="DL348" s="114" t="n">
        <v>8441987.22</v>
      </c>
      <c r="DM348" s="114" t="n"/>
      <c r="DN348" s="114" t="n"/>
      <c r="DO348" s="114" t="n"/>
      <c r="DP348" s="122" t="n"/>
      <c r="DQ348" s="3" t="n">
        <f aca="false" ca="false" dt2D="false" dtr="false" t="normal">N348-DA348</f>
        <v>0</v>
      </c>
      <c r="DS348" s="9" t="n"/>
    </row>
    <row hidden="false" ht="15" outlineLevel="0" r="349">
      <c r="A349" s="207" t="n">
        <f aca="false" ca="false" dt2D="false" dtr="false" t="normal">+A348+1</f>
        <v>330</v>
      </c>
      <c r="B349" s="207" t="n">
        <f aca="false" ca="false" dt2D="false" dtr="false" t="normal">+B348+1</f>
        <v>142</v>
      </c>
      <c r="C349" s="208" t="s">
        <v>221</v>
      </c>
      <c r="D349" s="208" t="s">
        <v>423</v>
      </c>
      <c r="E349" s="209" t="n">
        <v>1973</v>
      </c>
      <c r="F349" s="209" t="n">
        <v>1973</v>
      </c>
      <c r="G349" s="209" t="s">
        <v>68</v>
      </c>
      <c r="H349" s="105" t="n">
        <v>4</v>
      </c>
      <c r="I349" s="105" t="n">
        <v>1</v>
      </c>
      <c r="J349" s="106" t="n">
        <v>1419.3</v>
      </c>
      <c r="K349" s="106" t="n">
        <v>1084.2</v>
      </c>
      <c r="L349" s="106" t="n">
        <v>165.8</v>
      </c>
      <c r="M349" s="107" t="n">
        <v>48</v>
      </c>
      <c r="N349" s="108" t="n">
        <f aca="false" ca="false" dt2D="false" dtr="false" t="normal">SUM(P349:T349)</f>
        <v>8377348.359999999</v>
      </c>
      <c r="O349" s="114" t="n"/>
      <c r="P349" s="114" t="n">
        <v>3311910.56</v>
      </c>
      <c r="Q349" s="114" t="n"/>
      <c r="R349" s="114" t="n">
        <v>829165.08</v>
      </c>
      <c r="S349" s="114" t="n">
        <v>4236272.72</v>
      </c>
      <c r="T349" s="114" t="n"/>
      <c r="U349" s="114" t="n">
        <v>11413.8305499995</v>
      </c>
      <c r="V349" s="114" t="n">
        <v>1373.283020064</v>
      </c>
      <c r="W349" s="185" t="n">
        <v>2023</v>
      </c>
      <c r="X349" s="9" t="e">
        <f aca="false" ca="false" dt2D="false" dtr="false" t="normal">+#REF!-'[9]Приложение №1'!$P897</f>
        <v>#REF!</v>
      </c>
      <c r="Z349" s="113" t="n">
        <f aca="false" ca="false" dt2D="false" dtr="false" t="normal">SUM(AA349:AO349)</f>
        <v>23254292.520000003</v>
      </c>
      <c r="AA349" s="106" t="n">
        <v>3340669.60738602</v>
      </c>
      <c r="AB349" s="106" t="n">
        <v>1205189.57384154</v>
      </c>
      <c r="AC349" s="106" t="n">
        <v>1259127.58958028</v>
      </c>
      <c r="AD349" s="106" t="n">
        <v>788321.39941548</v>
      </c>
      <c r="AE349" s="106" t="n">
        <v>0</v>
      </c>
      <c r="AF349" s="106" t="n"/>
      <c r="AG349" s="106" t="n">
        <v>120530.94592896</v>
      </c>
      <c r="AH349" s="106" t="n">
        <v>0</v>
      </c>
      <c r="AI349" s="106" t="n">
        <v>6183065.2576392</v>
      </c>
      <c r="AJ349" s="106" t="n">
        <v>809296.7712165</v>
      </c>
      <c r="AK349" s="106" t="n">
        <v>3210297.36429402</v>
      </c>
      <c r="AL349" s="106" t="n">
        <v>3462612.19810254</v>
      </c>
      <c r="AM349" s="106" t="n">
        <v>2196989.0109</v>
      </c>
      <c r="AN349" s="114" t="n">
        <v>232542.9252</v>
      </c>
      <c r="AO349" s="115" t="n">
        <v>445649.87649546</v>
      </c>
      <c r="AP349" s="112" t="n">
        <f aca="false" ca="false" dt2D="false" dtr="false" t="normal">+N349-'Приложение №2'!E349</f>
        <v>0</v>
      </c>
      <c r="AQ349" s="121" t="n">
        <v>677532.9</v>
      </c>
      <c r="AR349" s="3" t="n">
        <f aca="false" ca="false" dt2D="false" dtr="false" t="normal">+(K349*10.5+L349*21)*12*0.85</f>
        <v>151632.18000000002</v>
      </c>
      <c r="AS349" s="3" t="n">
        <f aca="false" ca="false" dt2D="false" dtr="false" t="normal">+(K349*10.5+L349*21)*12*30</f>
        <v>5351724.000000001</v>
      </c>
      <c r="AT349" s="9" t="n">
        <f aca="false" ca="false" dt2D="false" dtr="false" t="normal">+S349-AS349</f>
        <v>-1115451.2800000012</v>
      </c>
      <c r="AU349" s="9" t="e">
        <f aca="false" ca="false" dt2D="false" dtr="false" t="normal">+P349-'[5]Приложение №1'!$P371</f>
        <v>#REF!</v>
      </c>
      <c r="AV349" s="9" t="e">
        <f aca="false" ca="false" dt2D="false" dtr="false" t="normal">+Q349-'[5]Приложение №1'!$Q371</f>
        <v>#REF!</v>
      </c>
      <c r="AW349" s="186" t="n">
        <f aca="false" ca="true" dt2D="false" dtr="false" t="normal">SUBTOTAL(9, AX349:BL349)</f>
        <v>12374875.0823095</v>
      </c>
      <c r="AX349" s="106" t="n"/>
      <c r="AY349" s="106" t="n"/>
      <c r="AZ349" s="106" t="n">
        <v>1387071.476112</v>
      </c>
      <c r="BA349" s="106" t="n"/>
      <c r="BB349" s="106" t="n">
        <v>0</v>
      </c>
      <c r="BC349" s="106" t="n"/>
      <c r="BD349" s="106" t="n"/>
      <c r="BE349" s="106" t="n">
        <v>0</v>
      </c>
      <c r="BF349" s="106" t="n">
        <v>6781012.09926</v>
      </c>
      <c r="BG349" s="106" t="n">
        <v>0</v>
      </c>
      <c r="BH349" s="106" t="n">
        <v>0</v>
      </c>
      <c r="BI349" s="106" t="n">
        <v>3817342.031202</v>
      </c>
      <c r="BJ349" s="106" t="n"/>
      <c r="BK349" s="114" t="n"/>
      <c r="BL349" s="187" t="n">
        <v>389449.4757355</v>
      </c>
      <c r="BM349" s="186" t="n">
        <f aca="false" ca="true" dt2D="false" dtr="false" t="normal">SUBTOTAL(9, BN349:CB349)</f>
        <v>8766797.835735502</v>
      </c>
      <c r="BN349" s="106" t="n"/>
      <c r="BO349" s="106" t="n"/>
      <c r="BP349" s="106" t="n">
        <v>1619194.32</v>
      </c>
      <c r="BQ349" s="106" t="n"/>
      <c r="BR349" s="106" t="n">
        <v>0</v>
      </c>
      <c r="BS349" s="106" t="n"/>
      <c r="BT349" s="106" t="n"/>
      <c r="BU349" s="106" t="n">
        <v>0</v>
      </c>
      <c r="BV349" s="106" t="n">
        <v>5914808.48</v>
      </c>
      <c r="BW349" s="106" t="n">
        <v>0</v>
      </c>
      <c r="BX349" s="106" t="n">
        <v>0</v>
      </c>
      <c r="BY349" s="106" t="n">
        <v>843345.56</v>
      </c>
      <c r="BZ349" s="106" t="n"/>
      <c r="CA349" s="114" t="n"/>
      <c r="CB349" s="115" t="n">
        <v>389449.4757355</v>
      </c>
      <c r="CD349" s="116" t="n">
        <f aca="false" ca="false" dt2D="false" dtr="false" t="normal">+CD348+1</f>
        <v>330</v>
      </c>
      <c r="CE349" s="117" t="n">
        <f aca="false" ca="false" dt2D="false" dtr="false" t="normal">+CE348+1</f>
        <v>142</v>
      </c>
      <c r="CF349" s="104" t="s">
        <v>221</v>
      </c>
      <c r="CG349" s="117" t="s">
        <v>423</v>
      </c>
      <c r="CH349" s="188" t="n">
        <f aca="false" ca="true" dt2D="false" dtr="false" t="normal">SUBTOTAL(9, CI349:CW349)</f>
        <v>8766797.835735502</v>
      </c>
      <c r="CI349" s="114" t="n"/>
      <c r="CJ349" s="114" t="n"/>
      <c r="CK349" s="114" t="n">
        <v>1619194.32</v>
      </c>
      <c r="CL349" s="114" t="n"/>
      <c r="CM349" s="114" t="n">
        <v>0</v>
      </c>
      <c r="CN349" s="114" t="n"/>
      <c r="CO349" s="114" t="n"/>
      <c r="CP349" s="114" t="n">
        <v>0</v>
      </c>
      <c r="CQ349" s="114" t="n">
        <v>5914808.48</v>
      </c>
      <c r="CR349" s="114" t="n">
        <v>0</v>
      </c>
      <c r="CS349" s="114" t="n">
        <v>0</v>
      </c>
      <c r="CT349" s="114" t="n">
        <v>843345.56</v>
      </c>
      <c r="CU349" s="114" t="n"/>
      <c r="CV349" s="114" t="n"/>
      <c r="CW349" s="115" t="n">
        <v>389449.4757355</v>
      </c>
      <c r="CZ349" s="117" t="s">
        <v>423</v>
      </c>
      <c r="DA349" s="189" t="n">
        <f aca="false" ca="true" dt2D="false" dtr="false" t="normal">SUBTOTAL(9, DB349:DP349)</f>
        <v>8377348.360000001</v>
      </c>
      <c r="DB349" s="114" t="n"/>
      <c r="DC349" s="114" t="n"/>
      <c r="DD349" s="114" t="n">
        <v>1619194.32</v>
      </c>
      <c r="DE349" s="114" t="n"/>
      <c r="DF349" s="114" t="n">
        <v>0</v>
      </c>
      <c r="DG349" s="114" t="n"/>
      <c r="DH349" s="114" t="n"/>
      <c r="DI349" s="114" t="n">
        <v>0</v>
      </c>
      <c r="DJ349" s="114" t="n">
        <v>5914808.48</v>
      </c>
      <c r="DK349" s="114" t="n">
        <v>0</v>
      </c>
      <c r="DL349" s="114" t="n">
        <v>0</v>
      </c>
      <c r="DM349" s="114" t="n">
        <v>843345.56</v>
      </c>
      <c r="DN349" s="114" t="n"/>
      <c r="DO349" s="114" t="n"/>
      <c r="DP349" s="122" t="n"/>
      <c r="DQ349" s="3" t="n">
        <f aca="false" ca="false" dt2D="false" dtr="false" t="normal">N349-DA349</f>
        <v>0</v>
      </c>
      <c r="DS349" s="9" t="n"/>
    </row>
    <row hidden="false" ht="15" outlineLevel="0" r="350">
      <c r="A350" s="207" t="n">
        <f aca="false" ca="false" dt2D="false" dtr="false" t="normal">+A349+1</f>
        <v>331</v>
      </c>
      <c r="B350" s="207" t="n">
        <f aca="false" ca="false" dt2D="false" dtr="false" t="normal">+B349+1</f>
        <v>143</v>
      </c>
      <c r="C350" s="208" t="s">
        <v>227</v>
      </c>
      <c r="D350" s="208" t="s">
        <v>424</v>
      </c>
      <c r="E350" s="209" t="n">
        <v>1994</v>
      </c>
      <c r="F350" s="209" t="n">
        <v>2015</v>
      </c>
      <c r="G350" s="209" t="s">
        <v>68</v>
      </c>
      <c r="H350" s="105" t="n">
        <v>9</v>
      </c>
      <c r="I350" s="105" t="n">
        <v>4</v>
      </c>
      <c r="J350" s="106" t="n">
        <v>9059.3</v>
      </c>
      <c r="K350" s="106" t="n">
        <v>7958.2</v>
      </c>
      <c r="L350" s="106" t="n">
        <v>49</v>
      </c>
      <c r="M350" s="107" t="n">
        <v>376</v>
      </c>
      <c r="N350" s="108" t="n">
        <f aca="false" ca="false" dt2D="false" dtr="false" t="normal">SUM(P350:T350)</f>
        <v>7075919.609999999</v>
      </c>
      <c r="O350" s="114" t="n"/>
      <c r="P350" s="114" t="n">
        <v>4245695.27</v>
      </c>
      <c r="Q350" s="114" t="n"/>
      <c r="R350" s="114" t="n">
        <v>251488.14</v>
      </c>
      <c r="S350" s="114" t="n">
        <v>2578736.2</v>
      </c>
      <c r="T350" s="114" t="n"/>
      <c r="U350" s="114" t="n">
        <v>11258.2479020311</v>
      </c>
      <c r="V350" s="114" t="n">
        <v>1384.283020064</v>
      </c>
      <c r="W350" s="185" t="n">
        <v>2023</v>
      </c>
      <c r="X350" s="9" t="e">
        <f aca="false" ca="false" dt2D="false" dtr="false" t="normal">+#REF!-'[9]Приложение №1'!$P571</f>
        <v>#REF!</v>
      </c>
      <c r="Z350" s="113" t="n">
        <f aca="false" ca="false" dt2D="false" dtr="false" t="normal">SUM(AA350:AO350)</f>
        <v>167033614.95999992</v>
      </c>
      <c r="AA350" s="106" t="n">
        <v>18497723.4368581</v>
      </c>
      <c r="AB350" s="106" t="n">
        <v>12695079.7208865</v>
      </c>
      <c r="AC350" s="106" t="n">
        <v>7727724.56465856</v>
      </c>
      <c r="AD350" s="106" t="n">
        <v>6972228.53861016</v>
      </c>
      <c r="AE350" s="106" t="n">
        <v>0</v>
      </c>
      <c r="AF350" s="106" t="n"/>
      <c r="AG350" s="106" t="n">
        <v>889888.9862016</v>
      </c>
      <c r="AH350" s="106" t="n">
        <v>0</v>
      </c>
      <c r="AI350" s="106" t="n">
        <v>0</v>
      </c>
      <c r="AJ350" s="106" t="n">
        <v>0</v>
      </c>
      <c r="AK350" s="106" t="n">
        <v>78339424.5910462</v>
      </c>
      <c r="AL350" s="106" t="n">
        <v>20601575.8419794</v>
      </c>
      <c r="AM350" s="106" t="n">
        <v>16452952.1394</v>
      </c>
      <c r="AN350" s="114" t="n">
        <v>1670336.1496</v>
      </c>
      <c r="AO350" s="115" t="n">
        <v>3186680.9907594</v>
      </c>
      <c r="AP350" s="112" t="n">
        <f aca="false" ca="false" dt2D="false" dtr="false" t="normal">+N350-'Приложение №2'!E350</f>
        <v>0</v>
      </c>
      <c r="AQ350" s="121" t="n">
        <f aca="false" ca="false" dt2D="false" dtr="false" t="normal">5650783.47-5939473.29</f>
        <v>-288689.8200000003</v>
      </c>
      <c r="AR350" s="3" t="n">
        <f aca="false" ca="false" dt2D="false" dtr="false" t="normal">+(K350*13.95+L350*23.65)*12*0.85</f>
        <v>1144192.548</v>
      </c>
      <c r="AS350" s="3" t="n">
        <f aca="false" ca="false" dt2D="false" dtr="false" t="normal">+(K350*13.95+L350*23.65)*12*30</f>
        <v>40383266.4</v>
      </c>
      <c r="AT350" s="9" t="n">
        <f aca="false" ca="false" dt2D="false" dtr="false" t="normal">+S350-AS350</f>
        <v>-37804530.199999996</v>
      </c>
      <c r="AU350" s="9" t="e">
        <f aca="false" ca="false" dt2D="false" dtr="false" t="normal">+P350-'[5]Приложение №1'!$P414</f>
        <v>#REF!</v>
      </c>
      <c r="AV350" s="9" t="e">
        <f aca="false" ca="false" dt2D="false" dtr="false" t="normal">+Q350-'[5]Приложение №1'!$Q414</f>
        <v>#REF!</v>
      </c>
      <c r="AW350" s="186" t="n">
        <f aca="false" ca="true" dt2D="false" dtr="false" t="normal">SUBTOTAL(9, AX350:BL350)</f>
        <v>89595388.45394376</v>
      </c>
      <c r="AX350" s="106" t="n"/>
      <c r="AY350" s="106" t="n"/>
      <c r="AZ350" s="106" t="n">
        <v>7735463.93020319</v>
      </c>
      <c r="BA350" s="106" t="n"/>
      <c r="BB350" s="106" t="n">
        <v>0</v>
      </c>
      <c r="BC350" s="106" t="n"/>
      <c r="BD350" s="106" t="n"/>
      <c r="BE350" s="106" t="n"/>
      <c r="BF350" s="106" t="n">
        <v>0</v>
      </c>
      <c r="BG350" s="106" t="n">
        <v>0</v>
      </c>
      <c r="BH350" s="106" t="n">
        <v>78603849.22</v>
      </c>
      <c r="BI350" s="106" t="n">
        <v>0</v>
      </c>
      <c r="BJ350" s="106" t="n">
        <v>256263</v>
      </c>
      <c r="BK350" s="114" t="n">
        <v>85421</v>
      </c>
      <c r="BL350" s="187" t="n">
        <v>2914391.30374058</v>
      </c>
      <c r="BM350" s="186" t="n">
        <f aca="false" ca="true" dt2D="false" dtr="false" t="normal">SUBTOTAL(9, BN350:CB350)</f>
        <v>88620501.16374058</v>
      </c>
      <c r="BN350" s="106" t="n"/>
      <c r="BO350" s="106" t="n"/>
      <c r="BP350" s="106" t="n">
        <v>6760576.64</v>
      </c>
      <c r="BQ350" s="106" t="n"/>
      <c r="BR350" s="106" t="n">
        <v>0</v>
      </c>
      <c r="BS350" s="106" t="n"/>
      <c r="BT350" s="106" t="n"/>
      <c r="BU350" s="106" t="n"/>
      <c r="BV350" s="106" t="n">
        <v>0</v>
      </c>
      <c r="BW350" s="106" t="n">
        <v>0</v>
      </c>
      <c r="BX350" s="106" t="n">
        <v>78603849.22</v>
      </c>
      <c r="BY350" s="106" t="n">
        <v>0</v>
      </c>
      <c r="BZ350" s="106" t="n">
        <v>256263</v>
      </c>
      <c r="CA350" s="114" t="n">
        <v>85421</v>
      </c>
      <c r="CB350" s="115" t="n">
        <v>2914391.30374058</v>
      </c>
      <c r="CD350" s="116" t="n">
        <f aca="false" ca="false" dt2D="false" dtr="false" t="normal">+CD349+1</f>
        <v>331</v>
      </c>
      <c r="CE350" s="117" t="n">
        <f aca="false" ca="false" dt2D="false" dtr="false" t="normal">+CE349+1</f>
        <v>143</v>
      </c>
      <c r="CF350" s="104" t="s">
        <v>227</v>
      </c>
      <c r="CG350" s="117" t="s">
        <v>424</v>
      </c>
      <c r="CH350" s="188" t="n">
        <f aca="false" ca="true" dt2D="false" dtr="false" t="normal">SUBTOTAL(9, CI350:CW350)</f>
        <v>9990310.913740579</v>
      </c>
      <c r="CI350" s="114" t="n"/>
      <c r="CJ350" s="114" t="n"/>
      <c r="CK350" s="114" t="n">
        <v>6760576.64</v>
      </c>
      <c r="CL350" s="114" t="n"/>
      <c r="CM350" s="114" t="n">
        <v>0</v>
      </c>
      <c r="CN350" s="114" t="n"/>
      <c r="CO350" s="114" t="n"/>
      <c r="CP350" s="114" t="n"/>
      <c r="CQ350" s="114" t="n">
        <v>0</v>
      </c>
      <c r="CR350" s="114" t="n">
        <v>0</v>
      </c>
      <c r="CS350" s="114" t="n"/>
      <c r="CT350" s="114" t="n">
        <v>0</v>
      </c>
      <c r="CU350" s="114" t="n">
        <v>312485.83</v>
      </c>
      <c r="CV350" s="114" t="n">
        <v>2857.14</v>
      </c>
      <c r="CW350" s="115" t="n">
        <v>2914391.30374058</v>
      </c>
      <c r="CZ350" s="117" t="s">
        <v>424</v>
      </c>
      <c r="DA350" s="189" t="n">
        <f aca="false" ca="true" dt2D="false" dtr="false" t="normal">SUBTOTAL(9, DB350:DP350)</f>
        <v>7075919.609999999</v>
      </c>
      <c r="DB350" s="114" t="n"/>
      <c r="DC350" s="114" t="n"/>
      <c r="DD350" s="114" t="n">
        <v>6760576.64</v>
      </c>
      <c r="DE350" s="114" t="n"/>
      <c r="DF350" s="114" t="n">
        <v>0</v>
      </c>
      <c r="DG350" s="114" t="n"/>
      <c r="DH350" s="114" t="n"/>
      <c r="DI350" s="114" t="n"/>
      <c r="DJ350" s="114" t="n">
        <v>0</v>
      </c>
      <c r="DK350" s="114" t="n">
        <v>0</v>
      </c>
      <c r="DL350" s="114" t="n"/>
      <c r="DM350" s="114" t="n">
        <v>0</v>
      </c>
      <c r="DN350" s="114" t="n">
        <v>312485.83</v>
      </c>
      <c r="DO350" s="114" t="n">
        <v>2857.14</v>
      </c>
      <c r="DP350" s="122" t="n"/>
      <c r="DQ350" s="3" t="n">
        <f aca="false" ca="false" dt2D="false" dtr="false" t="normal">N350-DA350</f>
        <v>0</v>
      </c>
      <c r="DS350" s="9" t="n"/>
    </row>
    <row hidden="false" ht="15" outlineLevel="0" r="351">
      <c r="A351" s="207" t="n">
        <f aca="false" ca="false" dt2D="false" dtr="false" t="normal">+A350+1</f>
        <v>332</v>
      </c>
      <c r="B351" s="207" t="n">
        <f aca="false" ca="false" dt2D="false" dtr="false" t="normal">+B350+1</f>
        <v>144</v>
      </c>
      <c r="C351" s="208" t="s">
        <v>227</v>
      </c>
      <c r="D351" s="208" t="s">
        <v>425</v>
      </c>
      <c r="E351" s="209" t="n">
        <v>1986</v>
      </c>
      <c r="F351" s="209" t="n">
        <v>2015</v>
      </c>
      <c r="G351" s="209" t="s">
        <v>68</v>
      </c>
      <c r="H351" s="105" t="n">
        <v>9</v>
      </c>
      <c r="I351" s="105" t="n">
        <v>1</v>
      </c>
      <c r="J351" s="106" t="n">
        <v>2147.3</v>
      </c>
      <c r="K351" s="106" t="n">
        <v>1765</v>
      </c>
      <c r="L351" s="106" t="n">
        <v>118.1</v>
      </c>
      <c r="M351" s="107" t="n">
        <v>71</v>
      </c>
      <c r="N351" s="108" t="n">
        <f aca="false" ca="false" dt2D="false" dtr="false" t="normal">SUM(P351:T351)</f>
        <v>2729687.92</v>
      </c>
      <c r="O351" s="114" t="n"/>
      <c r="P351" s="114" t="n">
        <v>1467769.69</v>
      </c>
      <c r="Q351" s="114" t="n"/>
      <c r="R351" s="114" t="n"/>
      <c r="S351" s="114" t="n">
        <v>1261918.23</v>
      </c>
      <c r="T351" s="114" t="n"/>
      <c r="U351" s="106" t="n">
        <v>10650.4915964548</v>
      </c>
      <c r="V351" s="106" t="n">
        <v>10650.4915964548</v>
      </c>
      <c r="W351" s="185" t="n">
        <v>2023</v>
      </c>
      <c r="X351" s="9" t="e">
        <f aca="false" ca="false" dt2D="false" dtr="false" t="normal">+#REF!-'[9]Приложение №1'!$P1194</f>
        <v>#REF!</v>
      </c>
      <c r="Z351" s="113" t="n">
        <f aca="false" ca="false" dt2D="false" dtr="false" t="normal">SUM(AA351:AO351)</f>
        <v>20557934.95</v>
      </c>
      <c r="AA351" s="106" t="n">
        <v>4354337.08849776</v>
      </c>
      <c r="AB351" s="106" t="n">
        <v>2988403.22921658</v>
      </c>
      <c r="AC351" s="106" t="n">
        <v>1819095.0789144</v>
      </c>
      <c r="AD351" s="106" t="n">
        <v>1641252.41830956</v>
      </c>
      <c r="AE351" s="106" t="n">
        <v>0</v>
      </c>
      <c r="AF351" s="106" t="n"/>
      <c r="AG351" s="106" t="n">
        <v>209478.567984</v>
      </c>
      <c r="AH351" s="106" t="n">
        <v>0</v>
      </c>
      <c r="AI351" s="106" t="n">
        <v>2124154.6930044</v>
      </c>
      <c r="AJ351" s="106" t="n">
        <v>0</v>
      </c>
      <c r="AK351" s="106" t="n">
        <v>0</v>
      </c>
      <c r="AL351" s="106" t="n">
        <v>4849580.8718931</v>
      </c>
      <c r="AM351" s="106" t="n">
        <v>1972729.6575</v>
      </c>
      <c r="AN351" s="114" t="n">
        <v>205579.3495</v>
      </c>
      <c r="AO351" s="115" t="n">
        <v>393323.9951802</v>
      </c>
      <c r="AP351" s="112" t="n">
        <f aca="false" ca="false" dt2D="false" dtr="false" t="normal">+N351-'Приложение №2'!E351</f>
        <v>0</v>
      </c>
      <c r="AQ351" s="1" t="n">
        <v>1032655.91</v>
      </c>
      <c r="AR351" s="3" t="n">
        <f aca="false" ca="false" dt2D="false" dtr="false" t="normal">+(K351*13.29+L351*22.52)*12*0.85</f>
        <v>266387.9124</v>
      </c>
      <c r="AS351" s="3" t="n">
        <f aca="false" ca="false" dt2D="false" dtr="false" t="normal">+(K351*13.29+L351*22.52)*12*30</f>
        <v>9401926.32</v>
      </c>
      <c r="AT351" s="9" t="n">
        <f aca="false" ca="false" dt2D="false" dtr="false" t="normal">+S351-AS351</f>
        <v>-8140008.09</v>
      </c>
      <c r="AU351" s="9" t="e">
        <f aca="false" ca="false" dt2D="false" dtr="false" t="normal">+P351-'[5]Приложение №1'!$P397</f>
        <v>#REF!</v>
      </c>
      <c r="AV351" s="9" t="e">
        <f aca="false" ca="false" dt2D="false" dtr="false" t="normal">+Q351-'[5]Приложение №1'!$Q397</f>
        <v>#REF!</v>
      </c>
      <c r="AW351" s="113" t="n">
        <f aca="false" ca="true" dt2D="false" dtr="false" t="normal">SUBTOTAL(9, AX351:BL351)</f>
        <v>20055940.725284</v>
      </c>
      <c r="AX351" s="106" t="n">
        <v>4698966.264804</v>
      </c>
      <c r="AY351" s="106" t="n">
        <v>3271249.54779</v>
      </c>
      <c r="AZ351" s="106" t="n">
        <v>1989640.022412</v>
      </c>
      <c r="BA351" s="106" t="n">
        <v>1832647.696614</v>
      </c>
      <c r="BB351" s="106" t="n">
        <v>0</v>
      </c>
      <c r="BC351" s="106" t="n"/>
      <c r="BD351" s="106" t="n">
        <v>209478.567984</v>
      </c>
      <c r="BE351" s="106" t="n">
        <v>0</v>
      </c>
      <c r="BF351" s="106" t="n">
        <v>2326355.17</v>
      </c>
      <c r="BG351" s="106" t="n">
        <v>0</v>
      </c>
      <c r="BH351" s="106" t="n">
        <v>0</v>
      </c>
      <c r="BI351" s="106" t="n">
        <v>5299064.276688</v>
      </c>
      <c r="BJ351" s="106" t="n"/>
      <c r="BK351" s="114" t="n"/>
      <c r="BL351" s="187" t="n">
        <v>428539.178992</v>
      </c>
      <c r="BM351" s="113" t="n">
        <f aca="false" ca="true" dt2D="false" dtr="false" t="normal">SUBTOTAL(9, BN351:CB351)</f>
        <v>17486564.368596</v>
      </c>
      <c r="BN351" s="106" t="n">
        <v>4698966.264804</v>
      </c>
      <c r="BO351" s="106" t="n">
        <v>3271249.54779</v>
      </c>
      <c r="BP351" s="106" t="n">
        <v>1989640.022412</v>
      </c>
      <c r="BQ351" s="106" t="n">
        <v>1832647.696614</v>
      </c>
      <c r="BR351" s="106" t="n">
        <v>0</v>
      </c>
      <c r="BS351" s="106" t="n"/>
      <c r="BT351" s="106" t="n">
        <v>209478.567984</v>
      </c>
      <c r="BU351" s="106" t="n">
        <v>0</v>
      </c>
      <c r="BV351" s="106" t="n">
        <v>2326355.17</v>
      </c>
      <c r="BW351" s="106" t="n">
        <v>0</v>
      </c>
      <c r="BX351" s="106" t="n">
        <v>0</v>
      </c>
      <c r="BY351" s="106" t="n">
        <v>2729687.92</v>
      </c>
      <c r="BZ351" s="106" t="n"/>
      <c r="CA351" s="114" t="n"/>
      <c r="CB351" s="115" t="n">
        <v>428539.178992</v>
      </c>
      <c r="CD351" s="116" t="n">
        <f aca="false" ca="false" dt2D="false" dtr="false" t="normal">+CD350+1</f>
        <v>332</v>
      </c>
      <c r="CE351" s="117" t="n">
        <f aca="false" ca="false" dt2D="false" dtr="false" t="normal">+CE350+1</f>
        <v>144</v>
      </c>
      <c r="CF351" s="104" t="s">
        <v>227</v>
      </c>
      <c r="CG351" s="117" t="s">
        <v>425</v>
      </c>
      <c r="CH351" s="118" t="n">
        <f aca="false" ca="true" dt2D="false" dtr="false" t="normal">SUBTOTAL(9, CI351:CW351)</f>
        <v>3158227.098992</v>
      </c>
      <c r="CI351" s="114" t="n"/>
      <c r="CJ351" s="114" t="n"/>
      <c r="CK351" s="114" t="n"/>
      <c r="CL351" s="114" t="n"/>
      <c r="CM351" s="114" t="n">
        <v>0</v>
      </c>
      <c r="CN351" s="114" t="n"/>
      <c r="CO351" s="114" t="n"/>
      <c r="CP351" s="114" t="n">
        <v>0</v>
      </c>
      <c r="CQ351" s="114" t="n"/>
      <c r="CR351" s="114" t="n">
        <v>0</v>
      </c>
      <c r="CS351" s="114" t="n">
        <v>0</v>
      </c>
      <c r="CT351" s="114" t="n">
        <v>2729687.92</v>
      </c>
      <c r="CU351" s="114" t="n"/>
      <c r="CV351" s="114" t="n"/>
      <c r="CW351" s="115" t="n">
        <v>428539.178992</v>
      </c>
      <c r="CZ351" s="117" t="s">
        <v>425</v>
      </c>
      <c r="DA351" s="119" t="n">
        <f aca="false" ca="true" dt2D="false" dtr="false" t="normal">SUBTOTAL(9, DB351:DP351)</f>
        <v>2729687.92</v>
      </c>
      <c r="DB351" s="114" t="n"/>
      <c r="DC351" s="114" t="n"/>
      <c r="DD351" s="114" t="n"/>
      <c r="DE351" s="114" t="n"/>
      <c r="DF351" s="114" t="n">
        <v>0</v>
      </c>
      <c r="DG351" s="114" t="n"/>
      <c r="DH351" s="114" t="n"/>
      <c r="DI351" s="114" t="n">
        <v>0</v>
      </c>
      <c r="DJ351" s="114" t="n"/>
      <c r="DK351" s="114" t="n">
        <v>0</v>
      </c>
      <c r="DL351" s="114" t="n">
        <v>0</v>
      </c>
      <c r="DM351" s="114" t="n">
        <v>2729687.92</v>
      </c>
      <c r="DN351" s="114" t="n"/>
      <c r="DO351" s="114" t="n"/>
      <c r="DP351" s="122" t="n"/>
      <c r="DQ351" s="3" t="n">
        <f aca="false" ca="false" dt2D="false" dtr="false" t="normal">N351-DA351</f>
        <v>0</v>
      </c>
      <c r="DS351" s="9" t="n"/>
    </row>
    <row hidden="false" ht="15" outlineLevel="0" r="352">
      <c r="A352" s="207" t="n">
        <f aca="false" ca="false" dt2D="false" dtr="false" t="normal">+A351+1</f>
        <v>333</v>
      </c>
      <c r="B352" s="207" t="n">
        <f aca="false" ca="false" dt2D="false" dtr="false" t="normal">+B351+1</f>
        <v>145</v>
      </c>
      <c r="C352" s="208" t="s">
        <v>227</v>
      </c>
      <c r="D352" s="208" t="s">
        <v>426</v>
      </c>
      <c r="E352" s="209" t="n">
        <v>1991</v>
      </c>
      <c r="F352" s="209" t="n">
        <v>2015</v>
      </c>
      <c r="G352" s="209" t="s">
        <v>68</v>
      </c>
      <c r="H352" s="105" t="n">
        <v>9</v>
      </c>
      <c r="I352" s="105" t="n">
        <v>3</v>
      </c>
      <c r="J352" s="106" t="n">
        <v>6893.1</v>
      </c>
      <c r="K352" s="106" t="n">
        <v>6102.4</v>
      </c>
      <c r="L352" s="106" t="n">
        <v>65.5</v>
      </c>
      <c r="M352" s="107" t="n">
        <v>255</v>
      </c>
      <c r="N352" s="108" t="n">
        <f aca="false" ca="false" dt2D="false" dtr="false" t="normal">SUM(P352:T352)</f>
        <v>9222273.99</v>
      </c>
      <c r="O352" s="114" t="n"/>
      <c r="P352" s="114" t="n">
        <v>447896.65</v>
      </c>
      <c r="Q352" s="114" t="n"/>
      <c r="R352" s="114" t="n">
        <v>628802.37</v>
      </c>
      <c r="S352" s="114" t="n">
        <v>8145574.97</v>
      </c>
      <c r="T352" s="114" t="n"/>
      <c r="U352" s="106" t="n">
        <v>6681.58481325895</v>
      </c>
      <c r="V352" s="106" t="n">
        <v>6681.58481325895</v>
      </c>
      <c r="W352" s="185" t="n">
        <v>2023</v>
      </c>
      <c r="X352" s="9" t="e">
        <f aca="false" ca="false" dt2D="false" dtr="false" t="normal">+#REF!-'[9]Приложение №1'!$P1447</f>
        <v>#REF!</v>
      </c>
      <c r="Z352" s="113" t="n">
        <f aca="false" ca="false" dt2D="false" dtr="false" t="normal">SUM(AA352:AO352)</f>
        <v>135273087.03</v>
      </c>
      <c r="AA352" s="106" t="n">
        <v>14114712.016718</v>
      </c>
      <c r="AB352" s="106" t="n">
        <v>9686997.14668728</v>
      </c>
      <c r="AC352" s="106" t="n">
        <v>5896650.31475184</v>
      </c>
      <c r="AD352" s="106" t="n">
        <v>5320168.0919898</v>
      </c>
      <c r="AE352" s="106" t="n">
        <v>0</v>
      </c>
      <c r="AF352" s="106" t="n"/>
      <c r="AG352" s="106" t="n">
        <v>679030.9523424</v>
      </c>
      <c r="AH352" s="106" t="n">
        <v>0</v>
      </c>
      <c r="AI352" s="106" t="n">
        <v>6885510.0487488</v>
      </c>
      <c r="AJ352" s="106" t="n">
        <v>0</v>
      </c>
      <c r="AK352" s="106" t="n">
        <v>59777000.1804423</v>
      </c>
      <c r="AL352" s="106" t="n">
        <v>15720059.3339677</v>
      </c>
      <c r="AM352" s="106" t="n">
        <v>13258054.8255</v>
      </c>
      <c r="AN352" s="114" t="n">
        <v>1352730.8703</v>
      </c>
      <c r="AO352" s="115" t="n">
        <v>2582173.24855188</v>
      </c>
      <c r="AP352" s="112" t="n">
        <f aca="false" ca="false" dt2D="false" dtr="false" t="normal">+N352-'Приложение №2'!E352</f>
        <v>0</v>
      </c>
      <c r="AQ352" s="9" t="n">
        <f aca="false" ca="false" dt2D="false" dtr="false" t="normal">3490024.25</f>
        <v>3490024.25</v>
      </c>
      <c r="AR352" s="3" t="n">
        <f aca="false" ca="false" dt2D="false" dtr="false" t="normal">+(K352*13.29+L352*22.52)*12*0.85</f>
        <v>842274.7511999998</v>
      </c>
      <c r="AS352" s="3" t="n">
        <f aca="false" ca="false" dt2D="false" dtr="false" t="normal">+(K352*13.29+L352*22.52)*12*30</f>
        <v>29727344.159999996</v>
      </c>
      <c r="AT352" s="9" t="n">
        <f aca="false" ca="false" dt2D="false" dtr="false" t="normal">+S352-AS352</f>
        <v>-21581769.189999998</v>
      </c>
      <c r="AU352" s="9" t="e">
        <f aca="false" ca="false" dt2D="false" dtr="false" t="normal">+P352-'[5]Приложение №1'!$P402</f>
        <v>#REF!</v>
      </c>
      <c r="AV352" s="9" t="e">
        <f aca="false" ca="false" dt2D="false" dtr="false" t="normal">+Q352-'[5]Приложение №1'!$Q402</f>
        <v>#REF!</v>
      </c>
      <c r="AW352" s="113" t="n">
        <f aca="false" ca="true" dt2D="false" dtr="false" t="normal">SUBTOTAL(9, AX352:BL352)</f>
        <v>41211346.96969987</v>
      </c>
      <c r="AX352" s="106" t="n">
        <v>14114712.016718</v>
      </c>
      <c r="AY352" s="106" t="n">
        <v>5068716.41</v>
      </c>
      <c r="AZ352" s="106" t="n"/>
      <c r="BA352" s="106" t="n">
        <v>5320168.0919898</v>
      </c>
      <c r="BB352" s="106" t="n"/>
      <c r="BC352" s="106" t="n"/>
      <c r="BD352" s="106" t="n">
        <v>679030.9523424</v>
      </c>
      <c r="BE352" s="106" t="n">
        <v>0</v>
      </c>
      <c r="BF352" s="106" t="n"/>
      <c r="BG352" s="106" t="n">
        <v>0</v>
      </c>
      <c r="BH352" s="106" t="n"/>
      <c r="BI352" s="106" t="n">
        <v>15720059.3339677</v>
      </c>
      <c r="BJ352" s="106" t="n"/>
      <c r="BK352" s="114" t="n"/>
      <c r="BL352" s="187" t="n">
        <v>308660.16468196</v>
      </c>
      <c r="BM352" s="113" t="n">
        <f aca="false" ca="true" dt2D="false" dtr="false" t="normal">SUBTOTAL(9, BN352:CB352)</f>
        <v>41211346.96969987</v>
      </c>
      <c r="BN352" s="106" t="n">
        <v>14114712.016718</v>
      </c>
      <c r="BO352" s="106" t="n">
        <v>5068716.41</v>
      </c>
      <c r="BP352" s="106" t="n"/>
      <c r="BQ352" s="106" t="n">
        <v>5320168.0919898</v>
      </c>
      <c r="BR352" s="106" t="n"/>
      <c r="BS352" s="106" t="n"/>
      <c r="BT352" s="106" t="n">
        <v>679030.9523424</v>
      </c>
      <c r="BU352" s="106" t="n">
        <v>0</v>
      </c>
      <c r="BV352" s="106" t="n"/>
      <c r="BW352" s="106" t="n">
        <v>0</v>
      </c>
      <c r="BX352" s="106" t="n"/>
      <c r="BY352" s="106" t="n">
        <v>15720059.3339677</v>
      </c>
      <c r="BZ352" s="106" t="n"/>
      <c r="CA352" s="114" t="n"/>
      <c r="CB352" s="115" t="n">
        <v>308660.16468196</v>
      </c>
      <c r="CD352" s="116" t="n">
        <f aca="false" ca="false" dt2D="false" dtr="false" t="normal">+CD351+1</f>
        <v>333</v>
      </c>
      <c r="CE352" s="117" t="n">
        <f aca="false" ca="false" dt2D="false" dtr="false" t="normal">+CE351+1</f>
        <v>145</v>
      </c>
      <c r="CF352" s="104" t="s">
        <v>227</v>
      </c>
      <c r="CG352" s="117" t="s">
        <v>426</v>
      </c>
      <c r="CH352" s="118" t="n">
        <f aca="false" ca="true" dt2D="false" dtr="false" t="normal">SUBTOTAL(9, CI352:CW352)</f>
        <v>9530934.15468196</v>
      </c>
      <c r="CI352" s="114" t="n"/>
      <c r="CK352" s="114" t="n"/>
      <c r="CL352" s="114" t="n"/>
      <c r="CM352" s="114" t="n"/>
      <c r="CN352" s="114" t="n"/>
      <c r="CO352" s="114" t="n"/>
      <c r="CP352" s="114" t="n">
        <v>0</v>
      </c>
      <c r="CQ352" s="114" t="n"/>
      <c r="CR352" s="114" t="n">
        <v>0</v>
      </c>
      <c r="CS352" s="114" t="n"/>
      <c r="CT352" s="114" t="n">
        <v>9222273.99</v>
      </c>
      <c r="CU352" s="114" t="n"/>
      <c r="CV352" s="114" t="n"/>
      <c r="CW352" s="115" t="n">
        <v>308660.16468196</v>
      </c>
      <c r="CZ352" s="117" t="s">
        <v>426</v>
      </c>
      <c r="DA352" s="119" t="n">
        <f aca="false" ca="true" dt2D="false" dtr="false" t="normal">SUBTOTAL(9, DB352:DP352)</f>
        <v>9222273.99</v>
      </c>
      <c r="DB352" s="114" t="n"/>
      <c r="DD352" s="114" t="n"/>
      <c r="DE352" s="114" t="n"/>
      <c r="DF352" s="114" t="n"/>
      <c r="DG352" s="114" t="n"/>
      <c r="DH352" s="114" t="n"/>
      <c r="DI352" s="114" t="n">
        <v>0</v>
      </c>
      <c r="DJ352" s="114" t="n"/>
      <c r="DK352" s="114" t="n">
        <v>0</v>
      </c>
      <c r="DL352" s="114" t="n"/>
      <c r="DM352" s="114" t="n">
        <v>9222273.99</v>
      </c>
      <c r="DN352" s="114" t="n"/>
      <c r="DO352" s="114" t="n"/>
      <c r="DP352" s="122" t="n"/>
      <c r="DQ352" s="3" t="n">
        <f aca="false" ca="false" dt2D="false" dtr="false" t="normal">N352-DA352</f>
        <v>0</v>
      </c>
      <c r="DS352" s="9" t="n"/>
    </row>
    <row hidden="false" ht="15" outlineLevel="0" r="353">
      <c r="A353" s="207" t="n">
        <f aca="false" ca="false" dt2D="false" dtr="false" t="normal">+A352+1</f>
        <v>334</v>
      </c>
      <c r="B353" s="207" t="n">
        <f aca="false" ca="false" dt2D="false" dtr="false" t="normal">+B352+1</f>
        <v>146</v>
      </c>
      <c r="C353" s="210" t="s">
        <v>227</v>
      </c>
      <c r="D353" s="210" t="s">
        <v>242</v>
      </c>
      <c r="E353" s="209" t="n">
        <v>1992</v>
      </c>
      <c r="F353" s="209" t="n">
        <v>2015</v>
      </c>
      <c r="G353" s="209" t="s">
        <v>68</v>
      </c>
      <c r="H353" s="105" t="n">
        <v>9</v>
      </c>
      <c r="I353" s="105" t="n">
        <v>3</v>
      </c>
      <c r="J353" s="106" t="n">
        <v>6872</v>
      </c>
      <c r="K353" s="106" t="n">
        <v>6094.4</v>
      </c>
      <c r="L353" s="106" t="n">
        <v>0</v>
      </c>
      <c r="M353" s="107" t="n">
        <v>259</v>
      </c>
      <c r="N353" s="108" t="n">
        <f aca="false" ca="false" dt2D="false" dtr="false" t="normal">SUM(P353:T353)</f>
        <v>7376207.09</v>
      </c>
      <c r="O353" s="106" t="n"/>
      <c r="P353" s="114" t="n"/>
      <c r="Q353" s="114" t="n"/>
      <c r="R353" s="114" t="n">
        <v>1484681.69</v>
      </c>
      <c r="S353" s="114" t="n">
        <v>5891525.4</v>
      </c>
      <c r="T353" s="114" t="n">
        <v>0</v>
      </c>
      <c r="U353" s="106" t="n">
        <v>1247.63598164277</v>
      </c>
      <c r="V353" s="106" t="n">
        <v>1247.63598164277</v>
      </c>
      <c r="W353" s="185" t="n">
        <v>2023</v>
      </c>
      <c r="X353" s="9" t="e">
        <f aca="false" ca="false" dt2D="false" dtr="false" t="normal">+#REF!-'[9]Приложение №1'!$P1158</f>
        <v>#REF!</v>
      </c>
      <c r="Y353" s="1" t="s">
        <v>229</v>
      </c>
      <c r="Z353" s="113" t="n">
        <f aca="false" ca="false" dt2D="false" dtr="false" t="normal">SUM(AA353:AO353)</f>
        <v>58070573.9</v>
      </c>
      <c r="AA353" s="106" t="n">
        <v>13934572.4189763</v>
      </c>
      <c r="AB353" s="106" t="n">
        <v>9563366.44572288</v>
      </c>
      <c r="AC353" s="106" t="n">
        <v>5821394.07117912</v>
      </c>
      <c r="AD353" s="106" t="n">
        <v>5252269.2207846</v>
      </c>
      <c r="AE353" s="106" t="n">
        <v>0</v>
      </c>
      <c r="AF353" s="106" t="n"/>
      <c r="AG353" s="106" t="n">
        <v>670364.7917232</v>
      </c>
      <c r="AH353" s="106" t="n">
        <v>0</v>
      </c>
      <c r="AI353" s="106" t="n">
        <v>0</v>
      </c>
      <c r="AJ353" s="106" t="n">
        <v>0</v>
      </c>
      <c r="AK353" s="106" t="n">
        <v>0</v>
      </c>
      <c r="AL353" s="106" t="n">
        <v>15519431.4307704</v>
      </c>
      <c r="AM353" s="106" t="n">
        <v>5618420.8085</v>
      </c>
      <c r="AN353" s="114" t="n">
        <v>580705.739</v>
      </c>
      <c r="AO353" s="115" t="n">
        <v>1110048.9733435</v>
      </c>
      <c r="AP353" s="112" t="n">
        <f aca="false" ca="false" dt2D="false" dtr="false" t="normal">+N353-'Приложение №2'!E353</f>
        <v>0</v>
      </c>
      <c r="AQ353" s="9" t="n">
        <f aca="false" ca="false" dt2D="false" dtr="false" t="normal">3336709.09-263343.45-R164</f>
        <v>3073365.6399999997</v>
      </c>
      <c r="AR353" s="3" t="n">
        <f aca="false" ca="false" dt2D="false" dtr="false" t="normal">+(K353*13.29+L353*22.52)*12*0.85</f>
        <v>826144.6751999998</v>
      </c>
      <c r="AS353" s="3" t="n">
        <f aca="false" ca="false" dt2D="false" dtr="false" t="normal">+(K353*13.29+L353*22.52)*12*30-1442656.44</f>
        <v>27715390.91999999</v>
      </c>
      <c r="AT353" s="9" t="n">
        <f aca="false" ca="false" dt2D="false" dtr="false" t="normal">+S353-AS353</f>
        <v>-21823865.51999999</v>
      </c>
      <c r="AU353" s="9" t="e">
        <f aca="false" ca="false" dt2D="false" dtr="false" t="normal">+P353-'[5]Приложение №1'!$P405</f>
        <v>#REF!</v>
      </c>
      <c r="AV353" s="9" t="e">
        <f aca="false" ca="false" dt2D="false" dtr="false" t="normal">+Q353-'[5]Приложение №1'!$Q405</f>
        <v>#REF!</v>
      </c>
      <c r="AW353" s="113" t="n">
        <f aca="false" ca="true" dt2D="false" dtr="false" t="normal">SUBTOTAL(9, AX353:BL353)</f>
        <v>7603592.726523699</v>
      </c>
      <c r="AX353" s="106" t="n">
        <v>7298871.85</v>
      </c>
      <c r="AY353" s="106" t="n"/>
      <c r="AZ353" s="106" t="n"/>
      <c r="BA353" s="106" t="n"/>
      <c r="BB353" s="106" t="n"/>
      <c r="BC353" s="106" t="n"/>
      <c r="BD353" s="106" t="n"/>
      <c r="BE353" s="106" t="n">
        <v>0</v>
      </c>
      <c r="BF353" s="106" t="n">
        <v>0</v>
      </c>
      <c r="BG353" s="106" t="n">
        <v>0</v>
      </c>
      <c r="BH353" s="106" t="n">
        <v>0</v>
      </c>
      <c r="BI353" s="106" t="n"/>
      <c r="BJ353" s="106" t="n"/>
      <c r="BK353" s="114" t="n"/>
      <c r="BL353" s="187" t="n">
        <v>304720.8765237</v>
      </c>
      <c r="BM353" s="113" t="n">
        <f aca="false" ca="true" dt2D="false" dtr="false" t="normal">SUBTOTAL(9, BN353:CB353)</f>
        <v>7603592.726523699</v>
      </c>
      <c r="BN353" s="106" t="n">
        <v>7298871.85</v>
      </c>
      <c r="BO353" s="106" t="n"/>
      <c r="BP353" s="106" t="n"/>
      <c r="BQ353" s="106" t="n"/>
      <c r="BR353" s="106" t="n"/>
      <c r="BS353" s="106" t="n"/>
      <c r="BT353" s="106" t="n"/>
      <c r="BU353" s="106" t="n">
        <v>0</v>
      </c>
      <c r="BV353" s="106" t="n">
        <v>0</v>
      </c>
      <c r="BW353" s="106" t="n">
        <v>0</v>
      </c>
      <c r="BX353" s="106" t="n">
        <v>0</v>
      </c>
      <c r="BY353" s="106" t="n"/>
      <c r="BZ353" s="106" t="n"/>
      <c r="CA353" s="114" t="n"/>
      <c r="CB353" s="115" t="n">
        <v>304720.8765237</v>
      </c>
      <c r="CD353" s="116" t="n">
        <f aca="false" ca="false" dt2D="false" dtr="false" t="normal">+CD352+1</f>
        <v>334</v>
      </c>
      <c r="CE353" s="117" t="n">
        <f aca="false" ca="false" dt2D="false" dtr="false" t="normal">+CE352+1</f>
        <v>146</v>
      </c>
      <c r="CF353" s="104" t="s">
        <v>227</v>
      </c>
      <c r="CG353" s="117" t="s">
        <v>242</v>
      </c>
      <c r="CH353" s="118" t="n">
        <f aca="false" ca="true" dt2D="false" dtr="false" t="normal">SUBTOTAL(9, CI353:CW353)</f>
        <v>7603592.726523699</v>
      </c>
      <c r="CI353" s="114" t="n">
        <v>7298871.85</v>
      </c>
      <c r="CJ353" s="114" t="n"/>
      <c r="CK353" s="114" t="n"/>
      <c r="CL353" s="114" t="n"/>
      <c r="CM353" s="114" t="n"/>
      <c r="CN353" s="114" t="n"/>
      <c r="CO353" s="114" t="n"/>
      <c r="CP353" s="114" t="n">
        <v>0</v>
      </c>
      <c r="CQ353" s="114" t="n">
        <v>0</v>
      </c>
      <c r="CR353" s="114" t="n">
        <v>0</v>
      </c>
      <c r="CS353" s="114" t="n">
        <v>0</v>
      </c>
      <c r="CT353" s="114" t="n"/>
      <c r="CU353" s="114" t="n"/>
      <c r="CV353" s="114" t="n"/>
      <c r="CW353" s="115" t="n">
        <v>304720.8765237</v>
      </c>
      <c r="CZ353" s="117" t="s">
        <v>242</v>
      </c>
      <c r="DA353" s="119" t="n">
        <f aca="false" ca="true" dt2D="false" dtr="false" t="normal">SUBTOTAL(9, DB353:DP353)</f>
        <v>7376207.09</v>
      </c>
      <c r="DB353" s="114" t="n">
        <v>7298871.85</v>
      </c>
      <c r="DC353" s="114" t="n"/>
      <c r="DD353" s="114" t="n"/>
      <c r="DE353" s="114" t="n"/>
      <c r="DF353" s="114" t="n"/>
      <c r="DG353" s="114" t="n"/>
      <c r="DH353" s="114" t="n"/>
      <c r="DI353" s="114" t="n">
        <v>0</v>
      </c>
      <c r="DJ353" s="114" t="n">
        <v>0</v>
      </c>
      <c r="DK353" s="114" t="n">
        <v>0</v>
      </c>
      <c r="DL353" s="114" t="n">
        <v>0</v>
      </c>
      <c r="DM353" s="114" t="n"/>
      <c r="DN353" s="114" t="n"/>
      <c r="DO353" s="114" t="n"/>
      <c r="DP353" s="120" t="n">
        <v>77335.24</v>
      </c>
      <c r="DQ353" s="3" t="n">
        <f aca="false" ca="false" dt2D="false" dtr="false" t="normal">N353-DA353</f>
        <v>0</v>
      </c>
      <c r="DS353" s="9" t="n"/>
    </row>
    <row hidden="false" ht="15" outlineLevel="0" r="354">
      <c r="A354" s="183" t="n">
        <f aca="false" ca="false" dt2D="false" dtr="false" t="normal">+A353+1</f>
        <v>335</v>
      </c>
      <c r="B354" s="184" t="n">
        <f aca="false" ca="false" dt2D="false" dtr="false" t="normal">+B353+1</f>
        <v>147</v>
      </c>
      <c r="C354" s="117" t="s">
        <v>227</v>
      </c>
      <c r="D354" s="117" t="s">
        <v>241</v>
      </c>
      <c r="E354" s="105" t="n">
        <v>1989</v>
      </c>
      <c r="F354" s="105" t="n">
        <v>2015</v>
      </c>
      <c r="G354" s="105" t="s">
        <v>68</v>
      </c>
      <c r="H354" s="105" t="n">
        <v>9</v>
      </c>
      <c r="I354" s="105" t="n">
        <v>4</v>
      </c>
      <c r="J354" s="106" t="n">
        <v>9199.3</v>
      </c>
      <c r="K354" s="106" t="n">
        <v>8072</v>
      </c>
      <c r="L354" s="106" t="n">
        <v>65.6</v>
      </c>
      <c r="M354" s="107" t="n">
        <v>366</v>
      </c>
      <c r="N354" s="108" t="n">
        <f aca="false" ca="false" dt2D="false" dtr="false" t="normal">SUM(P354:T354)</f>
        <v>28409546.35</v>
      </c>
      <c r="O354" s="114" t="n"/>
      <c r="P354" s="114" t="n">
        <v>9810640.42</v>
      </c>
      <c r="Q354" s="114" t="n"/>
      <c r="R354" s="114" t="n">
        <v>4700408.8284</v>
      </c>
      <c r="S354" s="114" t="n">
        <v>13898497.1016</v>
      </c>
      <c r="T354" s="114" t="n"/>
      <c r="U354" s="106" t="n">
        <v>4310.75770242135</v>
      </c>
      <c r="V354" s="106" t="n">
        <v>4310.75770242135</v>
      </c>
      <c r="W354" s="185" t="n">
        <v>2023</v>
      </c>
      <c r="X354" s="9" t="e">
        <f aca="false" ca="false" dt2D="false" dtr="false" t="normal">+#REF!-'[9]Приложение №1'!$P1450</f>
        <v>#REF!</v>
      </c>
      <c r="Z354" s="113" t="n">
        <f aca="false" ca="false" dt2D="false" dtr="false" t="normal">SUM(AA354:AO354)</f>
        <v>77772109.15999995</v>
      </c>
      <c r="AA354" s="106" t="n">
        <v>18662138.4025549</v>
      </c>
      <c r="AB354" s="106" t="n">
        <v>12807918.5266418</v>
      </c>
      <c r="AC354" s="106" t="n">
        <v>7796411.58542904</v>
      </c>
      <c r="AD354" s="106" t="n">
        <v>7034200.4194896</v>
      </c>
      <c r="AE354" s="106" t="n">
        <v>0</v>
      </c>
      <c r="AF354" s="106" t="n"/>
      <c r="AG354" s="106" t="n">
        <v>897798.6655344</v>
      </c>
      <c r="AH354" s="106" t="n">
        <v>0</v>
      </c>
      <c r="AI354" s="106" t="n">
        <v>0</v>
      </c>
      <c r="AJ354" s="106" t="n">
        <v>0</v>
      </c>
      <c r="AK354" s="106" t="n">
        <v>0</v>
      </c>
      <c r="AL354" s="106" t="n">
        <v>20784690.6631115</v>
      </c>
      <c r="AM354" s="106" t="n">
        <v>7524575.8236</v>
      </c>
      <c r="AN354" s="114" t="n">
        <v>777721.0916</v>
      </c>
      <c r="AO354" s="115" t="n">
        <v>1486653.98203872</v>
      </c>
      <c r="AP354" s="112" t="n">
        <f aca="false" ca="false" dt2D="false" dtr="false" t="normal">+N354-'Приложение №2'!E354</f>
        <v>0</v>
      </c>
      <c r="AQ354" s="1" t="n">
        <v>4641267.93</v>
      </c>
      <c r="AR354" s="3" t="n">
        <f aca="false" ca="false" dt2D="false" dtr="false" t="normal">+(K354*13.29+L354*22.52)*12*0.85</f>
        <v>1109292.7584</v>
      </c>
      <c r="AS354" s="3" t="n">
        <f aca="false" ca="false" dt2D="false" dtr="false" t="normal">+(K354*13.29+L354*22.52)*12*30-AS163</f>
        <v>14473887.709999997</v>
      </c>
      <c r="AT354" s="9" t="n">
        <f aca="false" ca="false" dt2D="false" dtr="false" t="normal">+S354-AS354</f>
        <v>-575390.6083999965</v>
      </c>
      <c r="AU354" s="9" t="e">
        <f aca="false" ca="false" dt2D="false" dtr="false" t="normal">+P354-'[5]Приложение №1'!$P406</f>
        <v>#REF!</v>
      </c>
      <c r="AV354" s="9" t="e">
        <f aca="false" ca="false" dt2D="false" dtr="false" t="normal">+Q354-'[5]Приложение №1'!$Q406</f>
        <v>#REF!</v>
      </c>
      <c r="AW354" s="113" t="n">
        <f aca="false" ca="true" dt2D="false" dtr="false" t="normal">SUBTOTAL(9, AX354:BL354)</f>
        <v>35079221.879224</v>
      </c>
      <c r="AX354" s="106" t="n">
        <v>20377265.934942</v>
      </c>
      <c r="AY354" s="106" t="n"/>
      <c r="AZ354" s="106" t="n">
        <v>5982768.16</v>
      </c>
      <c r="BA354" s="106" t="n">
        <v>6173299.27</v>
      </c>
      <c r="BB354" s="106" t="n">
        <v>0</v>
      </c>
      <c r="BC354" s="106" t="n"/>
      <c r="BD354" s="106" t="n">
        <v>897798.6655344</v>
      </c>
      <c r="BE354" s="106" t="n">
        <v>0</v>
      </c>
      <c r="BF354" s="106" t="n">
        <v>0</v>
      </c>
      <c r="BG354" s="106" t="n">
        <v>0</v>
      </c>
      <c r="BH354" s="106" t="n">
        <v>0</v>
      </c>
      <c r="BI354" s="106" t="n"/>
      <c r="BJ354" s="106" t="n"/>
      <c r="BK354" s="114" t="n"/>
      <c r="BL354" s="187" t="n">
        <v>1648089.8487476</v>
      </c>
      <c r="BM354" s="113" t="n">
        <f aca="false" ca="true" dt2D="false" dtr="false" t="normal">SUBTOTAL(9, BN354:CB354)</f>
        <v>30955434.864281997</v>
      </c>
      <c r="BN354" s="106" t="n">
        <v>16253478.92</v>
      </c>
      <c r="BO354" s="106" t="n"/>
      <c r="BP354" s="106" t="n">
        <v>5982768.16</v>
      </c>
      <c r="BQ354" s="106" t="n">
        <v>6173299.27</v>
      </c>
      <c r="BR354" s="106" t="n">
        <v>0</v>
      </c>
      <c r="BS354" s="106" t="n"/>
      <c r="BT354" s="106" t="n">
        <v>897798.6655344</v>
      </c>
      <c r="BU354" s="106" t="n">
        <v>0</v>
      </c>
      <c r="BV354" s="106" t="n">
        <v>0</v>
      </c>
      <c r="BW354" s="106" t="n">
        <v>0</v>
      </c>
      <c r="BX354" s="106" t="n">
        <v>0</v>
      </c>
      <c r="BY354" s="106" t="n"/>
      <c r="BZ354" s="106" t="n"/>
      <c r="CA354" s="114" t="n"/>
      <c r="CB354" s="115" t="n">
        <v>1648089.8487476</v>
      </c>
      <c r="CD354" s="116" t="n">
        <f aca="false" ca="false" dt2D="false" dtr="false" t="normal">+CD353+1</f>
        <v>335</v>
      </c>
      <c r="CE354" s="117" t="n">
        <f aca="false" ca="false" dt2D="false" dtr="false" t="normal">+CE353+1</f>
        <v>147</v>
      </c>
      <c r="CF354" s="104" t="s">
        <v>227</v>
      </c>
      <c r="CG354" s="117" t="s">
        <v>241</v>
      </c>
      <c r="CH354" s="118" t="n">
        <f aca="false" ca="true" dt2D="false" dtr="false" t="normal">SUBTOTAL(9, CI354:CW354)</f>
        <v>30057636.198747598</v>
      </c>
      <c r="CI354" s="114" t="n">
        <v>16253478.92</v>
      </c>
      <c r="CJ354" s="114" t="n"/>
      <c r="CK354" s="114" t="n">
        <v>5982768.16</v>
      </c>
      <c r="CL354" s="114" t="n">
        <v>6173299.27</v>
      </c>
      <c r="CM354" s="114" t="n">
        <v>0</v>
      </c>
      <c r="CN354" s="114" t="n"/>
      <c r="CO354" s="114" t="n"/>
      <c r="CP354" s="114" t="n">
        <v>0</v>
      </c>
      <c r="CQ354" s="114" t="n">
        <v>0</v>
      </c>
      <c r="CR354" s="114" t="n">
        <v>0</v>
      </c>
      <c r="CS354" s="114" t="n">
        <v>0</v>
      </c>
      <c r="CT354" s="114" t="n"/>
      <c r="CU354" s="114" t="n"/>
      <c r="CV354" s="114" t="n"/>
      <c r="CW354" s="115" t="n">
        <v>1648089.8487476</v>
      </c>
      <c r="CZ354" s="117" t="s">
        <v>241</v>
      </c>
      <c r="DA354" s="119" t="n">
        <f aca="false" ca="true" dt2D="false" dtr="false" t="normal">SUBTOTAL(9, DB354:DP354)</f>
        <v>28409546.349999998</v>
      </c>
      <c r="DB354" s="114" t="n">
        <v>16253478.92</v>
      </c>
      <c r="DC354" s="114" t="n"/>
      <c r="DD354" s="114" t="n">
        <v>5982768.16</v>
      </c>
      <c r="DE354" s="114" t="n">
        <v>6173299.27</v>
      </c>
      <c r="DF354" s="114" t="n">
        <v>0</v>
      </c>
      <c r="DG354" s="114" t="n"/>
      <c r="DH354" s="114" t="n"/>
      <c r="DI354" s="114" t="n">
        <v>0</v>
      </c>
      <c r="DJ354" s="114" t="n">
        <v>0</v>
      </c>
      <c r="DK354" s="114" t="n">
        <v>0</v>
      </c>
      <c r="DL354" s="114" t="n">
        <v>0</v>
      </c>
      <c r="DM354" s="114" t="n"/>
      <c r="DN354" s="114" t="n"/>
      <c r="DO354" s="114" t="n"/>
      <c r="DP354" s="122" t="n"/>
      <c r="DQ354" s="3" t="n">
        <f aca="false" ca="false" dt2D="false" dtr="false" t="normal">N354-DA354</f>
        <v>0</v>
      </c>
      <c r="DS354" s="9" t="n"/>
    </row>
    <row hidden="false" ht="15" outlineLevel="0" r="355">
      <c r="A355" s="183" t="n">
        <f aca="false" ca="false" dt2D="false" dtr="false" t="normal">+A354+1</f>
        <v>336</v>
      </c>
      <c r="B355" s="184" t="n">
        <f aca="false" ca="false" dt2D="false" dtr="false" t="normal">+B354+1</f>
        <v>148</v>
      </c>
      <c r="C355" s="104" t="s">
        <v>227</v>
      </c>
      <c r="D355" s="104" t="s">
        <v>245</v>
      </c>
      <c r="E355" s="105" t="n">
        <v>1993</v>
      </c>
      <c r="F355" s="105" t="n">
        <v>2014</v>
      </c>
      <c r="G355" s="105" t="s">
        <v>68</v>
      </c>
      <c r="H355" s="105" t="n">
        <v>9</v>
      </c>
      <c r="I355" s="105" t="n">
        <v>1</v>
      </c>
      <c r="J355" s="106" t="n">
        <v>2553.4</v>
      </c>
      <c r="K355" s="106" t="n">
        <v>2128.8</v>
      </c>
      <c r="L355" s="106" t="n">
        <v>0</v>
      </c>
      <c r="M355" s="107" t="n">
        <v>78</v>
      </c>
      <c r="N355" s="108" t="n">
        <f aca="false" ca="false" dt2D="false" dtr="false" t="normal">SUM(P355:T355)</f>
        <v>2120543.06</v>
      </c>
      <c r="O355" s="106" t="n"/>
      <c r="P355" s="114" t="n"/>
      <c r="Q355" s="114" t="n"/>
      <c r="R355" s="114" t="n">
        <v>597799.18</v>
      </c>
      <c r="S355" s="114" t="n">
        <v>1522743.88</v>
      </c>
      <c r="T355" s="114" t="n"/>
      <c r="U355" s="106" t="n">
        <v>10063.5427054129</v>
      </c>
      <c r="V355" s="106" t="n">
        <v>10063.5427054129</v>
      </c>
      <c r="W355" s="185" t="n">
        <v>2023</v>
      </c>
      <c r="X355" s="9" t="e">
        <f aca="false" ca="false" dt2D="false" dtr="false" t="normal">+#REF!-'[9]Приложение №1'!$P1082</f>
        <v>#REF!</v>
      </c>
      <c r="Z355" s="113" t="n">
        <f aca="false" ca="false" dt2D="false" dtr="false" t="normal">SUM(AA355:AO355)</f>
        <v>44395710.679999955</v>
      </c>
      <c r="AA355" s="106" t="n">
        <v>4916492.87334114</v>
      </c>
      <c r="AB355" s="106" t="n">
        <v>3374213.54608464</v>
      </c>
      <c r="AC355" s="106" t="n">
        <v>2053944.79409448</v>
      </c>
      <c r="AD355" s="106" t="n">
        <v>1853142.20463204</v>
      </c>
      <c r="AE355" s="106" t="n">
        <v>0</v>
      </c>
      <c r="AF355" s="106" t="n"/>
      <c r="AG355" s="106" t="n">
        <v>236522.7739728</v>
      </c>
      <c r="AH355" s="106" t="n">
        <v>0</v>
      </c>
      <c r="AI355" s="106" t="n">
        <v>0</v>
      </c>
      <c r="AJ355" s="106" t="n">
        <v>0</v>
      </c>
      <c r="AK355" s="106" t="n">
        <v>20821763.5081751</v>
      </c>
      <c r="AL355" s="106" t="n">
        <v>5475673.87144554</v>
      </c>
      <c r="AM355" s="106" t="n">
        <v>4373014.9959</v>
      </c>
      <c r="AN355" s="114" t="n">
        <v>443957.1068</v>
      </c>
      <c r="AO355" s="115" t="n">
        <v>846985.00555422</v>
      </c>
      <c r="AP355" s="112" t="n">
        <f aca="false" ca="false" dt2D="false" dtr="false" t="normal">+N355-'Приложение №2'!E355</f>
        <v>0</v>
      </c>
      <c r="AQ355" s="1" t="n">
        <f aca="false" ca="false" dt2D="false" dtr="false" t="normal">1103126.79-79353.74-714183.7328</f>
        <v>309589.31720000005</v>
      </c>
      <c r="AR355" s="3" t="n">
        <f aca="false" ca="false" dt2D="false" dtr="false" t="normal">+(K355*13.29+L355*22.52)*12*0.85</f>
        <v>288575.87039999996</v>
      </c>
      <c r="AS355" s="3" t="n">
        <f aca="false" ca="false" dt2D="false" dtr="false" t="normal">+(K355*13.95+L355*23.65)*12*30-300950.5-2600695.91</f>
        <v>7789187.1899999995</v>
      </c>
      <c r="AT355" s="9" t="n">
        <f aca="false" ca="false" dt2D="false" dtr="false" t="normal">+S355-AS355</f>
        <v>-6266443.31</v>
      </c>
      <c r="AU355" s="9" t="e">
        <f aca="false" ca="false" dt2D="false" dtr="false" t="normal">+P355-'[5]Приложение №1'!$P412</f>
        <v>#REF!</v>
      </c>
      <c r="AV355" s="9" t="e">
        <f aca="false" ca="false" dt2D="false" dtr="false" t="normal">+Q355-'[5]Приложение №1'!$Q412</f>
        <v>#REF!</v>
      </c>
      <c r="AW355" s="113" t="n">
        <f aca="false" ca="true" dt2D="false" dtr="false" t="normal">SUBTOTAL(9, AX355:BL355)</f>
        <v>21423269.71128292</v>
      </c>
      <c r="AX355" s="106" t="n"/>
      <c r="AY355" s="106" t="n"/>
      <c r="AZ355" s="106" t="n"/>
      <c r="BA355" s="106" t="n"/>
      <c r="BB355" s="106" t="n"/>
      <c r="BC355" s="106" t="n"/>
      <c r="BD355" s="106" t="n"/>
      <c r="BE355" s="106" t="n">
        <v>0</v>
      </c>
      <c r="BF355" s="106" t="n">
        <v>0</v>
      </c>
      <c r="BG355" s="106" t="n">
        <v>0</v>
      </c>
      <c r="BH355" s="106" t="n">
        <v>20848198.0171036</v>
      </c>
      <c r="BI355" s="106" t="n"/>
      <c r="BJ355" s="106" t="n"/>
      <c r="BK355" s="114" t="n"/>
      <c r="BL355" s="187" t="n">
        <v>575071.69417932</v>
      </c>
      <c r="BM355" s="113" t="n">
        <f aca="false" ca="true" dt2D="false" dtr="false" t="normal">SUBTOTAL(9, BN355:CB355)</f>
        <v>21423269.71128292</v>
      </c>
      <c r="BN355" s="106" t="n"/>
      <c r="BO355" s="106" t="n"/>
      <c r="BP355" s="106" t="n"/>
      <c r="BQ355" s="106" t="n"/>
      <c r="BR355" s="106" t="n"/>
      <c r="BS355" s="106" t="n"/>
      <c r="BT355" s="106" t="n"/>
      <c r="BU355" s="106" t="n">
        <v>0</v>
      </c>
      <c r="BV355" s="106" t="n">
        <v>0</v>
      </c>
      <c r="BW355" s="106" t="n">
        <v>0</v>
      </c>
      <c r="BX355" s="106" t="n">
        <v>20848198.0171036</v>
      </c>
      <c r="BY355" s="106" t="n"/>
      <c r="BZ355" s="106" t="n"/>
      <c r="CA355" s="114" t="n"/>
      <c r="CB355" s="115" t="n">
        <v>575071.69417932</v>
      </c>
      <c r="CD355" s="116" t="n">
        <f aca="false" ca="false" dt2D="false" dtr="false" t="normal">+CD354+1</f>
        <v>336</v>
      </c>
      <c r="CE355" s="117" t="n">
        <f aca="false" ca="false" dt2D="false" dtr="false" t="normal">+CE354+1</f>
        <v>148</v>
      </c>
      <c r="CF355" s="104" t="s">
        <v>227</v>
      </c>
      <c r="CG355" s="117" t="s">
        <v>245</v>
      </c>
      <c r="CH355" s="118" t="n">
        <f aca="false" ca="true" dt2D="false" dtr="false" t="normal">SUBTOTAL(9, CI355:CW355)</f>
        <v>2695614.7541793203</v>
      </c>
      <c r="CI355" s="114" t="n"/>
      <c r="CJ355" s="114" t="n"/>
      <c r="CK355" s="114" t="n"/>
      <c r="CL355" s="114" t="n"/>
      <c r="CM355" s="114" t="n"/>
      <c r="CN355" s="114" t="n"/>
      <c r="CO355" s="114" t="n"/>
      <c r="CP355" s="114" t="n">
        <v>0</v>
      </c>
      <c r="CQ355" s="114" t="n">
        <v>0</v>
      </c>
      <c r="CR355" s="114" t="n">
        <v>0</v>
      </c>
      <c r="CS355" s="114" t="n">
        <v>2120543.06</v>
      </c>
      <c r="CT355" s="114" t="n"/>
      <c r="CU355" s="114" t="n"/>
      <c r="CV355" s="114" t="n"/>
      <c r="CW355" s="115" t="n">
        <v>575071.69417932</v>
      </c>
      <c r="CZ355" s="117" t="s">
        <v>245</v>
      </c>
      <c r="DA355" s="119" t="n">
        <f aca="false" ca="true" dt2D="false" dtr="false" t="normal">SUBTOTAL(9, DB355:DP355)</f>
        <v>2120543.06</v>
      </c>
      <c r="DB355" s="114" t="n"/>
      <c r="DC355" s="114" t="n"/>
      <c r="DD355" s="114" t="n"/>
      <c r="DE355" s="114" t="n"/>
      <c r="DF355" s="114" t="n"/>
      <c r="DG355" s="114" t="n"/>
      <c r="DH355" s="114" t="n"/>
      <c r="DI355" s="114" t="n">
        <v>0</v>
      </c>
      <c r="DJ355" s="114" t="n">
        <v>0</v>
      </c>
      <c r="DK355" s="114" t="n">
        <v>0</v>
      </c>
      <c r="DL355" s="114" t="n">
        <v>2120543.06</v>
      </c>
      <c r="DM355" s="114" t="n"/>
      <c r="DN355" s="114" t="n"/>
      <c r="DO355" s="114" t="n"/>
      <c r="DP355" s="122" t="n"/>
      <c r="DQ355" s="3" t="n">
        <f aca="false" ca="false" dt2D="false" dtr="false" t="normal">N355-DA355</f>
        <v>0</v>
      </c>
      <c r="DS355" s="9" t="n"/>
    </row>
    <row hidden="false" ht="15" outlineLevel="0" r="356">
      <c r="A356" s="183" t="n">
        <f aca="false" ca="false" dt2D="false" dtr="false" t="normal">+A355+1</f>
        <v>337</v>
      </c>
      <c r="B356" s="184" t="n">
        <f aca="false" ca="false" dt2D="false" dtr="false" t="normal">+B355+1</f>
        <v>149</v>
      </c>
      <c r="C356" s="117" t="s">
        <v>247</v>
      </c>
      <c r="D356" s="117" t="s">
        <v>427</v>
      </c>
      <c r="E356" s="105" t="n">
        <v>1987</v>
      </c>
      <c r="F356" s="105" t="n">
        <v>1987</v>
      </c>
      <c r="G356" s="105" t="s">
        <v>68</v>
      </c>
      <c r="H356" s="105" t="n">
        <v>5</v>
      </c>
      <c r="I356" s="105" t="n">
        <v>4</v>
      </c>
      <c r="J356" s="106" t="n">
        <v>4891.4</v>
      </c>
      <c r="K356" s="106" t="n">
        <v>4293.1</v>
      </c>
      <c r="L356" s="106" t="n">
        <v>598.3</v>
      </c>
      <c r="M356" s="107" t="n">
        <v>199</v>
      </c>
      <c r="N356" s="108" t="n">
        <f aca="false" ca="false" dt2D="false" dtr="false" t="normal">SUM(P356:T356)</f>
        <v>9484647.870000001</v>
      </c>
      <c r="O356" s="114" t="n"/>
      <c r="P356" s="114" t="n">
        <v>2103466.32</v>
      </c>
      <c r="Q356" s="114" t="n"/>
      <c r="R356" s="114" t="n">
        <v>1451302.02</v>
      </c>
      <c r="S356" s="114" t="n">
        <v>5929879.53</v>
      </c>
      <c r="T356" s="114" t="n"/>
      <c r="U356" s="106" t="n">
        <v>5890.98496186998</v>
      </c>
      <c r="V356" s="106" t="n">
        <v>5890.98496186998</v>
      </c>
      <c r="W356" s="185" t="n">
        <v>2023</v>
      </c>
      <c r="X356" s="9" t="e">
        <f aca="false" ca="false" dt2D="false" dtr="false" t="normal">+#REF!-'[9]Приложение №1'!$P1634</f>
        <v>#REF!</v>
      </c>
      <c r="Z356" s="113" t="n">
        <f aca="false" ca="false" dt2D="false" dtr="false" t="normal">SUM(AA356:AO356)</f>
        <v>19345683.86999996</v>
      </c>
      <c r="AA356" s="106" t="n">
        <v>12256587.7965749</v>
      </c>
      <c r="AB356" s="106" t="n">
        <v>4494523.47915942</v>
      </c>
      <c r="AC356" s="106" t="n">
        <v>0</v>
      </c>
      <c r="AD356" s="106" t="n">
        <v>0</v>
      </c>
      <c r="AE356" s="106" t="n">
        <v>0</v>
      </c>
      <c r="AF356" s="106" t="n"/>
      <c r="AG356" s="106" t="n">
        <v>404624.4145566</v>
      </c>
      <c r="AH356" s="106" t="n">
        <v>0</v>
      </c>
      <c r="AI356" s="106" t="n">
        <v>0</v>
      </c>
      <c r="AJ356" s="106" t="n">
        <v>0</v>
      </c>
      <c r="AK356" s="106" t="n">
        <v>0</v>
      </c>
      <c r="AL356" s="106" t="n">
        <v>0</v>
      </c>
      <c r="AM356" s="106" t="n">
        <v>1621330.1477</v>
      </c>
      <c r="AN356" s="114" t="n">
        <v>193456.8387</v>
      </c>
      <c r="AO356" s="115" t="n">
        <v>375161.19330904</v>
      </c>
      <c r="AP356" s="112" t="n">
        <f aca="false" ca="false" dt2D="false" dtr="false" t="normal">+N356-'Приложение №2'!E356</f>
        <v>0</v>
      </c>
      <c r="AQ356" s="1" t="n">
        <v>2008581.69</v>
      </c>
      <c r="AR356" s="3" t="n">
        <f aca="false" ca="false" dt2D="false" dtr="false" t="normal">+(K356*10+L356*20)*12*0.85</f>
        <v>559949.4</v>
      </c>
      <c r="AS356" s="3" t="n">
        <f aca="false" ca="false" dt2D="false" dtr="false" t="normal">+(K356*10+L356*20)*12*30</f>
        <v>19762920</v>
      </c>
      <c r="AT356" s="9" t="n">
        <f aca="false" ca="false" dt2D="false" dtr="false" t="normal">+S356-AS356</f>
        <v>-13833040.469999999</v>
      </c>
      <c r="AU356" s="9" t="e">
        <f aca="false" ca="false" dt2D="false" dtr="false" t="normal">+P356-'[5]Приложение №1'!$P419</f>
        <v>#REF!</v>
      </c>
      <c r="AV356" s="9" t="e">
        <f aca="false" ca="false" dt2D="false" dtr="false" t="normal">+Q356-'[5]Приложение №1'!$Q419</f>
        <v>#REF!</v>
      </c>
      <c r="AW356" s="113" t="n">
        <f aca="false" ca="true" dt2D="false" dtr="false" t="normal">SUBTOTAL(9, AX356:BL356)</f>
        <v>28815163.8424908</v>
      </c>
      <c r="AX356" s="106" t="n">
        <v>13389086.339244</v>
      </c>
      <c r="AY356" s="106" t="n">
        <v>4961562.751488</v>
      </c>
      <c r="AZ356" s="106" t="n">
        <v>0</v>
      </c>
      <c r="BA356" s="106" t="n">
        <v>0</v>
      </c>
      <c r="BB356" s="106" t="n">
        <v>0</v>
      </c>
      <c r="BC356" s="106" t="n"/>
      <c r="BD356" s="106" t="n">
        <v>404624.4145566</v>
      </c>
      <c r="BE356" s="106" t="n">
        <v>0</v>
      </c>
      <c r="BF356" s="106" t="n">
        <v>9145505.73</v>
      </c>
      <c r="BG356" s="106" t="n">
        <v>0</v>
      </c>
      <c r="BH356" s="106" t="n">
        <v>0</v>
      </c>
      <c r="BI356" s="106" t="n">
        <v>0</v>
      </c>
      <c r="BJ356" s="106" t="n"/>
      <c r="BK356" s="114" t="n"/>
      <c r="BL356" s="187" t="n">
        <v>914384.6072022</v>
      </c>
      <c r="BM356" s="113" t="n">
        <f aca="false" ca="true" dt2D="false" dtr="false" t="normal">SUBTOTAL(9, BN356:CB356)</f>
        <v>29154305.982490797</v>
      </c>
      <c r="BN356" s="106" t="n">
        <v>13389086.339244</v>
      </c>
      <c r="BO356" s="106" t="n">
        <v>4961562.751488</v>
      </c>
      <c r="BP356" s="106" t="n">
        <v>0</v>
      </c>
      <c r="BQ356" s="106" t="n">
        <v>0</v>
      </c>
      <c r="BR356" s="106" t="n">
        <v>0</v>
      </c>
      <c r="BS356" s="106" t="n"/>
      <c r="BT356" s="106" t="n">
        <v>404624.4145566</v>
      </c>
      <c r="BU356" s="106" t="n">
        <v>0</v>
      </c>
      <c r="BV356" s="106" t="n">
        <v>9484647.87</v>
      </c>
      <c r="BW356" s="106" t="n">
        <v>0</v>
      </c>
      <c r="BX356" s="106" t="n">
        <v>0</v>
      </c>
      <c r="BY356" s="106" t="n">
        <v>0</v>
      </c>
      <c r="BZ356" s="106" t="n"/>
      <c r="CA356" s="114" t="n"/>
      <c r="CB356" s="115" t="n">
        <v>914384.6072022</v>
      </c>
      <c r="CD356" s="116" t="n">
        <f aca="false" ca="false" dt2D="false" dtr="false" t="normal">+CD355+1</f>
        <v>337</v>
      </c>
      <c r="CE356" s="117" t="n">
        <f aca="false" ca="false" dt2D="false" dtr="false" t="normal">+CE355+1</f>
        <v>149</v>
      </c>
      <c r="CF356" s="104" t="s">
        <v>247</v>
      </c>
      <c r="CG356" s="117" t="s">
        <v>427</v>
      </c>
      <c r="CH356" s="118" t="n">
        <f aca="false" ca="true" dt2D="false" dtr="false" t="normal">SUBTOTAL(9, CI356:CW356)</f>
        <v>10399032.4772022</v>
      </c>
      <c r="CI356" s="114" t="n"/>
      <c r="CJ356" s="114" t="n"/>
      <c r="CK356" s="114" t="n"/>
      <c r="CL356" s="114" t="n"/>
      <c r="CM356" s="114" t="n"/>
      <c r="CN356" s="114" t="n"/>
      <c r="CO356" s="114" t="n"/>
      <c r="CP356" s="114" t="n">
        <v>0</v>
      </c>
      <c r="CQ356" s="114" t="n">
        <v>9484647.87</v>
      </c>
      <c r="CR356" s="114" t="n">
        <v>0</v>
      </c>
      <c r="CS356" s="114" t="n">
        <v>0</v>
      </c>
      <c r="CT356" s="114" t="n">
        <v>0</v>
      </c>
      <c r="CU356" s="114" t="n"/>
      <c r="CV356" s="114" t="n"/>
      <c r="CW356" s="115" t="n">
        <v>914384.6072022</v>
      </c>
      <c r="CZ356" s="117" t="s">
        <v>427</v>
      </c>
      <c r="DA356" s="119" t="n">
        <f aca="false" ca="true" dt2D="false" dtr="false" t="normal">SUBTOTAL(9, DB356:DP356)</f>
        <v>9484647.87</v>
      </c>
      <c r="DB356" s="114" t="n"/>
      <c r="DC356" s="114" t="n"/>
      <c r="DD356" s="114" t="n"/>
      <c r="DE356" s="114" t="n"/>
      <c r="DF356" s="114" t="n"/>
      <c r="DG356" s="114" t="n"/>
      <c r="DH356" s="114" t="n"/>
      <c r="DI356" s="114" t="n">
        <v>0</v>
      </c>
      <c r="DJ356" s="114" t="n">
        <v>9484647.87</v>
      </c>
      <c r="DK356" s="114" t="n">
        <v>0</v>
      </c>
      <c r="DL356" s="114" t="n">
        <v>0</v>
      </c>
      <c r="DM356" s="114" t="n">
        <v>0</v>
      </c>
      <c r="DN356" s="114" t="n"/>
      <c r="DO356" s="114" t="n"/>
      <c r="DP356" s="122" t="n"/>
      <c r="DQ356" s="3" t="n">
        <f aca="false" ca="false" dt2D="false" dtr="false" t="normal">N356-DA356</f>
        <v>0</v>
      </c>
      <c r="DS356" s="9" t="n"/>
    </row>
    <row hidden="false" ht="15" outlineLevel="0" r="357">
      <c r="A357" s="183" t="n">
        <f aca="false" ca="false" dt2D="false" dtr="false" t="normal">+A356+1</f>
        <v>338</v>
      </c>
      <c r="B357" s="184" t="n">
        <f aca="false" ca="false" dt2D="false" dtr="false" t="normal">+B356+1</f>
        <v>150</v>
      </c>
      <c r="C357" s="117" t="s">
        <v>428</v>
      </c>
      <c r="D357" s="117" t="s">
        <v>429</v>
      </c>
      <c r="E357" s="105" t="n">
        <v>1992</v>
      </c>
      <c r="F357" s="105" t="n">
        <v>2013</v>
      </c>
      <c r="G357" s="105" t="s">
        <v>68</v>
      </c>
      <c r="H357" s="105" t="n">
        <v>5</v>
      </c>
      <c r="I357" s="105" t="n">
        <v>3</v>
      </c>
      <c r="J357" s="106" t="n">
        <v>3334.6</v>
      </c>
      <c r="K357" s="106" t="n">
        <v>2949.9</v>
      </c>
      <c r="L357" s="106" t="n">
        <v>0</v>
      </c>
      <c r="M357" s="107" t="n">
        <v>91</v>
      </c>
      <c r="N357" s="108" t="n">
        <f aca="false" ca="false" dt2D="false" dtr="false" t="normal">SUM(P357:T357)</f>
        <v>1830078.26</v>
      </c>
      <c r="O357" s="114" t="n"/>
      <c r="P357" s="114" t="n">
        <v>931184.89</v>
      </c>
      <c r="Q357" s="114" t="n"/>
      <c r="R357" s="114" t="n">
        <v>243415.1</v>
      </c>
      <c r="S357" s="114" t="n">
        <v>655478.27</v>
      </c>
      <c r="T357" s="114" t="n"/>
      <c r="U357" s="106" t="n">
        <v>6090.189213932</v>
      </c>
      <c r="V357" s="106" t="n">
        <v>6090.189213932</v>
      </c>
      <c r="W357" s="185" t="n">
        <v>2023</v>
      </c>
      <c r="X357" s="9" t="e">
        <f aca="false" ca="false" dt2D="false" dtr="false" t="normal">+#REF!-'[9]Приложение №1'!$P1681</f>
        <v>#REF!</v>
      </c>
      <c r="Z357" s="113" t="n">
        <f aca="false" ca="false" dt2D="false" dtr="false" t="normal">SUM(AA357:AO357)</f>
        <v>24232773.930000003</v>
      </c>
      <c r="AA357" s="106" t="n">
        <v>6144661.3698834</v>
      </c>
      <c r="AB357" s="106" t="n">
        <v>2838809.38080264</v>
      </c>
      <c r="AC357" s="106" t="n">
        <v>2875834.366944</v>
      </c>
      <c r="AD357" s="106" t="n">
        <v>1857721.65669048</v>
      </c>
      <c r="AE357" s="106" t="n">
        <v>0</v>
      </c>
      <c r="AF357" s="106" t="n"/>
      <c r="AG357" s="106" t="n">
        <v>0</v>
      </c>
      <c r="AH357" s="106" t="n">
        <v>0</v>
      </c>
      <c r="AI357" s="106" t="n">
        <v>0</v>
      </c>
      <c r="AJ357" s="106" t="n">
        <v>0</v>
      </c>
      <c r="AK357" s="106" t="n">
        <v>7458847.86990546</v>
      </c>
      <c r="AL357" s="106" t="n">
        <v>0</v>
      </c>
      <c r="AM357" s="106" t="n">
        <v>2351498.0564</v>
      </c>
      <c r="AN357" s="114" t="n">
        <v>242327.7393</v>
      </c>
      <c r="AO357" s="115" t="n">
        <v>463073.49007402</v>
      </c>
      <c r="AP357" s="112" t="n">
        <f aca="false" ca="false" dt2D="false" dtr="false" t="normal">+N357-'Приложение №2'!E357</f>
        <v>0</v>
      </c>
      <c r="AQ357" s="1" t="n">
        <v>1192628.99</v>
      </c>
      <c r="AR357" s="3" t="n">
        <f aca="false" ca="false" dt2D="false" dtr="false" t="normal">+(K357*10+L357*20)*12*0.85</f>
        <v>300889.8</v>
      </c>
      <c r="AS357" s="3" t="n">
        <f aca="false" ca="false" dt2D="false" dtr="false" t="normal">+(K357*10+L357*20)*12*30</f>
        <v>10619640</v>
      </c>
      <c r="AT357" s="9" t="n">
        <f aca="false" ca="false" dt2D="false" dtr="false" t="normal">+S357-AS357</f>
        <v>-9964161.73</v>
      </c>
      <c r="AU357" s="9" t="e">
        <f aca="false" ca="false" dt2D="false" dtr="false" t="normal">+P357-'[5]Приложение №1'!$P433</f>
        <v>#REF!</v>
      </c>
      <c r="AV357" s="9" t="e">
        <f aca="false" ca="false" dt2D="false" dtr="false" t="normal">+Q357-'[5]Приложение №1'!$Q433</f>
        <v>#REF!</v>
      </c>
      <c r="AW357" s="113" t="n">
        <f aca="false" ca="true" dt2D="false" dtr="false" t="normal">SUBTOTAL(9, AX357:BL357)</f>
        <v>17965449.162178</v>
      </c>
      <c r="AX357" s="106" t="n">
        <v>6428842.39</v>
      </c>
      <c r="AY357" s="106" t="n">
        <v>1825378.91</v>
      </c>
      <c r="AZ357" s="106" t="n">
        <v>1830078.26</v>
      </c>
      <c r="BA357" s="106" t="n"/>
      <c r="BB357" s="106" t="n">
        <v>0</v>
      </c>
      <c r="BC357" s="106" t="n"/>
      <c r="BD357" s="106" t="n"/>
      <c r="BE357" s="106" t="n">
        <v>0</v>
      </c>
      <c r="BF357" s="106" t="n">
        <v>0</v>
      </c>
      <c r="BG357" s="106" t="n">
        <v>0</v>
      </c>
      <c r="BH357" s="106" t="n">
        <v>7416801.14</v>
      </c>
      <c r="BI357" s="106" t="n">
        <v>0</v>
      </c>
      <c r="BJ357" s="106" t="n"/>
      <c r="BK357" s="114" t="n"/>
      <c r="BL357" s="187" t="n">
        <v>464348.462178</v>
      </c>
      <c r="BM357" s="113" t="n">
        <f aca="false" ca="true" dt2D="false" dtr="false" t="normal">SUBTOTAL(9, BN357:CB357)</f>
        <v>17965449.162178</v>
      </c>
      <c r="BN357" s="106" t="n">
        <v>6428842.39</v>
      </c>
      <c r="BO357" s="106" t="n">
        <v>1825378.91</v>
      </c>
      <c r="BP357" s="106" t="n">
        <v>1830078.26</v>
      </c>
      <c r="BQ357" s="106" t="n"/>
      <c r="BR357" s="106" t="n">
        <v>0</v>
      </c>
      <c r="BS357" s="106" t="n"/>
      <c r="BT357" s="106" t="n"/>
      <c r="BU357" s="106" t="n">
        <v>0</v>
      </c>
      <c r="BV357" s="106" t="n">
        <v>0</v>
      </c>
      <c r="BW357" s="106" t="n">
        <v>0</v>
      </c>
      <c r="BX357" s="106" t="n">
        <v>7416801.14</v>
      </c>
      <c r="BY357" s="106" t="n">
        <v>0</v>
      </c>
      <c r="BZ357" s="106" t="n"/>
      <c r="CA357" s="114" t="n"/>
      <c r="CB357" s="115" t="n">
        <v>464348.462178</v>
      </c>
      <c r="CD357" s="116" t="n">
        <f aca="false" ca="false" dt2D="false" dtr="false" t="normal">+CD356+1</f>
        <v>338</v>
      </c>
      <c r="CE357" s="117" t="n">
        <f aca="false" ca="false" dt2D="false" dtr="false" t="normal">+CE356+1</f>
        <v>150</v>
      </c>
      <c r="CF357" s="104" t="s">
        <v>428</v>
      </c>
      <c r="CG357" s="117" t="s">
        <v>429</v>
      </c>
      <c r="CH357" s="118" t="n">
        <f aca="false" ca="true" dt2D="false" dtr="false" t="normal">SUBTOTAL(9, CI357:CW357)</f>
        <v>2294426.722178</v>
      </c>
      <c r="CI357" s="114" t="n"/>
      <c r="CJ357" s="114" t="n"/>
      <c r="CK357" s="114" t="n">
        <v>1830078.26</v>
      </c>
      <c r="CL357" s="114" t="n"/>
      <c r="CM357" s="114" t="n">
        <v>0</v>
      </c>
      <c r="CN357" s="114" t="n"/>
      <c r="CO357" s="114" t="n"/>
      <c r="CP357" s="114" t="n">
        <v>0</v>
      </c>
      <c r="CQ357" s="114" t="n">
        <v>0</v>
      </c>
      <c r="CR357" s="114" t="n">
        <v>0</v>
      </c>
      <c r="CS357" s="114" t="n"/>
      <c r="CT357" s="114" t="n">
        <v>0</v>
      </c>
      <c r="CU357" s="114" t="n"/>
      <c r="CV357" s="114" t="n"/>
      <c r="CW357" s="115" t="n">
        <v>464348.462178</v>
      </c>
      <c r="CZ357" s="117" t="s">
        <v>429</v>
      </c>
      <c r="DA357" s="119" t="n">
        <f aca="false" ca="true" dt2D="false" dtr="false" t="normal">SUBTOTAL(9, DB357:DP357)</f>
        <v>1830078.26</v>
      </c>
      <c r="DB357" s="114" t="n"/>
      <c r="DC357" s="114" t="n"/>
      <c r="DD357" s="114" t="n">
        <v>1830078.26</v>
      </c>
      <c r="DE357" s="114" t="n"/>
      <c r="DF357" s="114" t="n">
        <v>0</v>
      </c>
      <c r="DG357" s="114" t="n"/>
      <c r="DH357" s="114" t="n"/>
      <c r="DI357" s="114" t="n">
        <v>0</v>
      </c>
      <c r="DJ357" s="114" t="n">
        <v>0</v>
      </c>
      <c r="DK357" s="114" t="n">
        <v>0</v>
      </c>
      <c r="DL357" s="114" t="n"/>
      <c r="DM357" s="114" t="n">
        <v>0</v>
      </c>
      <c r="DN357" s="114" t="n"/>
      <c r="DO357" s="114" t="n"/>
      <c r="DP357" s="122" t="n"/>
      <c r="DQ357" s="3" t="n">
        <f aca="false" ca="false" dt2D="false" dtr="false" t="normal">N357-DA357</f>
        <v>0</v>
      </c>
      <c r="DS357" s="9" t="n"/>
    </row>
    <row customFormat="true" hidden="false" ht="15" outlineLevel="0" r="358" s="129">
      <c r="A358" s="183" t="n">
        <f aca="false" ca="false" dt2D="false" dtr="false" t="normal">+A357+1</f>
        <v>339</v>
      </c>
      <c r="B358" s="184" t="n">
        <f aca="false" ca="false" dt2D="false" dtr="false" t="normal">+B357+1</f>
        <v>151</v>
      </c>
      <c r="C358" s="104" t="s">
        <v>430</v>
      </c>
      <c r="D358" s="104" t="s">
        <v>431</v>
      </c>
      <c r="E358" s="105" t="s">
        <v>432</v>
      </c>
      <c r="F358" s="105" t="s">
        <v>432</v>
      </c>
      <c r="G358" s="105" t="s">
        <v>68</v>
      </c>
      <c r="H358" s="105" t="s">
        <v>187</v>
      </c>
      <c r="I358" s="105" t="s">
        <v>187</v>
      </c>
      <c r="J358" s="106" t="n">
        <v>2120.65</v>
      </c>
      <c r="K358" s="106" t="n">
        <v>1602.1</v>
      </c>
      <c r="L358" s="106" t="n">
        <v>58.3</v>
      </c>
      <c r="M358" s="107" t="n">
        <v>76</v>
      </c>
      <c r="N358" s="108" t="n">
        <f aca="false" ca="false" dt2D="false" dtr="false" t="normal">SUM(P358:T358)</f>
        <v>2603999.18</v>
      </c>
      <c r="O358" s="106" t="n">
        <v>0</v>
      </c>
      <c r="P358" s="114" t="n"/>
      <c r="Q358" s="114" t="n">
        <v>0</v>
      </c>
      <c r="R358" s="114" t="n">
        <v>871473.58</v>
      </c>
      <c r="S358" s="114" t="n">
        <v>1732525.6</v>
      </c>
      <c r="T358" s="114" t="n"/>
      <c r="U358" s="114" t="n">
        <v>3846.18432113346</v>
      </c>
      <c r="V358" s="114" t="n">
        <v>1413.283020064</v>
      </c>
      <c r="W358" s="185" t="n">
        <v>2023</v>
      </c>
      <c r="X358" s="129" t="n">
        <v>421077.31</v>
      </c>
      <c r="Y358" s="129" t="n">
        <f aca="false" ca="false" dt2D="false" dtr="false" t="normal">+(K358*9.1+L358*18.19)*12</f>
        <v>187675.044</v>
      </c>
      <c r="AA358" s="130" t="e">
        <f aca="false" ca="false" dt2D="false" dtr="false" t="normal">+N358-'[8]Приложение № 2'!E439</f>
        <v>#REF!</v>
      </c>
      <c r="AD358" s="130" t="e">
        <f aca="false" ca="false" dt2D="false" dtr="false" t="normal">+N358-'[8]Приложение № 2'!E439</f>
        <v>#REF!</v>
      </c>
      <c r="AP358" s="112" t="n">
        <f aca="false" ca="false" dt2D="false" dtr="false" t="normal">+N358-'Приложение №1'!CD358</f>
        <v>2603660.18</v>
      </c>
      <c r="AQ358" s="121" t="n">
        <v>687400.81</v>
      </c>
      <c r="AR358" s="3" t="n">
        <f aca="false" ca="false" dt2D="false" dtr="false" t="normal">+(K358*10.5+L358*21)*12*0.85</f>
        <v>184072.77</v>
      </c>
      <c r="AS358" s="3" t="n">
        <f aca="false" ca="false" dt2D="false" dtr="false" t="normal">+(K358*10.5+L358*21)*12*30</f>
        <v>6496685.999999999</v>
      </c>
      <c r="AT358" s="9" t="n">
        <f aca="false" ca="false" dt2D="false" dtr="false" t="normal">+S358-AS358</f>
        <v>-4764160.3999999985</v>
      </c>
      <c r="AU358" s="9" t="e">
        <f aca="false" ca="false" dt2D="false" dtr="false" t="normal">+P358-'[5]Приложение №1'!$P473</f>
        <v>#REF!</v>
      </c>
      <c r="AV358" s="9" t="e">
        <f aca="false" ca="false" dt2D="false" dtr="false" t="normal">+Q358-'[5]Приложение №1'!$Q473</f>
        <v>#REF!</v>
      </c>
      <c r="AW358" s="186" t="n">
        <f aca="false" ca="true" dt2D="false" dtr="false" t="normal">SUBTOTAL(9, AX358:BL358)</f>
        <v>6161971.9008879205</v>
      </c>
      <c r="AX358" s="106" t="n"/>
      <c r="AY358" s="106" t="n">
        <v>2560521.69850193</v>
      </c>
      <c r="AZ358" s="106" t="n">
        <v>2678283.04359687</v>
      </c>
      <c r="BA358" s="106" t="n"/>
      <c r="BB358" s="106" t="n">
        <v>0</v>
      </c>
      <c r="BC358" s="106" t="n"/>
      <c r="BD358" s="106" t="n"/>
      <c r="BE358" s="106" t="n"/>
      <c r="BF358" s="106" t="n"/>
      <c r="BG358" s="106" t="n"/>
      <c r="BH358" s="106" t="n"/>
      <c r="BI358" s="106" t="n"/>
      <c r="BJ358" s="106" t="n">
        <v>766420.451978828</v>
      </c>
      <c r="BK358" s="114" t="n"/>
      <c r="BL358" s="187" t="n">
        <v>156746.706810293</v>
      </c>
      <c r="BM358" s="186" t="n">
        <f aca="false" ca="true" dt2D="false" dtr="false" t="normal">SUBTOTAL(9, BN358:CB358)</f>
        <v>3325738.7587891207</v>
      </c>
      <c r="BN358" s="106" t="n"/>
      <c r="BO358" s="106" t="n">
        <v>751912.8</v>
      </c>
      <c r="BP358" s="106" t="n">
        <v>1650658.8</v>
      </c>
      <c r="BQ358" s="106" t="n"/>
      <c r="BR358" s="106" t="n">
        <v>0</v>
      </c>
      <c r="BS358" s="106" t="n"/>
      <c r="BT358" s="106" t="n"/>
      <c r="BU358" s="106" t="n"/>
      <c r="BV358" s="106" t="n"/>
      <c r="BW358" s="106" t="n"/>
      <c r="BX358" s="106" t="n"/>
      <c r="BY358" s="106" t="n"/>
      <c r="BZ358" s="106" t="n">
        <v>766420.451978828</v>
      </c>
      <c r="CA358" s="114" t="n"/>
      <c r="CB358" s="115" t="n">
        <v>156746.706810293</v>
      </c>
      <c r="CD358" s="116" t="n">
        <f aca="false" ca="false" dt2D="false" dtr="false" t="normal">+CD357+1</f>
        <v>339</v>
      </c>
      <c r="CE358" s="117" t="n">
        <f aca="false" ca="false" dt2D="false" dtr="false" t="normal">+CE357+1</f>
        <v>151</v>
      </c>
      <c r="CF358" s="104" t="s">
        <v>430</v>
      </c>
      <c r="CG358" s="117" t="s">
        <v>431</v>
      </c>
      <c r="CH358" s="118" t="n">
        <f aca="false" ca="true" dt2D="false" dtr="false" t="normal">SUBTOTAL(9, CI358:CW358)</f>
        <v>2760745.886810293</v>
      </c>
      <c r="CI358" s="114" t="n"/>
      <c r="CJ358" s="114" t="n">
        <v>751912.8</v>
      </c>
      <c r="CK358" s="114" t="n">
        <v>1650658.8</v>
      </c>
      <c r="CL358" s="114" t="n"/>
      <c r="CM358" s="114" t="n">
        <v>0</v>
      </c>
      <c r="CN358" s="114" t="n"/>
      <c r="CO358" s="114" t="n"/>
      <c r="CP358" s="114" t="n"/>
      <c r="CQ358" s="114" t="n"/>
      <c r="CR358" s="114" t="n"/>
      <c r="CS358" s="114" t="n"/>
      <c r="CT358" s="114" t="n"/>
      <c r="CU358" s="114" t="n">
        <v>196427.58</v>
      </c>
      <c r="CV358" s="114" t="n">
        <v>5000</v>
      </c>
      <c r="CW358" s="115" t="n">
        <v>156746.706810293</v>
      </c>
      <c r="CZ358" s="117" t="s">
        <v>431</v>
      </c>
      <c r="DA358" s="119" t="n">
        <f aca="false" ca="true" dt2D="false" dtr="false" t="normal">SUBTOTAL(9, DB358:DP358)</f>
        <v>2603999.18</v>
      </c>
      <c r="DB358" s="114" t="n"/>
      <c r="DC358" s="114" t="n">
        <v>751912.8</v>
      </c>
      <c r="DD358" s="114" t="n">
        <v>1650658.8</v>
      </c>
      <c r="DE358" s="114" t="n"/>
      <c r="DF358" s="114" t="n">
        <v>0</v>
      </c>
      <c r="DG358" s="114" t="n"/>
      <c r="DH358" s="114" t="n"/>
      <c r="DI358" s="114" t="n"/>
      <c r="DJ358" s="114" t="n"/>
      <c r="DK358" s="114" t="n"/>
      <c r="DL358" s="114" t="n"/>
      <c r="DM358" s="114" t="n"/>
      <c r="DN358" s="114" t="n">
        <v>196427.58</v>
      </c>
      <c r="DO358" s="114" t="n">
        <v>5000</v>
      </c>
      <c r="DP358" s="122" t="n"/>
      <c r="DQ358" s="3" t="n">
        <f aca="false" ca="false" dt2D="false" dtr="false" t="normal">N358-DA358</f>
        <v>0</v>
      </c>
      <c r="DS358" s="9" t="n"/>
    </row>
    <row customFormat="true" hidden="false" ht="15" outlineLevel="0" r="359" s="129">
      <c r="A359" s="183" t="n">
        <f aca="false" ca="false" dt2D="false" dtr="false" t="normal">+A358+1</f>
        <v>340</v>
      </c>
      <c r="B359" s="184" t="n">
        <f aca="false" ca="false" dt2D="false" dtr="false" t="normal">+B358+1</f>
        <v>152</v>
      </c>
      <c r="C359" s="117" t="s">
        <v>430</v>
      </c>
      <c r="D359" s="117" t="s">
        <v>433</v>
      </c>
      <c r="E359" s="105" t="s">
        <v>432</v>
      </c>
      <c r="F359" s="105" t="s">
        <v>432</v>
      </c>
      <c r="G359" s="105" t="s">
        <v>68</v>
      </c>
      <c r="H359" s="105" t="s">
        <v>187</v>
      </c>
      <c r="I359" s="105" t="s">
        <v>187</v>
      </c>
      <c r="J359" s="106" t="n">
        <v>2747.6</v>
      </c>
      <c r="K359" s="106" t="n">
        <v>2270.63</v>
      </c>
      <c r="L359" s="106" t="n">
        <v>217.6</v>
      </c>
      <c r="M359" s="107" t="n">
        <v>95</v>
      </c>
      <c r="N359" s="108" t="n">
        <f aca="false" ca="false" dt2D="false" dtr="false" t="normal">SUM(P359:T359)</f>
        <v>6615764.220000001</v>
      </c>
      <c r="O359" s="114" t="n">
        <v>0</v>
      </c>
      <c r="P359" s="114" t="n">
        <v>914621.28</v>
      </c>
      <c r="Q359" s="114" t="n">
        <v>0</v>
      </c>
      <c r="R359" s="114" t="n">
        <v>1168307.843</v>
      </c>
      <c r="S359" s="114" t="n">
        <v>4532835.097</v>
      </c>
      <c r="T359" s="114" t="n"/>
      <c r="U359" s="114" t="n">
        <v>3258.73462377116</v>
      </c>
      <c r="V359" s="114" t="n">
        <v>1414.283020064</v>
      </c>
      <c r="W359" s="185" t="n">
        <v>2023</v>
      </c>
      <c r="X359" s="129" t="n">
        <v>551877.51</v>
      </c>
      <c r="Y359" s="129" t="n">
        <f aca="false" ca="false" dt2D="false" dtr="false" t="normal">+(K359*9.1+L359*18.19)*12</f>
        <v>295450.524</v>
      </c>
      <c r="AA359" s="130" t="e">
        <f aca="false" ca="false" dt2D="false" dtr="false" t="normal">+N359-'[8]Приложение № 2'!E440</f>
        <v>#REF!</v>
      </c>
      <c r="AD359" s="130" t="e">
        <f aca="false" ca="false" dt2D="false" dtr="false" t="normal">+N359-'[8]Приложение № 2'!E440</f>
        <v>#REF!</v>
      </c>
      <c r="AP359" s="112" t="n">
        <f aca="false" ca="false" dt2D="false" dtr="false" t="normal">+N359-'Приложение №1'!CD359</f>
        <v>6615424.220000001</v>
      </c>
      <c r="AQ359" s="121" t="n">
        <v>878513.45</v>
      </c>
      <c r="AR359" s="3" t="n">
        <f aca="false" ca="false" dt2D="false" dtr="false" t="normal">+(K359*10.5+L359*21)*12*0.85</f>
        <v>289794.393</v>
      </c>
      <c r="AS359" s="3" t="n">
        <f aca="false" ca="false" dt2D="false" dtr="false" t="normal">+(K359*10.5+L359*21)*12*30</f>
        <v>10228037.4</v>
      </c>
      <c r="AT359" s="9" t="n">
        <f aca="false" ca="false" dt2D="false" dtr="false" t="normal">+S359-AS359</f>
        <v>-5695202.303</v>
      </c>
      <c r="AU359" s="9" t="e">
        <f aca="false" ca="false" dt2D="false" dtr="false" t="normal">+P359-'[5]Приложение №1'!$P474</f>
        <v>#REF!</v>
      </c>
      <c r="AV359" s="9" t="e">
        <f aca="false" ca="false" dt2D="false" dtr="false" t="normal">+Q359-'[5]Приложение №1'!$Q474</f>
        <v>#REF!</v>
      </c>
      <c r="AW359" s="186" t="n">
        <f aca="false" ca="true" dt2D="false" dtr="false" t="normal">SUBTOTAL(9, AX359:BL359)</f>
        <v>15250257.820993342</v>
      </c>
      <c r="AX359" s="106" t="n">
        <v>7236891.74176671</v>
      </c>
      <c r="AY359" s="106" t="n">
        <v>3349337.17707257</v>
      </c>
      <c r="AZ359" s="106" t="n">
        <v>3482256.46338055</v>
      </c>
      <c r="BA359" s="106" t="n"/>
      <c r="BB359" s="106" t="n"/>
      <c r="BC359" s="106" t="n"/>
      <c r="BD359" s="106" t="n">
        <v>268700.928464877</v>
      </c>
      <c r="BE359" s="106" t="n"/>
      <c r="BF359" s="106" t="n"/>
      <c r="BG359" s="106" t="n"/>
      <c r="BH359" s="106" t="n"/>
      <c r="BI359" s="106" t="n"/>
      <c r="BJ359" s="106" t="n">
        <v>550712.36</v>
      </c>
      <c r="BK359" s="114" t="n"/>
      <c r="BL359" s="187" t="n">
        <v>362359.150308636</v>
      </c>
      <c r="BM359" s="186" t="n">
        <f aca="false" ca="true" dt2D="false" dtr="false" t="normal">SUBTOTAL(9, BN359:CB359)</f>
        <v>7399380.598773514</v>
      </c>
      <c r="BN359" s="106" t="n">
        <v>3671016.16</v>
      </c>
      <c r="BO359" s="106" t="n">
        <v>553302</v>
      </c>
      <c r="BP359" s="106" t="n">
        <v>1993290</v>
      </c>
      <c r="BQ359" s="106" t="n"/>
      <c r="BR359" s="106" t="n"/>
      <c r="BS359" s="106" t="n"/>
      <c r="BT359" s="106" t="n">
        <v>268700.928464877</v>
      </c>
      <c r="BU359" s="106" t="n"/>
      <c r="BV359" s="106" t="n"/>
      <c r="BW359" s="106" t="n"/>
      <c r="BX359" s="106" t="n"/>
      <c r="BY359" s="106" t="n"/>
      <c r="BZ359" s="106" t="n">
        <v>550712.36</v>
      </c>
      <c r="CA359" s="114" t="n"/>
      <c r="CB359" s="115" t="n">
        <v>362359.150308636</v>
      </c>
      <c r="CD359" s="116" t="n">
        <f aca="false" ca="false" dt2D="false" dtr="false" t="normal">+CD358+1</f>
        <v>340</v>
      </c>
      <c r="CE359" s="117" t="n">
        <f aca="false" ca="false" dt2D="false" dtr="false" t="normal">+CE358+1</f>
        <v>152</v>
      </c>
      <c r="CF359" s="104" t="s">
        <v>430</v>
      </c>
      <c r="CG359" s="117" t="s">
        <v>433</v>
      </c>
      <c r="CH359" s="118" t="n">
        <f aca="false" ca="true" dt2D="false" dtr="false" t="normal">SUBTOTAL(9, CI359:CW359)</f>
        <v>6978123.370308636</v>
      </c>
      <c r="CI359" s="114" t="n">
        <v>3671016.16</v>
      </c>
      <c r="CJ359" s="114" t="n">
        <v>553302</v>
      </c>
      <c r="CK359" s="114" t="n">
        <v>1993290</v>
      </c>
      <c r="CL359" s="114" t="n"/>
      <c r="CM359" s="114" t="n"/>
      <c r="CN359" s="114" t="n"/>
      <c r="CO359" s="114" t="n"/>
      <c r="CP359" s="114" t="n"/>
      <c r="CQ359" s="114" t="n"/>
      <c r="CR359" s="114" t="n"/>
      <c r="CS359" s="114" t="n"/>
      <c r="CT359" s="114" t="n"/>
      <c r="CU359" s="114" t="n">
        <v>390656.06</v>
      </c>
      <c r="CV359" s="114" t="n">
        <v>7500</v>
      </c>
      <c r="CW359" s="115" t="n">
        <v>362359.150308636</v>
      </c>
      <c r="CZ359" s="117" t="s">
        <v>433</v>
      </c>
      <c r="DA359" s="119" t="n">
        <f aca="false" ca="true" dt2D="false" dtr="false" t="normal">SUBTOTAL(9, DB359:DP359)</f>
        <v>6615764.22</v>
      </c>
      <c r="DB359" s="114" t="n">
        <v>3671016.16</v>
      </c>
      <c r="DC359" s="114" t="n">
        <v>553302</v>
      </c>
      <c r="DD359" s="114" t="n">
        <v>1993290</v>
      </c>
      <c r="DE359" s="114" t="n"/>
      <c r="DF359" s="114" t="n"/>
      <c r="DG359" s="114" t="n"/>
      <c r="DH359" s="114" t="n"/>
      <c r="DI359" s="114" t="n"/>
      <c r="DJ359" s="114" t="n"/>
      <c r="DK359" s="114" t="n"/>
      <c r="DL359" s="114" t="n"/>
      <c r="DM359" s="114" t="n"/>
      <c r="DN359" s="114" t="n">
        <v>390656.06</v>
      </c>
      <c r="DO359" s="114" t="n">
        <v>7500</v>
      </c>
      <c r="DP359" s="122" t="n"/>
      <c r="DQ359" s="3" t="n">
        <f aca="false" ca="false" dt2D="false" dtr="false" t="normal">N359-DA359</f>
        <v>0</v>
      </c>
      <c r="DS359" s="9" t="n"/>
    </row>
    <row customFormat="true" hidden="false" ht="15" outlineLevel="0" r="360" s="129">
      <c r="A360" s="183" t="n">
        <f aca="false" ca="false" dt2D="false" dtr="false" t="normal">+A359+1</f>
        <v>341</v>
      </c>
      <c r="B360" s="184" t="n">
        <f aca="false" ca="false" dt2D="false" dtr="false" t="normal">+B359+1</f>
        <v>153</v>
      </c>
      <c r="C360" s="117" t="s">
        <v>430</v>
      </c>
      <c r="D360" s="117" t="s">
        <v>434</v>
      </c>
      <c r="E360" s="105" t="s">
        <v>310</v>
      </c>
      <c r="F360" s="105" t="s">
        <v>310</v>
      </c>
      <c r="G360" s="105" t="s">
        <v>68</v>
      </c>
      <c r="H360" s="105" t="s">
        <v>187</v>
      </c>
      <c r="I360" s="105" t="s">
        <v>187</v>
      </c>
      <c r="J360" s="106" t="n">
        <v>2879</v>
      </c>
      <c r="K360" s="106" t="n">
        <v>2169.3</v>
      </c>
      <c r="L360" s="106" t="n">
        <v>217.3</v>
      </c>
      <c r="M360" s="107" t="n">
        <v>116</v>
      </c>
      <c r="N360" s="108" t="n">
        <f aca="false" ca="false" dt2D="false" dtr="false" t="normal">SUM(P360:T360)</f>
        <v>17328320.75</v>
      </c>
      <c r="O360" s="114" t="n">
        <v>0</v>
      </c>
      <c r="P360" s="114" t="n">
        <f aca="false" ca="false" dt2D="false" dtr="false" t="normal">3458722.26+2937997.16</f>
        <v>6396719.42</v>
      </c>
      <c r="Q360" s="114" t="n">
        <v>0</v>
      </c>
      <c r="R360" s="114" t="n">
        <v>1102859.33</v>
      </c>
      <c r="S360" s="114" t="n">
        <v>9828742</v>
      </c>
      <c r="T360" s="114" t="n"/>
      <c r="U360" s="114" t="n">
        <v>11963.0686847177</v>
      </c>
      <c r="V360" s="114" t="n">
        <v>1415.283020064</v>
      </c>
      <c r="W360" s="185" t="n">
        <v>2023</v>
      </c>
      <c r="X360" s="129" t="n">
        <v>487955.39</v>
      </c>
      <c r="Y360" s="129" t="n">
        <f aca="false" ca="false" dt2D="false" dtr="false" t="normal">+(K360*9.1+L360*18.19)*12</f>
        <v>284319.804</v>
      </c>
      <c r="AA360" s="130" t="e">
        <f aca="false" ca="false" dt2D="false" dtr="false" t="normal">+N360-'[8]Приложение № 2'!E441</f>
        <v>#REF!</v>
      </c>
      <c r="AD360" s="130" t="e">
        <f aca="false" ca="false" dt2D="false" dtr="false" t="normal">+N360-'[8]Приложение № 2'!E441</f>
        <v>#REF!</v>
      </c>
      <c r="AP360" s="112" t="n">
        <f aca="false" ca="false" dt2D="false" dtr="false" t="normal">+N360-'Приложение №1'!CD360</f>
        <v>17327979.75</v>
      </c>
      <c r="AQ360" s="121" t="n">
        <v>823981.64</v>
      </c>
      <c r="AR360" s="3" t="n">
        <f aca="false" ca="false" dt2D="false" dtr="false" t="normal">+(K360*10.5+L360*21)*12*0.85</f>
        <v>278877.69</v>
      </c>
      <c r="AS360" s="3" t="n">
        <f aca="false" ca="false" dt2D="false" dtr="false" t="normal">+(K360*10.5+L360*21)*12*30</f>
        <v>9842742</v>
      </c>
      <c r="AT360" s="9" t="n">
        <f aca="false" ca="false" dt2D="false" dtr="false" t="normal">+S360-AS360</f>
        <v>-14000</v>
      </c>
      <c r="AU360" s="9" t="e">
        <f aca="false" ca="false" dt2D="false" dtr="false" t="normal">+P360-'[5]Приложение №1'!$P475</f>
        <v>#REF!</v>
      </c>
      <c r="AV360" s="9" t="e">
        <f aca="false" ca="false" dt2D="false" dtr="false" t="normal">+Q360-'[5]Приложение №1'!$Q475</f>
        <v>#REF!</v>
      </c>
      <c r="AW360" s="186" t="n">
        <f aca="false" ca="true" dt2D="false" dtr="false" t="normal">SUBTOTAL(9, AX360:BL360)</f>
        <v>25951484.89775807</v>
      </c>
      <c r="AX360" s="106" t="n">
        <v>7588162.50958214</v>
      </c>
      <c r="AY360" s="106" t="n">
        <v>3513749.88851652</v>
      </c>
      <c r="AZ360" s="106" t="n">
        <v>3648800.90724076</v>
      </c>
      <c r="BA360" s="106" t="n"/>
      <c r="BB360" s="106" t="n"/>
      <c r="BC360" s="106" t="n"/>
      <c r="BD360" s="106" t="n">
        <v>281551.162123446</v>
      </c>
      <c r="BE360" s="106" t="n"/>
      <c r="BF360" s="106" t="n"/>
      <c r="BG360" s="106" t="n"/>
      <c r="BH360" s="106" t="n"/>
      <c r="BI360" s="106" t="n">
        <v>9770786.18714718</v>
      </c>
      <c r="BJ360" s="106" t="n">
        <v>606041.76</v>
      </c>
      <c r="BK360" s="114" t="n"/>
      <c r="BL360" s="187" t="n">
        <v>542392.483148023</v>
      </c>
      <c r="BM360" s="186" t="n">
        <f aca="false" ca="true" dt2D="false" dtr="false" t="normal">SUBTOTAL(9, BN360:CB360)</f>
        <v>19890698.982418653</v>
      </c>
      <c r="BN360" s="106" t="n">
        <v>4837764.19</v>
      </c>
      <c r="BO360" s="106" t="n">
        <v>1918622.4</v>
      </c>
      <c r="BP360" s="106" t="n">
        <v>1933540.8</v>
      </c>
      <c r="BQ360" s="106" t="n"/>
      <c r="BR360" s="106" t="n"/>
      <c r="BS360" s="106" t="n"/>
      <c r="BT360" s="106" t="n">
        <v>281551.162123446</v>
      </c>
      <c r="BU360" s="106" t="n"/>
      <c r="BV360" s="106" t="n"/>
      <c r="BW360" s="106" t="n"/>
      <c r="BX360" s="106" t="n"/>
      <c r="BY360" s="106" t="n">
        <v>9770786.18714718</v>
      </c>
      <c r="BZ360" s="106" t="n">
        <v>606041.76</v>
      </c>
      <c r="CA360" s="114" t="n"/>
      <c r="CB360" s="115" t="n">
        <v>542392.483148023</v>
      </c>
      <c r="CD360" s="116" t="n">
        <f aca="false" ca="false" dt2D="false" dtr="false" t="normal">+CD359+1</f>
        <v>341</v>
      </c>
      <c r="CE360" s="117" t="n">
        <f aca="false" ca="false" dt2D="false" dtr="false" t="normal">+CE359+1</f>
        <v>153</v>
      </c>
      <c r="CF360" s="104" t="s">
        <v>430</v>
      </c>
      <c r="CG360" s="117" t="s">
        <v>434</v>
      </c>
      <c r="CH360" s="118" t="n">
        <f aca="false" ca="true" dt2D="false" dtr="false" t="normal">SUBTOTAL(9, CI360:CW360)</f>
        <v>17870713.233148023</v>
      </c>
      <c r="CI360" s="114" t="n">
        <v>4837764.19</v>
      </c>
      <c r="CJ360" s="114" t="n">
        <v>1918622.4</v>
      </c>
      <c r="CK360" s="114" t="n">
        <v>1933540.8</v>
      </c>
      <c r="CL360" s="114" t="n"/>
      <c r="CM360" s="114" t="n"/>
      <c r="CN360" s="114" t="n"/>
      <c r="CO360" s="114" t="n"/>
      <c r="CP360" s="114" t="n"/>
      <c r="CQ360" s="114" t="n"/>
      <c r="CR360" s="114" t="n"/>
      <c r="CS360" s="114" t="n"/>
      <c r="CT360" s="114" t="n">
        <v>8046351.6</v>
      </c>
      <c r="CU360" s="114" t="n">
        <v>582041.76</v>
      </c>
      <c r="CV360" s="114" t="n">
        <v>10000</v>
      </c>
      <c r="CW360" s="115" t="n">
        <v>542392.483148023</v>
      </c>
      <c r="CZ360" s="117" t="s">
        <v>434</v>
      </c>
      <c r="DA360" s="119" t="n">
        <f aca="false" ca="true" dt2D="false" dtr="false" t="normal">SUBTOTAL(9, DB360:DP360)</f>
        <v>17328320.75</v>
      </c>
      <c r="DB360" s="114" t="n">
        <v>4837764.19</v>
      </c>
      <c r="DC360" s="114" t="n">
        <v>1918622.4</v>
      </c>
      <c r="DD360" s="114" t="n">
        <v>1933540.8</v>
      </c>
      <c r="DE360" s="114" t="n"/>
      <c r="DF360" s="114" t="n"/>
      <c r="DG360" s="114" t="n"/>
      <c r="DH360" s="114" t="n"/>
      <c r="DI360" s="114" t="n"/>
      <c r="DJ360" s="114" t="n"/>
      <c r="DK360" s="114" t="n"/>
      <c r="DL360" s="114" t="n"/>
      <c r="DM360" s="114" t="n">
        <v>8046351.6</v>
      </c>
      <c r="DN360" s="114" t="n">
        <v>582041.76</v>
      </c>
      <c r="DO360" s="114" t="n">
        <v>10000</v>
      </c>
      <c r="DP360" s="122" t="n"/>
      <c r="DQ360" s="3" t="n">
        <f aca="false" ca="false" dt2D="false" dtr="false" t="normal">N360-DA360</f>
        <v>0</v>
      </c>
      <c r="DS360" s="9" t="n"/>
    </row>
    <row customFormat="true" hidden="false" ht="15" outlineLevel="0" r="361" s="129">
      <c r="A361" s="183" t="n">
        <f aca="false" ca="false" dt2D="false" dtr="false" t="normal">+A360+1</f>
        <v>342</v>
      </c>
      <c r="B361" s="184" t="n">
        <f aca="false" ca="false" dt2D="false" dtr="false" t="normal">+B360+1</f>
        <v>154</v>
      </c>
      <c r="C361" s="117" t="s">
        <v>430</v>
      </c>
      <c r="D361" s="117" t="s">
        <v>435</v>
      </c>
      <c r="E361" s="105" t="s">
        <v>436</v>
      </c>
      <c r="F361" s="105" t="s">
        <v>436</v>
      </c>
      <c r="G361" s="105" t="s">
        <v>68</v>
      </c>
      <c r="H361" s="105" t="s">
        <v>104</v>
      </c>
      <c r="I361" s="105" t="s">
        <v>187</v>
      </c>
      <c r="J361" s="106" t="n">
        <v>3412.5</v>
      </c>
      <c r="K361" s="106" t="n">
        <v>2249.4</v>
      </c>
      <c r="L361" s="106" t="n">
        <v>936.2</v>
      </c>
      <c r="M361" s="107" t="n">
        <v>105</v>
      </c>
      <c r="N361" s="108" t="n">
        <f aca="false" ca="false" dt2D="false" dtr="false" t="normal">SUM(P361:T361)</f>
        <v>18898820.960000046</v>
      </c>
      <c r="O361" s="114" t="n">
        <v>0</v>
      </c>
      <c r="P361" s="114" t="n">
        <v>4350097.22</v>
      </c>
      <c r="Q361" s="114" t="n">
        <v>0</v>
      </c>
      <c r="R361" s="114" t="n">
        <v>509739.716107144</v>
      </c>
      <c r="S361" s="114" t="n">
        <v>14038984.0238929</v>
      </c>
      <c r="T361" s="132" t="n"/>
      <c r="U361" s="114" t="n">
        <v>11384.4345519022</v>
      </c>
      <c r="V361" s="114" t="n">
        <v>1416.283020064</v>
      </c>
      <c r="W361" s="185" t="n">
        <v>2023</v>
      </c>
      <c r="X361" s="129" t="n">
        <v>550816.85</v>
      </c>
      <c r="Y361" s="129" t="n">
        <f aca="false" ca="false" dt2D="false" dtr="false" t="normal">+(K361*9.1+L361*18.19)*12</f>
        <v>449988.216</v>
      </c>
      <c r="AA361" s="130" t="e">
        <f aca="false" ca="false" dt2D="false" dtr="false" t="normal">+N361-'[8]Приложение № 2'!E442</f>
        <v>#REF!</v>
      </c>
      <c r="AD361" s="130" t="e">
        <f aca="false" ca="false" dt2D="false" dtr="false" t="normal">+N361-'[8]Приложение № 2'!E442</f>
        <v>#REF!</v>
      </c>
      <c r="AP361" s="112" t="n">
        <f aca="false" ca="false" dt2D="false" dtr="false" t="normal">+N361-'Приложение №1'!CD361</f>
        <v>18898478.960000046</v>
      </c>
      <c r="AQ361" s="121" t="n">
        <v>906295.96</v>
      </c>
      <c r="AR361" s="3" t="n">
        <f aca="false" ca="false" dt2D="false" dtr="false" t="normal">+(K361*10.5+L361*21)*12*0.85</f>
        <v>441444.78</v>
      </c>
      <c r="AS361" s="3" t="n">
        <f aca="false" ca="false" dt2D="false" dtr="false" t="normal">+(K361*10.5+L361*21)*12*30</f>
        <v>15580404.000000002</v>
      </c>
      <c r="AT361" s="9" t="n">
        <f aca="false" ca="false" dt2D="false" dtr="false" t="normal">+S361-AS361</f>
        <v>-1541419.976107102</v>
      </c>
      <c r="AU361" s="9" t="e">
        <f aca="false" ca="false" dt2D="false" dtr="false" t="normal">+P361-'[5]Приложение №1'!$P476</f>
        <v>#REF!</v>
      </c>
      <c r="AV361" s="9" t="e">
        <f aca="false" ca="false" dt2D="false" dtr="false" t="normal">+Q361-'[5]Приложение №1'!$Q476</f>
        <v>#REF!</v>
      </c>
      <c r="AW361" s="186" t="n">
        <f aca="false" ca="true" dt2D="false" dtr="false" t="normal">SUBTOTAL(9, AX361:BL361)</f>
        <v>31007203.63903568</v>
      </c>
      <c r="AX361" s="106" t="n">
        <v>8973350.9449416</v>
      </c>
      <c r="AY361" s="106" t="n">
        <v>4153394.86123128</v>
      </c>
      <c r="AZ361" s="106" t="n">
        <v>4321667.29675565</v>
      </c>
      <c r="BA361" s="106" t="n"/>
      <c r="BB361" s="106" t="n"/>
      <c r="BC361" s="106" t="n"/>
      <c r="BD361" s="106" t="n">
        <v>333724.675493664</v>
      </c>
      <c r="BE361" s="106" t="n"/>
      <c r="BF361" s="106" t="n"/>
      <c r="BG361" s="106" t="n"/>
      <c r="BH361" s="106" t="n"/>
      <c r="BI361" s="106" t="n">
        <v>11566981.3199955</v>
      </c>
      <c r="BJ361" s="106" t="n">
        <v>955846.37</v>
      </c>
      <c r="BK361" s="114" t="n"/>
      <c r="BL361" s="187" t="n">
        <v>702238.170617981</v>
      </c>
      <c r="BM361" s="186" t="n">
        <f aca="false" ca="true" dt2D="false" dtr="false" t="normal">SUBTOTAL(9, BN361:CB361)</f>
        <v>20440240.936107147</v>
      </c>
      <c r="BN361" s="106" t="n">
        <v>3853039.2</v>
      </c>
      <c r="BO361" s="106" t="n">
        <v>1198699.2</v>
      </c>
      <c r="BP361" s="106" t="n">
        <v>1829712</v>
      </c>
      <c r="BQ361" s="106" t="n"/>
      <c r="BR361" s="106" t="n"/>
      <c r="BS361" s="106" t="n"/>
      <c r="BT361" s="106" t="n">
        <v>333724.675493664</v>
      </c>
      <c r="BU361" s="106" t="n"/>
      <c r="BV361" s="106" t="n"/>
      <c r="BW361" s="106" t="n"/>
      <c r="BX361" s="106" t="n"/>
      <c r="BY361" s="106" t="n">
        <v>11566981.3199955</v>
      </c>
      <c r="BZ361" s="106" t="n">
        <v>955846.37</v>
      </c>
      <c r="CA361" s="114" t="n"/>
      <c r="CB361" s="115" t="n">
        <v>702238.170617981</v>
      </c>
      <c r="CD361" s="116" t="n">
        <f aca="false" ca="false" dt2D="false" dtr="false" t="normal">+CD360+1</f>
        <v>342</v>
      </c>
      <c r="CE361" s="117" t="n">
        <f aca="false" ca="false" dt2D="false" dtr="false" t="normal">+CE360+1</f>
        <v>154</v>
      </c>
      <c r="CF361" s="104" t="s">
        <v>430</v>
      </c>
      <c r="CG361" s="117" t="s">
        <v>435</v>
      </c>
      <c r="CH361" s="118" t="n">
        <f aca="false" ca="true" dt2D="false" dtr="false" t="normal">SUBTOTAL(9, CI361:CW361)</f>
        <v>19601059.130617984</v>
      </c>
      <c r="CI361" s="114" t="n">
        <v>3853039.2</v>
      </c>
      <c r="CJ361" s="114" t="n">
        <v>1198699.2</v>
      </c>
      <c r="CK361" s="114" t="n">
        <v>1829712</v>
      </c>
      <c r="CL361" s="114" t="n"/>
      <c r="CM361" s="114" t="n"/>
      <c r="CN361" s="114" t="n"/>
      <c r="CO361" s="114" t="n"/>
      <c r="CP361" s="114" t="n"/>
      <c r="CQ361" s="114" t="n"/>
      <c r="CR361" s="114" t="n"/>
      <c r="CS361" s="114" t="n"/>
      <c r="CT361" s="114" t="n">
        <v>11256530.4</v>
      </c>
      <c r="CU361" s="114" t="n">
        <v>751240.16</v>
      </c>
      <c r="CV361" s="114" t="n">
        <v>9600</v>
      </c>
      <c r="CW361" s="115" t="n">
        <v>702238.170617981</v>
      </c>
      <c r="CZ361" s="117" t="s">
        <v>435</v>
      </c>
      <c r="DA361" s="119" t="n">
        <f aca="false" ca="true" dt2D="false" dtr="false" t="normal">SUBTOTAL(9, DB361:DP361)</f>
        <v>18898820.96</v>
      </c>
      <c r="DB361" s="114" t="n">
        <v>3853039.2</v>
      </c>
      <c r="DC361" s="114" t="n">
        <v>1198699.2</v>
      </c>
      <c r="DD361" s="114" t="n">
        <v>1829712</v>
      </c>
      <c r="DE361" s="114" t="n"/>
      <c r="DF361" s="114" t="n"/>
      <c r="DG361" s="114" t="n"/>
      <c r="DH361" s="114" t="n"/>
      <c r="DI361" s="114" t="n"/>
      <c r="DJ361" s="114" t="n"/>
      <c r="DK361" s="114" t="n"/>
      <c r="DL361" s="114" t="n"/>
      <c r="DM361" s="114" t="n">
        <v>11256530.4</v>
      </c>
      <c r="DN361" s="114" t="n">
        <v>751240.16</v>
      </c>
      <c r="DO361" s="114" t="n">
        <v>9600</v>
      </c>
      <c r="DP361" s="122" t="n"/>
      <c r="DQ361" s="3" t="n"/>
      <c r="DS361" s="9" t="n"/>
    </row>
    <row customFormat="true" hidden="false" ht="15" outlineLevel="0" r="362" s="129">
      <c r="A362" s="183" t="n">
        <f aca="false" ca="false" dt2D="false" dtr="false" t="normal">+A361+1</f>
        <v>343</v>
      </c>
      <c r="B362" s="184" t="n">
        <f aca="false" ca="false" dt2D="false" dtr="false" t="normal">+B361+1</f>
        <v>155</v>
      </c>
      <c r="C362" s="117" t="s">
        <v>430</v>
      </c>
      <c r="D362" s="117" t="s">
        <v>437</v>
      </c>
      <c r="E362" s="105" t="s">
        <v>438</v>
      </c>
      <c r="F362" s="105" t="s">
        <v>438</v>
      </c>
      <c r="G362" s="105" t="s">
        <v>68</v>
      </c>
      <c r="H362" s="105" t="s">
        <v>104</v>
      </c>
      <c r="I362" s="105" t="s">
        <v>105</v>
      </c>
      <c r="J362" s="106" t="n">
        <v>1792.2</v>
      </c>
      <c r="K362" s="106" t="n">
        <v>1275</v>
      </c>
      <c r="L362" s="106" t="n">
        <v>170.8</v>
      </c>
      <c r="M362" s="107" t="n">
        <v>51</v>
      </c>
      <c r="N362" s="108" t="n">
        <f aca="false" ca="false" dt2D="false" dtr="false" t="normal">SUM(P362:T362)</f>
        <v>8140752.16</v>
      </c>
      <c r="O362" s="114" t="n">
        <v>0</v>
      </c>
      <c r="P362" s="114" t="n">
        <v>1966186.66</v>
      </c>
      <c r="Q362" s="114" t="n">
        <v>0</v>
      </c>
      <c r="R362" s="114" t="n">
        <v>709963.21</v>
      </c>
      <c r="S362" s="114" t="n">
        <v>5464602.29</v>
      </c>
      <c r="T362" s="114" t="n"/>
      <c r="U362" s="114" t="n">
        <v>6590.29534901961</v>
      </c>
      <c r="V362" s="114" t="n">
        <v>1417.283020064</v>
      </c>
      <c r="W362" s="185" t="n">
        <v>2023</v>
      </c>
      <c r="X362" s="129" t="n">
        <v>339010.26</v>
      </c>
      <c r="Y362" s="129" t="n">
        <f aca="false" ca="false" dt2D="false" dtr="false" t="normal">+(K362*9.1+L362*18.19)*12</f>
        <v>176512.22400000002</v>
      </c>
      <c r="AA362" s="130" t="e">
        <f aca="false" ca="false" dt2D="false" dtr="false" t="normal">+N362-'[8]Приложение № 2'!E443</f>
        <v>#REF!</v>
      </c>
      <c r="AD362" s="130" t="e">
        <f aca="false" ca="false" dt2D="false" dtr="false" t="normal">+N362-'[8]Приложение № 2'!E443</f>
        <v>#REF!</v>
      </c>
      <c r="AP362" s="112" t="n">
        <f aca="false" ca="false" dt2D="false" dtr="false" t="normal">+N362-'Приложение №1'!CD362</f>
        <v>8140409.16</v>
      </c>
      <c r="AQ362" s="121" t="n">
        <v>536825.35</v>
      </c>
      <c r="AR362" s="3" t="n">
        <f aca="false" ca="false" dt2D="false" dtr="false" t="normal">+(K362*10.5+L362*21)*12*0.85</f>
        <v>173137.86</v>
      </c>
      <c r="AS362" s="3" t="n">
        <f aca="false" ca="false" dt2D="false" dtr="false" t="normal">+(K362*10.5+L362*21)*12*30</f>
        <v>6110747.999999999</v>
      </c>
      <c r="AT362" s="9" t="n">
        <f aca="false" ca="false" dt2D="false" dtr="false" t="normal">+S362-AS362</f>
        <v>-646145.709999999</v>
      </c>
      <c r="AU362" s="9" t="e">
        <f aca="false" ca="false" dt2D="false" dtr="false" t="normal">+P362-'[5]Приложение №1'!$P477</f>
        <v>#REF!</v>
      </c>
      <c r="AV362" s="9" t="e">
        <f aca="false" ca="false" dt2D="false" dtr="false" t="normal">+Q362-'[5]Приложение №1'!$Q477</f>
        <v>#REF!</v>
      </c>
      <c r="AW362" s="186" t="n">
        <f aca="false" ca="true" dt2D="false" dtr="false" t="normal">SUBTOTAL(9, AX362:BL362)</f>
        <v>11745078.04509074</v>
      </c>
      <c r="AX362" s="106" t="n"/>
      <c r="AY362" s="106" t="n"/>
      <c r="AZ362" s="106" t="n"/>
      <c r="BA362" s="106" t="n"/>
      <c r="BB362" s="106" t="n"/>
      <c r="BC362" s="106" t="n"/>
      <c r="BD362" s="106" t="n"/>
      <c r="BE362" s="106" t="n"/>
      <c r="BF362" s="106" t="n">
        <v>11243583.8777898</v>
      </c>
      <c r="BG362" s="106" t="n"/>
      <c r="BH362" s="106" t="n"/>
      <c r="BI362" s="106" t="n"/>
      <c r="BJ362" s="106" t="n">
        <v>255619.76</v>
      </c>
      <c r="BK362" s="114" t="n"/>
      <c r="BL362" s="187" t="n">
        <v>245874.407300941</v>
      </c>
      <c r="BM362" s="186" t="n">
        <f aca="false" ca="true" dt2D="false" dtr="false" t="normal">SUBTOTAL(9, BN362:CB362)</f>
        <v>8402626.567300942</v>
      </c>
      <c r="BN362" s="106" t="n"/>
      <c r="BO362" s="106" t="n"/>
      <c r="BP362" s="106" t="n"/>
      <c r="BQ362" s="106" t="n"/>
      <c r="BR362" s="106" t="n"/>
      <c r="BS362" s="106" t="n"/>
      <c r="BT362" s="106" t="n"/>
      <c r="BU362" s="106" t="n"/>
      <c r="BV362" s="106" t="n">
        <v>7901132.4</v>
      </c>
      <c r="BW362" s="106" t="n"/>
      <c r="BX362" s="106" t="n"/>
      <c r="BY362" s="106" t="n"/>
      <c r="BZ362" s="106" t="n">
        <v>255619.76</v>
      </c>
      <c r="CA362" s="114" t="n"/>
      <c r="CB362" s="115" t="n">
        <v>245874.407300941</v>
      </c>
      <c r="CD362" s="116" t="n">
        <f aca="false" ca="false" dt2D="false" dtr="false" t="normal">+CD361+1</f>
        <v>343</v>
      </c>
      <c r="CE362" s="117" t="n">
        <f aca="false" ca="false" dt2D="false" dtr="false" t="normal">+CE361+1</f>
        <v>155</v>
      </c>
      <c r="CF362" s="104" t="s">
        <v>430</v>
      </c>
      <c r="CG362" s="117" t="s">
        <v>437</v>
      </c>
      <c r="CH362" s="118" t="n">
        <f aca="false" ca="true" dt2D="false" dtr="false" t="normal">SUBTOTAL(9, CI362:CW362)</f>
        <v>8386626.567300941</v>
      </c>
      <c r="CI362" s="114" t="n"/>
      <c r="CJ362" s="114" t="n"/>
      <c r="CK362" s="114" t="n"/>
      <c r="CL362" s="114" t="n"/>
      <c r="CM362" s="114" t="n"/>
      <c r="CN362" s="114" t="n"/>
      <c r="CO362" s="114" t="n"/>
      <c r="CP362" s="114" t="n"/>
      <c r="CQ362" s="114" t="n">
        <v>7901132.4</v>
      </c>
      <c r="CR362" s="114" t="n"/>
      <c r="CS362" s="114" t="n"/>
      <c r="CT362" s="114" t="n"/>
      <c r="CU362" s="114" t="n">
        <v>231619.76</v>
      </c>
      <c r="CV362" s="114" t="n">
        <v>8000</v>
      </c>
      <c r="CW362" s="115" t="n">
        <v>245874.407300941</v>
      </c>
      <c r="CZ362" s="117" t="s">
        <v>437</v>
      </c>
      <c r="DA362" s="119" t="n">
        <f aca="false" ca="true" dt2D="false" dtr="false" t="normal">SUBTOTAL(9, DB362:DP362)</f>
        <v>8140752.16</v>
      </c>
      <c r="DB362" s="114" t="n"/>
      <c r="DC362" s="114" t="n"/>
      <c r="DD362" s="114" t="n"/>
      <c r="DE362" s="114" t="n"/>
      <c r="DF362" s="114" t="n"/>
      <c r="DG362" s="114" t="n"/>
      <c r="DH362" s="114" t="n"/>
      <c r="DI362" s="114" t="n"/>
      <c r="DJ362" s="114" t="n">
        <v>7901132.4</v>
      </c>
      <c r="DK362" s="114" t="n"/>
      <c r="DL362" s="114" t="n"/>
      <c r="DM362" s="114" t="n"/>
      <c r="DN362" s="114" t="n">
        <v>231619.76</v>
      </c>
      <c r="DO362" s="114" t="n">
        <v>8000</v>
      </c>
      <c r="DP362" s="122" t="n"/>
      <c r="DQ362" s="3" t="n">
        <f aca="false" ca="false" dt2D="false" dtr="false" t="normal">N362-DA362</f>
        <v>0</v>
      </c>
      <c r="DS362" s="9" t="n"/>
    </row>
    <row customFormat="true" hidden="false" ht="15" outlineLevel="0" r="363" s="129">
      <c r="A363" s="183" t="n">
        <f aca="false" ca="false" dt2D="false" dtr="false" t="normal">+A362+1</f>
        <v>344</v>
      </c>
      <c r="B363" s="184" t="n">
        <f aca="false" ca="false" dt2D="false" dtr="false" t="normal">+B362+1</f>
        <v>156</v>
      </c>
      <c r="C363" s="117" t="s">
        <v>430</v>
      </c>
      <c r="D363" s="117" t="s">
        <v>439</v>
      </c>
      <c r="E363" s="105" t="s">
        <v>440</v>
      </c>
      <c r="F363" s="105" t="s">
        <v>440</v>
      </c>
      <c r="G363" s="105" t="s">
        <v>68</v>
      </c>
      <c r="H363" s="105" t="n">
        <v>5</v>
      </c>
      <c r="I363" s="105" t="s">
        <v>232</v>
      </c>
      <c r="J363" s="106" t="n">
        <v>2036.3</v>
      </c>
      <c r="K363" s="106" t="n">
        <v>1337.75</v>
      </c>
      <c r="L363" s="106" t="n">
        <v>476.4</v>
      </c>
      <c r="M363" s="107" t="n">
        <v>93</v>
      </c>
      <c r="N363" s="108" t="n">
        <f aca="false" ca="false" dt2D="false" dtr="false" t="normal">SUM(P363:T363)</f>
        <v>24916959.259999998</v>
      </c>
      <c r="O363" s="114" t="n">
        <v>0</v>
      </c>
      <c r="P363" s="114" t="n">
        <v>11204690.85</v>
      </c>
      <c r="Q363" s="114" t="n">
        <v>0</v>
      </c>
      <c r="R363" s="114" t="n">
        <v>767419.945</v>
      </c>
      <c r="S363" s="114" t="n">
        <v>12944848.465</v>
      </c>
      <c r="T363" s="114" t="n"/>
      <c r="U363" s="114" t="n">
        <v>16083.6585049523</v>
      </c>
      <c r="V363" s="114" t="n">
        <v>1418.283020064</v>
      </c>
      <c r="W363" s="185" t="n">
        <v>2023</v>
      </c>
      <c r="X363" s="129" t="n">
        <v>322443.77</v>
      </c>
      <c r="Y363" s="129" t="n">
        <f aca="false" ca="false" dt2D="false" dtr="false" t="normal">+(K363*9.1+L363*18.19)*12</f>
        <v>250070.89200000002</v>
      </c>
      <c r="AA363" s="130" t="e">
        <f aca="false" ca="false" dt2D="false" dtr="false" t="normal">+N363-'[8]Приложение № 2'!E444</f>
        <v>#REF!</v>
      </c>
      <c r="AD363" s="130" t="e">
        <f aca="false" ca="false" dt2D="false" dtr="false" t="normal">+N363-'[8]Приложение № 2'!E444</f>
        <v>#REF!</v>
      </c>
      <c r="AP363" s="112" t="n">
        <f aca="false" ca="false" dt2D="false" dtr="false" t="normal">+N363-'Приложение №1'!CD363</f>
        <v>24916615.259999998</v>
      </c>
      <c r="AQ363" s="121" t="n">
        <v>522102.04</v>
      </c>
      <c r="AR363" s="3" t="n">
        <f aca="false" ca="false" dt2D="false" dtr="false" t="normal">+(K363*10.5+L363*21)*12*0.85</f>
        <v>245317.90500000003</v>
      </c>
      <c r="AS363" s="3" t="n">
        <f aca="false" ca="false" dt2D="false" dtr="false" t="normal">+(K363*10.5+L363*21)*12*30</f>
        <v>8658279.000000002</v>
      </c>
      <c r="AT363" s="9" t="n">
        <f aca="false" ca="false" dt2D="false" dtr="false" t="normal">+S363-AS363</f>
        <v>4286569.464999998</v>
      </c>
      <c r="AU363" s="9" t="e">
        <f aca="false" ca="false" dt2D="false" dtr="false" t="normal">+P363-'[5]Приложение №1'!$P478</f>
        <v>#REF!</v>
      </c>
      <c r="AV363" s="9" t="e">
        <f aca="false" ca="false" dt2D="false" dtr="false" t="normal">+Q363-'[5]Приложение №1'!$Q478</f>
        <v>#REF!</v>
      </c>
      <c r="AW363" s="186" t="n">
        <f aca="false" ca="true" dt2D="false" dtr="false" t="normal">SUBTOTAL(9, AX363:BL363)</f>
        <v>31710390.692750443</v>
      </c>
      <c r="AX363" s="106" t="n">
        <v>5279497.55084096</v>
      </c>
      <c r="AY363" s="106" t="n">
        <v>2417886.24642836</v>
      </c>
      <c r="AZ363" s="106" t="n">
        <v>2564648.5</v>
      </c>
      <c r="BA363" s="106" t="n"/>
      <c r="BB363" s="106" t="n"/>
      <c r="BC363" s="106" t="n"/>
      <c r="BD363" s="106" t="n">
        <v>199139.503797142</v>
      </c>
      <c r="BE363" s="106" t="n"/>
      <c r="BF363" s="106" t="n">
        <v>12823226.4901615</v>
      </c>
      <c r="BG363" s="106" t="n"/>
      <c r="BH363" s="106" t="n">
        <v>6542541.6</v>
      </c>
      <c r="BI363" s="106" t="n"/>
      <c r="BJ363" s="106" t="n">
        <v>1197065.94</v>
      </c>
      <c r="BK363" s="114" t="n"/>
      <c r="BL363" s="187" t="n">
        <v>686384.86152248</v>
      </c>
      <c r="BM363" s="186" t="n">
        <f aca="false" ca="true" dt2D="false" dtr="false" t="normal">SUBTOTAL(9, BN363:CB363)</f>
        <v>25982532.855319623</v>
      </c>
      <c r="BN363" s="106" t="n">
        <v>2354587.2</v>
      </c>
      <c r="BO363" s="106" t="n">
        <v>1865384.4</v>
      </c>
      <c r="BP363" s="106" t="n">
        <v>2468315.46</v>
      </c>
      <c r="BQ363" s="106" t="n"/>
      <c r="BR363" s="106" t="n"/>
      <c r="BS363" s="106" t="n"/>
      <c r="BT363" s="106" t="n">
        <v>199139.503797142</v>
      </c>
      <c r="BU363" s="106" t="n"/>
      <c r="BV363" s="106" t="n">
        <v>6202495.2</v>
      </c>
      <c r="BW363" s="106" t="n"/>
      <c r="BX363" s="106" t="n">
        <v>11009160.29</v>
      </c>
      <c r="BY363" s="106" t="n"/>
      <c r="BZ363" s="106" t="n">
        <v>1197065.94</v>
      </c>
      <c r="CA363" s="114" t="n"/>
      <c r="CB363" s="115" t="n">
        <v>686384.86152248</v>
      </c>
      <c r="CD363" s="116" t="n">
        <f aca="false" ca="false" dt2D="false" dtr="false" t="normal">+CD362+1</f>
        <v>344</v>
      </c>
      <c r="CE363" s="117" t="n">
        <f aca="false" ca="false" dt2D="false" dtr="false" t="normal">+CE362+1</f>
        <v>156</v>
      </c>
      <c r="CF363" s="104" t="s">
        <v>430</v>
      </c>
      <c r="CG363" s="117" t="s">
        <v>439</v>
      </c>
      <c r="CH363" s="118" t="n">
        <f aca="false" ca="true" dt2D="false" dtr="false" t="normal">SUBTOTAL(9, CI363:CW363)</f>
        <v>25603344.12152248</v>
      </c>
      <c r="CI363" s="114" t="n">
        <v>2354587.2</v>
      </c>
      <c r="CJ363" s="114" t="n">
        <v>1865384.4</v>
      </c>
      <c r="CK363" s="114" t="n">
        <v>2468315.46</v>
      </c>
      <c r="CL363" s="114" t="n"/>
      <c r="CM363" s="114" t="n"/>
      <c r="CN363" s="114" t="n"/>
      <c r="CO363" s="114" t="n"/>
      <c r="CP363" s="114" t="n"/>
      <c r="CQ363" s="114" t="n">
        <v>6202495.2</v>
      </c>
      <c r="CR363" s="114" t="n"/>
      <c r="CS363" s="114" t="n">
        <v>11009160.29</v>
      </c>
      <c r="CT363" s="114" t="n"/>
      <c r="CU363" s="114" t="n">
        <v>1007016.71</v>
      </c>
      <c r="CV363" s="114" t="n">
        <v>10000</v>
      </c>
      <c r="CW363" s="115" t="n">
        <v>686384.86152248</v>
      </c>
      <c r="CZ363" s="117" t="s">
        <v>439</v>
      </c>
      <c r="DA363" s="119" t="n">
        <f aca="false" ca="true" dt2D="false" dtr="false" t="normal">SUBTOTAL(9, DB363:DP363)</f>
        <v>24916959.259999998</v>
      </c>
      <c r="DB363" s="114" t="n">
        <v>2354587.2</v>
      </c>
      <c r="DC363" s="114" t="n">
        <v>1865384.4</v>
      </c>
      <c r="DD363" s="114" t="n">
        <v>2468315.46</v>
      </c>
      <c r="DE363" s="114" t="n"/>
      <c r="DF363" s="114" t="n"/>
      <c r="DG363" s="114" t="n"/>
      <c r="DH363" s="114" t="n"/>
      <c r="DI363" s="114" t="n"/>
      <c r="DJ363" s="114" t="n">
        <v>6202495.2</v>
      </c>
      <c r="DK363" s="114" t="n"/>
      <c r="DL363" s="114" t="n">
        <v>11009160.29</v>
      </c>
      <c r="DM363" s="114" t="n"/>
      <c r="DN363" s="114" t="n">
        <v>1007016.71</v>
      </c>
      <c r="DO363" s="114" t="n">
        <v>10000</v>
      </c>
      <c r="DP363" s="122" t="n"/>
      <c r="DQ363" s="3" t="n">
        <f aca="false" ca="false" dt2D="false" dtr="false" t="normal">N363-DA363</f>
        <v>0</v>
      </c>
      <c r="DS363" s="9" t="n"/>
    </row>
    <row customFormat="true" hidden="false" ht="15" outlineLevel="0" r="364" s="129">
      <c r="A364" s="183" t="n">
        <f aca="false" ca="false" dt2D="false" dtr="false" t="normal">+A363+1</f>
        <v>345</v>
      </c>
      <c r="B364" s="184" t="n">
        <f aca="false" ca="false" dt2D="false" dtr="false" t="normal">+B363+1</f>
        <v>157</v>
      </c>
      <c r="C364" s="104" t="s">
        <v>259</v>
      </c>
      <c r="D364" s="104" t="s">
        <v>441</v>
      </c>
      <c r="E364" s="105" t="s">
        <v>432</v>
      </c>
      <c r="F364" s="105" t="s">
        <v>432</v>
      </c>
      <c r="G364" s="105" t="s">
        <v>68</v>
      </c>
      <c r="H364" s="105" t="s">
        <v>104</v>
      </c>
      <c r="I364" s="105" t="s">
        <v>187</v>
      </c>
      <c r="J364" s="106" t="n">
        <v>3929.7</v>
      </c>
      <c r="K364" s="106" t="n">
        <v>2523.6</v>
      </c>
      <c r="L364" s="106" t="n">
        <v>522.65</v>
      </c>
      <c r="M364" s="107" t="n">
        <v>69</v>
      </c>
      <c r="N364" s="108" t="n">
        <f aca="false" ca="false" dt2D="false" dtr="false" t="normal">SUM(P364:T364)</f>
        <v>7749923.509999995</v>
      </c>
      <c r="O364" s="106" t="n">
        <v>0</v>
      </c>
      <c r="P364" s="114" t="n"/>
      <c r="Q364" s="114" t="n">
        <v>0</v>
      </c>
      <c r="R364" s="114" t="n">
        <v>975572.597990575</v>
      </c>
      <c r="S364" s="114" t="n">
        <v>6774350.91200942</v>
      </c>
      <c r="T364" s="190" t="n"/>
      <c r="U364" s="114" t="n">
        <v>3349.0698517523</v>
      </c>
      <c r="V364" s="114" t="n">
        <v>1419.283020064</v>
      </c>
      <c r="W364" s="185" t="n">
        <v>2023</v>
      </c>
      <c r="X364" s="129" t="n">
        <v>1250711.5</v>
      </c>
      <c r="Y364" s="129" t="n">
        <f aca="false" ca="false" dt2D="false" dtr="false" t="normal">+(K364*9.1+L364*18.19)*12</f>
        <v>389661.162</v>
      </c>
      <c r="AA364" s="130" t="e">
        <f aca="false" ca="false" dt2D="false" dtr="false" t="normal">+N364-'[8]Приложение № 2'!E445</f>
        <v>#REF!</v>
      </c>
      <c r="AD364" s="130" t="e">
        <f aca="false" ca="false" dt2D="false" dtr="false" t="normal">+N364-'[8]Приложение № 2'!E445</f>
        <v>#REF!</v>
      </c>
      <c r="AP364" s="112" t="n">
        <f aca="false" ca="false" dt2D="false" dtr="false" t="normal">+N364-'Приложение №2'!E364</f>
        <v>0</v>
      </c>
      <c r="AQ364" s="129" t="n">
        <f aca="false" ca="false" dt2D="false" dtr="false" t="normal">2118935.66-998484.23</f>
        <v>1120451.4300000002</v>
      </c>
      <c r="AR364" s="3" t="n">
        <f aca="false" ca="false" dt2D="false" dtr="false" t="normal">+(K364*10.5+L364*21)*12*0.85</f>
        <v>382229.18999999994</v>
      </c>
      <c r="AS364" s="3" t="n">
        <f aca="false" ca="false" dt2D="false" dtr="false" t="normal">+(K364*10.5+L364*21)*12*30-2437490.96</f>
        <v>11052951.04</v>
      </c>
      <c r="AT364" s="9" t="n">
        <f aca="false" ca="false" dt2D="false" dtr="false" t="normal">+S364-AS364</f>
        <v>-4278600.127990579</v>
      </c>
      <c r="AU364" s="9" t="e">
        <f aca="false" ca="false" dt2D="false" dtr="false" t="normal">+P364-'[5]Приложение №1'!$P479</f>
        <v>#REF!</v>
      </c>
      <c r="AV364" s="9" t="e">
        <f aca="false" ca="false" dt2D="false" dtr="false" t="normal">+Q364-'[5]Приложение №1'!$Q479</f>
        <v>#REF!</v>
      </c>
      <c r="AW364" s="186" t="n">
        <f aca="false" ca="true" dt2D="false" dtr="false" t="normal">SUBTOTAL(9, AX364:BL364)</f>
        <v>8451712.677882098</v>
      </c>
      <c r="AX364" s="106" t="n"/>
      <c r="AY364" s="106" t="n"/>
      <c r="AZ364" s="106" t="n"/>
      <c r="BA364" s="106" t="n"/>
      <c r="BB364" s="106" t="n"/>
      <c r="BC364" s="106" t="n"/>
      <c r="BD364" s="106" t="n"/>
      <c r="BE364" s="106" t="n"/>
      <c r="BF364" s="106" t="n"/>
      <c r="BG364" s="106" t="n"/>
      <c r="BH364" s="106" t="n"/>
      <c r="BI364" s="106" t="n">
        <v>7987989.22200942</v>
      </c>
      <c r="BJ364" s="106" t="n">
        <v>289042.31</v>
      </c>
      <c r="BK364" s="114" t="n"/>
      <c r="BL364" s="187" t="n">
        <v>174681.145872677</v>
      </c>
      <c r="BM364" s="186" t="n">
        <f aca="false" ca="true" dt2D="false" dtr="false" t="normal">SUBTOTAL(9, BN364:CB364)</f>
        <v>8451712.677882098</v>
      </c>
      <c r="BN364" s="106" t="n"/>
      <c r="BO364" s="106" t="n"/>
      <c r="BP364" s="106" t="n"/>
      <c r="BQ364" s="106" t="n"/>
      <c r="BR364" s="106" t="n"/>
      <c r="BS364" s="106" t="n"/>
      <c r="BT364" s="106" t="n"/>
      <c r="BU364" s="106" t="n"/>
      <c r="BV364" s="106" t="n"/>
      <c r="BW364" s="106" t="n"/>
      <c r="BX364" s="106" t="n"/>
      <c r="BY364" s="106" t="n">
        <v>7987989.22200942</v>
      </c>
      <c r="BZ364" s="106" t="n">
        <v>289042.31</v>
      </c>
      <c r="CA364" s="114" t="n"/>
      <c r="CB364" s="115" t="n">
        <v>174681.145872677</v>
      </c>
      <c r="CD364" s="116" t="n">
        <f aca="false" ca="false" dt2D="false" dtr="false" t="normal">+CD363+1</f>
        <v>345</v>
      </c>
      <c r="CE364" s="117" t="n">
        <f aca="false" ca="false" dt2D="false" dtr="false" t="normal">+CE363+1</f>
        <v>157</v>
      </c>
      <c r="CF364" s="104" t="s">
        <v>442</v>
      </c>
      <c r="CG364" s="117" t="s">
        <v>441</v>
      </c>
      <c r="CH364" s="188" t="n">
        <f aca="false" ca="true" dt2D="false" dtr="false" t="normal">SUBTOTAL(9, CI364:CW364)</f>
        <v>7924604.6558726765</v>
      </c>
      <c r="CI364" s="114" t="n"/>
      <c r="CJ364" s="114" t="n"/>
      <c r="CK364" s="114" t="n"/>
      <c r="CL364" s="114" t="n"/>
      <c r="CM364" s="114" t="n"/>
      <c r="CN364" s="114" t="n"/>
      <c r="CO364" s="114" t="n"/>
      <c r="CP364" s="114" t="n"/>
      <c r="CQ364" s="114" t="n"/>
      <c r="CR364" s="114" t="n"/>
      <c r="CS364" s="114" t="n"/>
      <c r="CT364" s="114" t="n">
        <v>7460881.2</v>
      </c>
      <c r="CU364" s="114" t="n">
        <v>265042.31</v>
      </c>
      <c r="CV364" s="114" t="n">
        <v>24000</v>
      </c>
      <c r="CW364" s="115" t="n">
        <v>174681.145872677</v>
      </c>
      <c r="CZ364" s="117" t="s">
        <v>441</v>
      </c>
      <c r="DA364" s="189" t="n">
        <f aca="false" ca="true" dt2D="false" dtr="false" t="normal">SUBTOTAL(9, DB364:DP364)</f>
        <v>7749923.51</v>
      </c>
      <c r="DB364" s="114" t="n"/>
      <c r="DC364" s="114" t="n"/>
      <c r="DD364" s="114" t="n"/>
      <c r="DE364" s="114" t="n"/>
      <c r="DF364" s="114" t="n"/>
      <c r="DG364" s="114" t="n"/>
      <c r="DH364" s="114" t="n"/>
      <c r="DI364" s="114" t="n"/>
      <c r="DJ364" s="114" t="n"/>
      <c r="DK364" s="114" t="n"/>
      <c r="DL364" s="114" t="n"/>
      <c r="DM364" s="114" t="n">
        <v>7460881.2</v>
      </c>
      <c r="DN364" s="114" t="n">
        <v>265042.31</v>
      </c>
      <c r="DO364" s="114" t="n">
        <v>24000</v>
      </c>
      <c r="DP364" s="122" t="n"/>
      <c r="DQ364" s="3" t="n">
        <f aca="false" ca="false" dt2D="false" dtr="false" t="normal">N364-DA364</f>
        <v>0</v>
      </c>
      <c r="DS364" s="9" t="n"/>
    </row>
    <row customFormat="true" hidden="false" ht="15" outlineLevel="0" r="365" s="129">
      <c r="A365" s="183" t="n">
        <f aca="false" ca="false" dt2D="false" dtr="false" t="normal">+A364+1</f>
        <v>346</v>
      </c>
      <c r="B365" s="184" t="n">
        <f aca="false" ca="false" dt2D="false" dtr="false" t="normal">+B364+1</f>
        <v>158</v>
      </c>
      <c r="C365" s="104" t="s">
        <v>259</v>
      </c>
      <c r="D365" s="104" t="s">
        <v>443</v>
      </c>
      <c r="E365" s="105" t="s">
        <v>436</v>
      </c>
      <c r="F365" s="105" t="s">
        <v>436</v>
      </c>
      <c r="G365" s="105" t="s">
        <v>68</v>
      </c>
      <c r="H365" s="105" t="s">
        <v>104</v>
      </c>
      <c r="I365" s="105" t="s">
        <v>187</v>
      </c>
      <c r="J365" s="106" t="n">
        <v>3705.9</v>
      </c>
      <c r="K365" s="106" t="n">
        <v>2552.3</v>
      </c>
      <c r="L365" s="106" t="n">
        <v>0</v>
      </c>
      <c r="M365" s="107" t="n">
        <v>82</v>
      </c>
      <c r="N365" s="108" t="n">
        <f aca="false" ca="false" dt2D="false" dtr="false" t="normal">SUM(P365:T365)</f>
        <v>6034759.850000001</v>
      </c>
      <c r="O365" s="106" t="n">
        <v>0</v>
      </c>
      <c r="P365" s="114" t="n"/>
      <c r="Q365" s="114" t="n">
        <v>0</v>
      </c>
      <c r="R365" s="114" t="n">
        <v>1256520.67413137</v>
      </c>
      <c r="S365" s="114" t="n">
        <v>4778239.17586863</v>
      </c>
      <c r="T365" s="190" t="n"/>
      <c r="U365" s="114" t="n">
        <v>2948.22617462074</v>
      </c>
      <c r="V365" s="114" t="n">
        <v>1420.283020064</v>
      </c>
      <c r="W365" s="185" t="n">
        <v>2023</v>
      </c>
      <c r="X365" s="129" t="n">
        <v>631825.71</v>
      </c>
      <c r="Y365" s="129" t="n">
        <f aca="false" ca="false" dt2D="false" dtr="false" t="normal">+(K365*9.1+L365*18.19)*12</f>
        <v>278711.16000000003</v>
      </c>
      <c r="AA365" s="130" t="e">
        <f aca="false" ca="false" dt2D="false" dtr="false" t="normal">+N365-'[8]Приложение № 2'!E446</f>
        <v>#REF!</v>
      </c>
      <c r="AD365" s="130" t="e">
        <f aca="false" ca="false" dt2D="false" dtr="false" t="normal">+N365-'[8]Приложение № 2'!E446</f>
        <v>#REF!</v>
      </c>
      <c r="AP365" s="112" t="n">
        <f aca="false" ca="false" dt2D="false" dtr="false" t="normal">+N365-'Приложение №2'!E365</f>
        <v>0</v>
      </c>
      <c r="AQ365" s="121" t="n">
        <v>1021583.37</v>
      </c>
      <c r="AR365" s="3" t="n">
        <f aca="false" ca="false" dt2D="false" dtr="false" t="normal">+(K365*10.5+L365*21)*12*0.85</f>
        <v>273351.33</v>
      </c>
      <c r="AS365" s="3" t="n">
        <f aca="false" ca="false" dt2D="false" dtr="false" t="normal">+(K365*10.5+L365*21)*12*30</f>
        <v>9647694.000000002</v>
      </c>
      <c r="AT365" s="9" t="n">
        <f aca="false" ca="false" dt2D="false" dtr="false" t="normal">+S365-AS365</f>
        <v>-4869454.824131371</v>
      </c>
      <c r="AU365" s="9" t="e">
        <f aca="false" ca="false" dt2D="false" dtr="false" t="normal">+P365-'[5]Приложение №1'!$P480</f>
        <v>#REF!</v>
      </c>
      <c r="AV365" s="9" t="e">
        <f aca="false" ca="false" dt2D="false" dtr="false" t="normal">+Q365-'[5]Приложение №1'!$Q480</f>
        <v>#REF!</v>
      </c>
      <c r="AW365" s="186" t="n">
        <f aca="false" ca="true" dt2D="false" dtr="false" t="normal">SUBTOTAL(9, AX365:BL365)</f>
        <v>7524757.66548452</v>
      </c>
      <c r="AX365" s="106" t="n"/>
      <c r="AY365" s="106" t="n"/>
      <c r="AZ365" s="106" t="n"/>
      <c r="BA365" s="106" t="n"/>
      <c r="BB365" s="106" t="n"/>
      <c r="BC365" s="106" t="n"/>
      <c r="BD365" s="106" t="n"/>
      <c r="BE365" s="106" t="n"/>
      <c r="BF365" s="106" t="n"/>
      <c r="BG365" s="106" t="n"/>
      <c r="BH365" s="106" t="n"/>
      <c r="BI365" s="106" t="n">
        <v>7090316.16135315</v>
      </c>
      <c r="BJ365" s="106" t="n">
        <v>279390.65</v>
      </c>
      <c r="BK365" s="114" t="n"/>
      <c r="BL365" s="187" t="n">
        <v>155050.854131369</v>
      </c>
      <c r="BM365" s="186" t="n">
        <f aca="false" ca="true" dt2D="false" dtr="false" t="normal">SUBTOTAL(9, BN365:CB365)</f>
        <v>7524757.66548452</v>
      </c>
      <c r="BN365" s="106" t="n"/>
      <c r="BO365" s="106" t="n"/>
      <c r="BP365" s="106" t="n"/>
      <c r="BQ365" s="106" t="n"/>
      <c r="BR365" s="106" t="n"/>
      <c r="BS365" s="106" t="n"/>
      <c r="BT365" s="106" t="n"/>
      <c r="BU365" s="106" t="n"/>
      <c r="BV365" s="106" t="n"/>
      <c r="BW365" s="106" t="n"/>
      <c r="BX365" s="106" t="n"/>
      <c r="BY365" s="106" t="n">
        <v>7090316.16135315</v>
      </c>
      <c r="BZ365" s="106" t="n">
        <v>279390.65</v>
      </c>
      <c r="CA365" s="114" t="n"/>
      <c r="CB365" s="115" t="n">
        <v>155050.854131369</v>
      </c>
      <c r="CD365" s="116" t="n">
        <f aca="false" ca="false" dt2D="false" dtr="false" t="normal">+CD364+1</f>
        <v>346</v>
      </c>
      <c r="CE365" s="117" t="n">
        <f aca="false" ca="false" dt2D="false" dtr="false" t="normal">+CE364+1</f>
        <v>158</v>
      </c>
      <c r="CF365" s="104" t="s">
        <v>442</v>
      </c>
      <c r="CG365" s="117" t="s">
        <v>443</v>
      </c>
      <c r="CH365" s="188" t="n">
        <f aca="false" ca="true" dt2D="false" dtr="false" t="normal">SUBTOTAL(9, CI365:CW365)</f>
        <v>6189810.7041313695</v>
      </c>
      <c r="CI365" s="114" t="n"/>
      <c r="CJ365" s="114" t="n"/>
      <c r="CK365" s="114" t="n"/>
      <c r="CL365" s="114" t="n"/>
      <c r="CM365" s="114" t="n"/>
      <c r="CN365" s="114" t="n"/>
      <c r="CO365" s="114" t="n"/>
      <c r="CP365" s="114" t="n"/>
      <c r="CQ365" s="114" t="n"/>
      <c r="CR365" s="114" t="n"/>
      <c r="CS365" s="114" t="n"/>
      <c r="CT365" s="114" t="n">
        <v>5755369.2</v>
      </c>
      <c r="CU365" s="114" t="n">
        <v>255390.65</v>
      </c>
      <c r="CV365" s="114" t="n">
        <v>24000</v>
      </c>
      <c r="CW365" s="115" t="n">
        <v>155050.854131369</v>
      </c>
      <c r="CZ365" s="117" t="s">
        <v>443</v>
      </c>
      <c r="DA365" s="189" t="n">
        <f aca="false" ca="true" dt2D="false" dtr="false" t="normal">SUBTOTAL(9, DB365:DP365)</f>
        <v>6034759.850000001</v>
      </c>
      <c r="DB365" s="114" t="n"/>
      <c r="DC365" s="114" t="n"/>
      <c r="DD365" s="114" t="n"/>
      <c r="DE365" s="114" t="n"/>
      <c r="DF365" s="114" t="n"/>
      <c r="DG365" s="114" t="n"/>
      <c r="DH365" s="114" t="n"/>
      <c r="DI365" s="114" t="n"/>
      <c r="DJ365" s="114" t="n"/>
      <c r="DK365" s="114" t="n"/>
      <c r="DL365" s="114" t="n"/>
      <c r="DM365" s="114" t="n">
        <v>5755369.2</v>
      </c>
      <c r="DN365" s="114" t="n">
        <v>255390.65</v>
      </c>
      <c r="DO365" s="114" t="n">
        <v>24000</v>
      </c>
      <c r="DP365" s="122" t="n"/>
      <c r="DQ365" s="3" t="n">
        <f aca="false" ca="false" dt2D="false" dtr="false" t="normal">N365-DA365</f>
        <v>0</v>
      </c>
      <c r="DS365" s="9" t="n"/>
    </row>
    <row hidden="false" ht="15" outlineLevel="0" r="366">
      <c r="A366" s="183" t="n">
        <f aca="false" ca="false" dt2D="false" dtr="false" t="normal">+A365+1</f>
        <v>347</v>
      </c>
      <c r="B366" s="184" t="n">
        <f aca="false" ca="false" dt2D="false" dtr="false" t="normal">+B365+1</f>
        <v>159</v>
      </c>
      <c r="C366" s="117" t="s">
        <v>259</v>
      </c>
      <c r="D366" s="117" t="s">
        <v>444</v>
      </c>
      <c r="E366" s="105" t="n">
        <v>1974</v>
      </c>
      <c r="F366" s="105" t="n">
        <v>1980</v>
      </c>
      <c r="G366" s="105" t="s">
        <v>68</v>
      </c>
      <c r="H366" s="105" t="n">
        <v>4</v>
      </c>
      <c r="I366" s="105" t="n">
        <v>4</v>
      </c>
      <c r="J366" s="106" t="n">
        <v>3718.5</v>
      </c>
      <c r="K366" s="106" t="n">
        <v>2628.2</v>
      </c>
      <c r="L366" s="106" t="n">
        <v>61.4</v>
      </c>
      <c r="M366" s="107" t="n">
        <v>99</v>
      </c>
      <c r="N366" s="108" t="n">
        <f aca="false" ca="false" dt2D="false" dtr="false" t="normal">SUM(P366:T366)</f>
        <v>8204171.48</v>
      </c>
      <c r="O366" s="114" t="n"/>
      <c r="P366" s="114" t="n">
        <v>3595408.55</v>
      </c>
      <c r="Q366" s="114" t="n"/>
      <c r="R366" s="114" t="n">
        <v>1380937.2</v>
      </c>
      <c r="S366" s="114" t="n">
        <v>3227825.73</v>
      </c>
      <c r="T366" s="114" t="n">
        <v>0</v>
      </c>
      <c r="U366" s="106" t="n">
        <v>7331.11015415857</v>
      </c>
      <c r="V366" s="106" t="n">
        <v>7331.11015415857</v>
      </c>
      <c r="W366" s="185" t="n">
        <v>2023</v>
      </c>
      <c r="X366" s="9" t="e">
        <f aca="false" ca="false" dt2D="false" dtr="false" t="normal">+#REF!-'[9]Приложение №1'!$P1269</f>
        <v>#REF!</v>
      </c>
      <c r="Z366" s="113" t="n">
        <f aca="false" ca="false" dt2D="false" dtr="false" t="normal">SUM(AA366:AO366)</f>
        <v>14517653.370000001</v>
      </c>
      <c r="AA366" s="106" t="n">
        <v>0</v>
      </c>
      <c r="AB366" s="106" t="n">
        <v>0</v>
      </c>
      <c r="AC366" s="106" t="n">
        <v>0</v>
      </c>
      <c r="AD366" s="106" t="n">
        <v>0</v>
      </c>
      <c r="AE366" s="106" t="n">
        <v>0</v>
      </c>
      <c r="AF366" s="106" t="n"/>
      <c r="AG366" s="106" t="n">
        <v>0</v>
      </c>
      <c r="AH366" s="106" t="n">
        <v>0</v>
      </c>
      <c r="AI366" s="106" t="n">
        <v>12786278.0290938</v>
      </c>
      <c r="AJ366" s="106" t="n">
        <v>0</v>
      </c>
      <c r="AK366" s="106" t="n">
        <v>0</v>
      </c>
      <c r="AL366" s="106" t="n">
        <v>0</v>
      </c>
      <c r="AM366" s="106" t="n">
        <v>1306588.8033</v>
      </c>
      <c r="AN366" s="114" t="n">
        <v>145176.5337</v>
      </c>
      <c r="AO366" s="115" t="n">
        <v>279610.0039062</v>
      </c>
      <c r="AP366" s="112" t="n">
        <f aca="false" ca="false" dt2D="false" dtr="false" t="normal">+N366-'Приложение №2'!E366</f>
        <v>0</v>
      </c>
      <c r="AQ366" s="1" t="n">
        <v>1100335.2</v>
      </c>
      <c r="AR366" s="3" t="n">
        <f aca="false" ca="false" dt2D="false" dtr="false" t="normal">+(K366*10+L366*20)*12*0.85</f>
        <v>280602</v>
      </c>
      <c r="AS366" s="3" t="n">
        <f aca="false" ca="false" dt2D="false" dtr="false" t="normal">+(K366*10+L366*20)*12*30</f>
        <v>9903600</v>
      </c>
      <c r="AT366" s="9" t="n">
        <f aca="false" ca="false" dt2D="false" dtr="false" t="normal">+S366-AS366</f>
        <v>-6675774.27</v>
      </c>
      <c r="AU366" s="9" t="e">
        <f aca="false" ca="false" dt2D="false" dtr="false" t="normal">+P366-'[5]Приложение №1'!$P438</f>
        <v>#REF!</v>
      </c>
      <c r="AV366" s="9" t="e">
        <f aca="false" ca="false" dt2D="false" dtr="false" t="normal">+Q366-'[5]Приложение №1'!$Q438</f>
        <v>#REF!</v>
      </c>
      <c r="AW366" s="113" t="n">
        <f aca="false" ca="true" dt2D="false" dtr="false" t="normal">SUBTOTAL(9, AX366:BL366)</f>
        <v>19717753.870624892</v>
      </c>
      <c r="AX366" s="106" t="n">
        <v>5809436.52</v>
      </c>
      <c r="AY366" s="106" t="n">
        <v>2662659.40133753</v>
      </c>
      <c r="AZ366" s="106" t="n">
        <v>2785550.94069796</v>
      </c>
      <c r="BA366" s="106" t="n"/>
      <c r="BB366" s="106" t="n">
        <v>0</v>
      </c>
      <c r="BC366" s="106" t="n"/>
      <c r="BD366" s="106" t="n">
        <v>255018.074922584</v>
      </c>
      <c r="BE366" s="106" t="n">
        <v>0</v>
      </c>
      <c r="BF366" s="106" t="n">
        <v>6953406.85</v>
      </c>
      <c r="BG366" s="106" t="n">
        <v>0</v>
      </c>
      <c r="BH366" s="106" t="n">
        <v>0</v>
      </c>
      <c r="BI366" s="106" t="n">
        <v>0</v>
      </c>
      <c r="BJ366" s="106" t="n">
        <v>588328.4</v>
      </c>
      <c r="BK366" s="114" t="n"/>
      <c r="BL366" s="187" t="n">
        <v>663353.683666817</v>
      </c>
      <c r="BM366" s="113" t="n">
        <f aca="false" ca="true" dt2D="false" dtr="false" t="normal">SUBTOTAL(9, BN366:CB366)</f>
        <v>17952182.53992693</v>
      </c>
      <c r="BN366" s="106" t="n">
        <v>5809436.52</v>
      </c>
      <c r="BO366" s="106" t="n">
        <v>2662659.40133753</v>
      </c>
      <c r="BP366" s="106" t="n">
        <v>1019979.61</v>
      </c>
      <c r="BQ366" s="106" t="n"/>
      <c r="BR366" s="106" t="n">
        <v>0</v>
      </c>
      <c r="BS366" s="106" t="n"/>
      <c r="BT366" s="106" t="n">
        <v>255018.074922584</v>
      </c>
      <c r="BU366" s="106" t="n">
        <v>0</v>
      </c>
      <c r="BV366" s="106" t="n">
        <v>6953406.85</v>
      </c>
      <c r="BW366" s="106" t="n">
        <v>0</v>
      </c>
      <c r="BX366" s="106" t="n">
        <v>0</v>
      </c>
      <c r="BY366" s="106" t="n">
        <v>0</v>
      </c>
      <c r="BZ366" s="106" t="n">
        <v>588328.4</v>
      </c>
      <c r="CA366" s="114" t="n"/>
      <c r="CB366" s="115" t="n">
        <v>663353.683666817</v>
      </c>
      <c r="CD366" s="116" t="n">
        <f aca="false" ca="false" dt2D="false" dtr="false" t="normal">+CD365+1</f>
        <v>347</v>
      </c>
      <c r="CE366" s="117" t="n">
        <f aca="false" ca="false" dt2D="false" dtr="false" t="normal">+CE365+1</f>
        <v>159</v>
      </c>
      <c r="CF366" s="104" t="s">
        <v>259</v>
      </c>
      <c r="CG366" s="117" t="s">
        <v>444</v>
      </c>
      <c r="CH366" s="118" t="n">
        <f aca="false" ca="true" dt2D="false" dtr="false" t="normal">SUBTOTAL(9, CI366:CW366)</f>
        <v>8867525.163666816</v>
      </c>
      <c r="CI366" s="114" t="n"/>
      <c r="CJ366" s="114" t="n"/>
      <c r="CK366" s="114" t="n">
        <v>1019979.61</v>
      </c>
      <c r="CL366" s="114" t="n"/>
      <c r="CM366" s="114" t="n">
        <v>0</v>
      </c>
      <c r="CN366" s="114" t="n"/>
      <c r="CO366" s="114" t="n"/>
      <c r="CP366" s="114" t="n">
        <v>0</v>
      </c>
      <c r="CQ366" s="114" t="n">
        <v>6953406.85</v>
      </c>
      <c r="CR366" s="114" t="n">
        <v>0</v>
      </c>
      <c r="CS366" s="114" t="n">
        <v>0</v>
      </c>
      <c r="CT366" s="114" t="n">
        <v>0</v>
      </c>
      <c r="CU366" s="114" t="n">
        <v>200943.02</v>
      </c>
      <c r="CV366" s="114" t="n">
        <v>29842</v>
      </c>
      <c r="CW366" s="115" t="n">
        <v>663353.683666817</v>
      </c>
      <c r="CZ366" s="117" t="s">
        <v>444</v>
      </c>
      <c r="DA366" s="119" t="n">
        <f aca="false" ca="true" dt2D="false" dtr="false" t="normal">SUBTOTAL(9, DB366:DP366)</f>
        <v>8204171.4799999995</v>
      </c>
      <c r="DB366" s="114" t="n"/>
      <c r="DC366" s="114" t="n"/>
      <c r="DD366" s="114" t="n">
        <v>1019979.61</v>
      </c>
      <c r="DE366" s="114" t="n"/>
      <c r="DF366" s="114" t="n">
        <v>0</v>
      </c>
      <c r="DG366" s="114" t="n"/>
      <c r="DH366" s="114" t="n"/>
      <c r="DI366" s="114" t="n">
        <v>0</v>
      </c>
      <c r="DJ366" s="114" t="n">
        <v>6953406.85</v>
      </c>
      <c r="DK366" s="114" t="n">
        <v>0</v>
      </c>
      <c r="DL366" s="114" t="n">
        <v>0</v>
      </c>
      <c r="DM366" s="114" t="n">
        <v>0</v>
      </c>
      <c r="DN366" s="114" t="n">
        <v>200943.02</v>
      </c>
      <c r="DO366" s="114" t="n">
        <v>29842</v>
      </c>
      <c r="DP366" s="122" t="n"/>
      <c r="DQ366" s="3" t="n">
        <f aca="false" ca="false" dt2D="false" dtr="false" t="normal">N366-DA366</f>
        <v>0</v>
      </c>
      <c r="DS366" s="9" t="n"/>
    </row>
    <row hidden="false" ht="15" outlineLevel="0" r="367">
      <c r="A367" s="183" t="n">
        <f aca="false" ca="false" dt2D="false" dtr="false" t="normal">+A366+1</f>
        <v>348</v>
      </c>
      <c r="B367" s="184" t="n">
        <f aca="false" ca="false" dt2D="false" dtr="false" t="normal">+B366+1</f>
        <v>160</v>
      </c>
      <c r="C367" s="117" t="s">
        <v>445</v>
      </c>
      <c r="D367" s="117" t="s">
        <v>446</v>
      </c>
      <c r="E367" s="201" t="n">
        <v>1982</v>
      </c>
      <c r="F367" s="201" t="n">
        <v>1982</v>
      </c>
      <c r="G367" s="201" t="s">
        <v>447</v>
      </c>
      <c r="H367" s="201" t="n">
        <v>2</v>
      </c>
      <c r="I367" s="201" t="n">
        <v>3</v>
      </c>
      <c r="J367" s="114" t="n">
        <v>1277.5</v>
      </c>
      <c r="K367" s="114" t="n">
        <v>1102.3</v>
      </c>
      <c r="L367" s="114" t="n">
        <v>0</v>
      </c>
      <c r="M367" s="202" t="n">
        <v>34</v>
      </c>
      <c r="N367" s="108" t="n">
        <f aca="false" ca="false" dt2D="false" dtr="false" t="normal">SUM(P367:T367)</f>
        <v>2212764.58</v>
      </c>
      <c r="O367" s="114" t="n"/>
      <c r="P367" s="114" t="n">
        <v>1904728.57</v>
      </c>
      <c r="Q367" s="114" t="n"/>
      <c r="R367" s="114" t="n">
        <v>118809.601939817</v>
      </c>
      <c r="S367" s="114" t="n">
        <v>189226.408060183</v>
      </c>
      <c r="T367" s="114" t="n"/>
      <c r="U367" s="114" t="n">
        <v>6498.55449858717</v>
      </c>
      <c r="V367" s="114" t="n">
        <v>1423.283020064</v>
      </c>
      <c r="W367" s="185" t="n">
        <v>2023</v>
      </c>
      <c r="X367" s="9" t="e">
        <f aca="false" ca="false" dt2D="false" dtr="false" t="normal">+#REF!-'[9]Приложение №1'!$P138</f>
        <v>#REF!</v>
      </c>
      <c r="Z367" s="113" t="n">
        <f aca="false" ca="false" dt2D="false" dtr="false" t="normal">SUM(AA367:AO367)</f>
        <v>20938342.830000006</v>
      </c>
      <c r="AA367" s="106" t="n">
        <v>2788532.678064</v>
      </c>
      <c r="AB367" s="106" t="n">
        <v>0</v>
      </c>
      <c r="AC367" s="106" t="n">
        <v>377369.219472</v>
      </c>
      <c r="AD367" s="106" t="n">
        <v>1566144.814878</v>
      </c>
      <c r="AE367" s="106" t="n">
        <v>0</v>
      </c>
      <c r="AF367" s="106" t="n"/>
      <c r="AG367" s="106" t="n">
        <v>616763.67753</v>
      </c>
      <c r="AH367" s="106" t="n">
        <v>0</v>
      </c>
      <c r="AI367" s="106" t="n">
        <v>3422622.370734</v>
      </c>
      <c r="AJ367" s="106" t="n">
        <v>0</v>
      </c>
      <c r="AK367" s="106" t="n">
        <v>5952055.638144</v>
      </c>
      <c r="AL367" s="106" t="n">
        <v>5507536.246926</v>
      </c>
      <c r="AM367" s="106" t="n">
        <v>219906.35</v>
      </c>
      <c r="AN367" s="114" t="n">
        <v>45000.3</v>
      </c>
      <c r="AO367" s="115" t="n">
        <v>442411.534252</v>
      </c>
      <c r="AP367" s="112" t="n">
        <f aca="false" ca="false" dt2D="false" dtr="false" t="normal">+N367-'Приложение №2'!E813</f>
        <v>-5175978.56</v>
      </c>
      <c r="AQ367" s="9" t="e">
        <f aca="false" ca="false" dt2D="false" dtr="false" t="normal">397322.38-#REF!</f>
        <v>#REF!</v>
      </c>
      <c r="AR367" s="3" t="n">
        <f aca="false" ca="false" dt2D="false" dtr="false" t="normal">+(K367*7.46+L367*20.48)*12*0.85</f>
        <v>83876.2116</v>
      </c>
      <c r="AS367" s="3" t="e">
        <f aca="false" ca="false" dt2D="false" dtr="false" t="normal">+(K367*7.46+L367*20.48)*12*10-#REF!</f>
        <v>#REF!</v>
      </c>
      <c r="AT367" s="9" t="e">
        <f aca="false" ca="false" dt2D="false" dtr="false" t="normal">+S367-AS367</f>
        <v>#REF!</v>
      </c>
      <c r="AU367" s="9" t="e">
        <f aca="false" ca="false" dt2D="false" dtr="false" t="normal">+P367-'[5]Приложение №1'!$P396</f>
        <v>#REF!</v>
      </c>
      <c r="AV367" s="9" t="e">
        <f aca="false" ca="false" dt2D="false" dtr="false" t="normal">+Q367-'[5]Приложение №1'!$Q396</f>
        <v>#REF!</v>
      </c>
      <c r="AW367" s="186" t="n">
        <f aca="false" ca="true" dt2D="false" dtr="false" t="normal">SUBTOTAL(9, AX367:BL367)</f>
        <v>7163356.623792637</v>
      </c>
      <c r="AX367" s="106" t="n"/>
      <c r="AY367" s="106" t="n">
        <v>0</v>
      </c>
      <c r="AZ367" s="106" t="n">
        <v>452723.071208028</v>
      </c>
      <c r="BA367" s="106" t="n"/>
      <c r="BB367" s="106" t="n">
        <v>0</v>
      </c>
      <c r="BC367" s="106" t="n"/>
      <c r="BD367" s="106" t="n">
        <v>0</v>
      </c>
      <c r="BE367" s="106" t="n">
        <v>0</v>
      </c>
      <c r="BF367" s="106" t="n"/>
      <c r="BG367" s="106" t="n">
        <v>0</v>
      </c>
      <c r="BH367" s="106" t="n"/>
      <c r="BI367" s="106" t="n">
        <v>6561163.05312782</v>
      </c>
      <c r="BJ367" s="106" t="n"/>
      <c r="BK367" s="114" t="n"/>
      <c r="BL367" s="115" t="n">
        <v>149470.499456789</v>
      </c>
      <c r="BM367" s="186" t="n">
        <f aca="false" ca="true" dt2D="false" dtr="false" t="normal">SUBTOTAL(9, BN367:CB367)</f>
        <v>7163356.623792637</v>
      </c>
      <c r="BN367" s="106" t="n"/>
      <c r="BO367" s="106" t="n">
        <v>0</v>
      </c>
      <c r="BP367" s="106" t="n">
        <v>452723.071208028</v>
      </c>
      <c r="BQ367" s="106" t="n"/>
      <c r="BR367" s="106" t="n">
        <v>0</v>
      </c>
      <c r="BS367" s="106" t="n"/>
      <c r="BT367" s="106" t="n">
        <v>0</v>
      </c>
      <c r="BU367" s="106" t="n">
        <v>0</v>
      </c>
      <c r="BV367" s="106" t="n"/>
      <c r="BW367" s="106" t="n">
        <v>0</v>
      </c>
      <c r="BX367" s="106" t="n"/>
      <c r="BY367" s="106" t="n">
        <v>6561163.05312782</v>
      </c>
      <c r="BZ367" s="106" t="n"/>
      <c r="CA367" s="114" t="n"/>
      <c r="CB367" s="115" t="n">
        <v>149470.499456789</v>
      </c>
      <c r="CD367" s="116" t="n">
        <f aca="false" ca="false" dt2D="false" dtr="false" t="normal">+CD366+1</f>
        <v>348</v>
      </c>
      <c r="CE367" s="117" t="n">
        <f aca="false" ca="false" dt2D="false" dtr="false" t="normal">+CE366+1</f>
        <v>160</v>
      </c>
      <c r="CF367" s="104" t="s">
        <v>445</v>
      </c>
      <c r="CG367" s="104" t="s">
        <v>446</v>
      </c>
      <c r="CH367" s="188" t="n">
        <f aca="false" ca="true" dt2D="false" dtr="false" t="normal">SUBTOTAL(9, CI367:CW367)</f>
        <v>2647089.074138049</v>
      </c>
      <c r="CI367" s="114" t="n"/>
      <c r="CJ367" s="114" t="n">
        <v>0</v>
      </c>
      <c r="CK367" s="114" t="n"/>
      <c r="CL367" s="114" t="n"/>
      <c r="CM367" s="114" t="n">
        <v>0</v>
      </c>
      <c r="CN367" s="114" t="n"/>
      <c r="CO367" s="114" t="n"/>
      <c r="CP367" s="114" t="n">
        <v>0</v>
      </c>
      <c r="CQ367" s="114" t="n">
        <v>2212764.58</v>
      </c>
      <c r="CR367" s="114" t="n">
        <v>0</v>
      </c>
      <c r="CS367" s="114" t="n"/>
      <c r="CT367" s="114" t="n"/>
      <c r="CU367" s="114" t="n"/>
      <c r="CV367" s="114" t="n"/>
      <c r="CW367" s="115" t="n">
        <v>434324.494138049</v>
      </c>
      <c r="CZ367" s="104" t="s">
        <v>446</v>
      </c>
      <c r="DA367" s="189" t="n">
        <f aca="false" ca="true" dt2D="false" dtr="false" t="normal">SUBTOTAL(9, DB367:DP367)</f>
        <v>2212764.58</v>
      </c>
      <c r="DB367" s="114" t="n"/>
      <c r="DC367" s="114" t="n">
        <v>0</v>
      </c>
      <c r="DD367" s="114" t="n"/>
      <c r="DE367" s="114" t="n"/>
      <c r="DF367" s="114" t="n">
        <v>0</v>
      </c>
      <c r="DG367" s="114" t="n"/>
      <c r="DH367" s="114" t="n"/>
      <c r="DI367" s="114" t="n">
        <v>0</v>
      </c>
      <c r="DJ367" s="114" t="n">
        <v>2212764.58</v>
      </c>
      <c r="DK367" s="114" t="n">
        <v>0</v>
      </c>
      <c r="DL367" s="114" t="n"/>
      <c r="DM367" s="114" t="n"/>
      <c r="DN367" s="114" t="n"/>
      <c r="DO367" s="114" t="n"/>
      <c r="DP367" s="122" t="n"/>
      <c r="DQ367" s="3" t="n">
        <f aca="false" ca="false" dt2D="false" dtr="false" t="normal">N367-DA367</f>
        <v>0</v>
      </c>
      <c r="DS367" s="9" t="n"/>
    </row>
    <row hidden="false" ht="15" outlineLevel="0" r="368">
      <c r="A368" s="183" t="n">
        <f aca="false" ca="false" dt2D="false" dtr="false" t="normal">+A367+1</f>
        <v>349</v>
      </c>
      <c r="B368" s="184" t="n">
        <f aca="false" ca="false" dt2D="false" dtr="false" t="normal">+B367+1</f>
        <v>161</v>
      </c>
      <c r="C368" s="117" t="s">
        <v>280</v>
      </c>
      <c r="D368" s="117" t="s">
        <v>448</v>
      </c>
      <c r="E368" s="105" t="n">
        <v>1981</v>
      </c>
      <c r="F368" s="105" t="n"/>
      <c r="G368" s="105" t="s">
        <v>68</v>
      </c>
      <c r="H368" s="105" t="n">
        <v>2</v>
      </c>
      <c r="I368" s="105" t="n">
        <v>1</v>
      </c>
      <c r="J368" s="106" t="n">
        <v>660</v>
      </c>
      <c r="K368" s="106" t="n">
        <v>592.7</v>
      </c>
      <c r="L368" s="106" t="n">
        <v>0</v>
      </c>
      <c r="M368" s="107" t="n">
        <v>13</v>
      </c>
      <c r="N368" s="108" t="n">
        <f aca="false" ca="false" dt2D="false" dtr="false" t="normal">SUM(P368:T368)</f>
        <v>2847700.4199999953</v>
      </c>
      <c r="O368" s="114" t="n"/>
      <c r="P368" s="114" t="n">
        <v>429373.41</v>
      </c>
      <c r="Q368" s="114" t="n"/>
      <c r="R368" s="114" t="n">
        <v>416647.160568365</v>
      </c>
      <c r="S368" s="114" t="n">
        <v>2001679.84943163</v>
      </c>
      <c r="T368" s="114" t="n"/>
      <c r="U368" s="114" t="n">
        <v>7184.1916224</v>
      </c>
      <c r="V368" s="114" t="n">
        <v>1434.283020064</v>
      </c>
      <c r="W368" s="185" t="n">
        <v>2023</v>
      </c>
      <c r="X368" s="9" t="e">
        <f aca="false" ca="false" dt2D="false" dtr="false" t="normal">+#REF!-'[9]Приложение №1'!$P1732</f>
        <v>#REF!</v>
      </c>
      <c r="Z368" s="113" t="n">
        <f aca="false" ca="false" dt2D="false" dtr="false" t="normal">SUM(AA368:AO368)</f>
        <v>19893961.78</v>
      </c>
      <c r="AA368" s="106" t="n">
        <v>0</v>
      </c>
      <c r="AB368" s="106" t="n">
        <v>0</v>
      </c>
      <c r="AC368" s="106" t="n">
        <v>3565270.41384234</v>
      </c>
      <c r="AD368" s="106" t="n">
        <v>2303095.9599144</v>
      </c>
      <c r="AE368" s="106" t="n">
        <v>1422513.16525206</v>
      </c>
      <c r="AF368" s="106" t="n"/>
      <c r="AG368" s="106" t="n">
        <v>0</v>
      </c>
      <c r="AH368" s="106" t="n">
        <v>0</v>
      </c>
      <c r="AI368" s="106" t="n">
        <v>0</v>
      </c>
      <c r="AJ368" s="106" t="n">
        <v>0</v>
      </c>
      <c r="AK368" s="106" t="n">
        <v>0</v>
      </c>
      <c r="AL368" s="106" t="n">
        <v>9543182.83579332</v>
      </c>
      <c r="AM368" s="106" t="n">
        <v>2492832.938</v>
      </c>
      <c r="AN368" s="114" t="n">
        <v>198939.6178</v>
      </c>
      <c r="AO368" s="115" t="n">
        <v>368126.84939788</v>
      </c>
      <c r="AP368" s="112" t="n">
        <f aca="false" ca="false" dt2D="false" dtr="false" t="normal">+N368-'Приложение №2'!E368</f>
        <v>0</v>
      </c>
      <c r="AQ368" s="121" t="n">
        <v>365168.99</v>
      </c>
      <c r="AR368" s="3" t="n">
        <f aca="false" ca="false" dt2D="false" dtr="false" t="normal">+(K368*10.5+L368*21)*12*0.85</f>
        <v>63478.170000000006</v>
      </c>
      <c r="AS368" s="3" t="n">
        <f aca="false" ca="false" dt2D="false" dtr="false" t="normal">+(K368*10.5+L368*21)*12*30</f>
        <v>2240406.0000000005</v>
      </c>
      <c r="AT368" s="9" t="n">
        <f aca="false" ca="false" dt2D="false" dtr="false" t="normal">+S368-AS368</f>
        <v>-238726.15056837047</v>
      </c>
      <c r="AU368" s="9" t="e">
        <f aca="false" ca="false" dt2D="false" dtr="false" t="normal">+P368-'[5]Приложение №1'!$P714</f>
        <v>#REF!</v>
      </c>
      <c r="AV368" s="9" t="e">
        <f aca="false" ca="false" dt2D="false" dtr="false" t="normal">+Q368-'[5]Приложение №1'!$Q714</f>
        <v>#REF!</v>
      </c>
      <c r="AW368" s="186" t="n">
        <f aca="false" ca="true" dt2D="false" dtr="false" t="normal">SUBTOTAL(9, AX368:BL368)</f>
        <v>4258070.374596485</v>
      </c>
      <c r="AX368" s="106" t="n">
        <v>0</v>
      </c>
      <c r="AY368" s="106" t="n">
        <v>0</v>
      </c>
      <c r="AZ368" s="106" t="n"/>
      <c r="BA368" s="106" t="n"/>
      <c r="BB368" s="106" t="n"/>
      <c r="BC368" s="106" t="n"/>
      <c r="BD368" s="106" t="n"/>
      <c r="BE368" s="106" t="n">
        <v>0</v>
      </c>
      <c r="BF368" s="106" t="n">
        <v>0</v>
      </c>
      <c r="BG368" s="106" t="n">
        <v>0</v>
      </c>
      <c r="BH368" s="106" t="n">
        <v>0</v>
      </c>
      <c r="BI368" s="106" t="n">
        <v>4053675.38402812</v>
      </c>
      <c r="BJ368" s="106" t="n">
        <v>87235.48</v>
      </c>
      <c r="BK368" s="114" t="n">
        <v>28513.84</v>
      </c>
      <c r="BL368" s="187" t="n">
        <v>88645.6705683647</v>
      </c>
      <c r="BM368" s="186" t="n">
        <f aca="false" ca="true" dt2D="false" dtr="false" t="normal">SUBTOTAL(9, BN368:CB368)</f>
        <v>4258070.374596485</v>
      </c>
      <c r="BN368" s="106" t="n">
        <v>0</v>
      </c>
      <c r="BO368" s="106" t="n">
        <v>0</v>
      </c>
      <c r="BP368" s="106" t="n"/>
      <c r="BQ368" s="106" t="n"/>
      <c r="BR368" s="106" t="n"/>
      <c r="BS368" s="106" t="n"/>
      <c r="BT368" s="106" t="n"/>
      <c r="BU368" s="106" t="n">
        <v>0</v>
      </c>
      <c r="BV368" s="106" t="n">
        <v>0</v>
      </c>
      <c r="BW368" s="106" t="n">
        <v>0</v>
      </c>
      <c r="BX368" s="106" t="n">
        <v>0</v>
      </c>
      <c r="BY368" s="106" t="n">
        <v>4053675.38402812</v>
      </c>
      <c r="BZ368" s="106" t="n">
        <v>87235.48</v>
      </c>
      <c r="CA368" s="114" t="n">
        <v>28513.84</v>
      </c>
      <c r="CB368" s="115" t="n">
        <v>88645.6705683647</v>
      </c>
      <c r="CD368" s="116" t="n">
        <f aca="false" ca="false" dt2D="false" dtr="false" t="normal">+CD367+1</f>
        <v>349</v>
      </c>
      <c r="CE368" s="117" t="n">
        <f aca="false" ca="false" dt2D="false" dtr="false" t="normal">+CE367+1</f>
        <v>161</v>
      </c>
      <c r="CF368" s="104" t="s">
        <v>280</v>
      </c>
      <c r="CG368" s="117" t="s">
        <v>448</v>
      </c>
      <c r="CH368" s="188" t="n">
        <f aca="false" ca="true" dt2D="false" dtr="false" t="normal">SUBTOTAL(9, CI368:CW368)</f>
        <v>2936346.0905683646</v>
      </c>
      <c r="CI368" s="114" t="n">
        <v>0</v>
      </c>
      <c r="CJ368" s="114" t="n">
        <v>0</v>
      </c>
      <c r="CK368" s="114" t="n"/>
      <c r="CL368" s="114" t="n"/>
      <c r="CM368" s="114" t="n"/>
      <c r="CN368" s="114" t="n"/>
      <c r="CO368" s="114" t="n"/>
      <c r="CP368" s="114" t="n">
        <v>0</v>
      </c>
      <c r="CQ368" s="114" t="n">
        <v>0</v>
      </c>
      <c r="CR368" s="114" t="n">
        <v>0</v>
      </c>
      <c r="CS368" s="114" t="n">
        <v>0</v>
      </c>
      <c r="CT368" s="114" t="n">
        <v>2719951.1</v>
      </c>
      <c r="CU368" s="114" t="n">
        <v>103749.32</v>
      </c>
      <c r="CV368" s="114" t="n">
        <v>24000</v>
      </c>
      <c r="CW368" s="115" t="n">
        <v>88645.6705683647</v>
      </c>
      <c r="CZ368" s="117" t="s">
        <v>448</v>
      </c>
      <c r="DA368" s="189" t="n">
        <f aca="false" ca="true" dt2D="false" dtr="false" t="normal">SUBTOTAL(9, DB368:DP368)</f>
        <v>2847700.42</v>
      </c>
      <c r="DB368" s="114" t="n">
        <v>0</v>
      </c>
      <c r="DC368" s="114" t="n">
        <v>0</v>
      </c>
      <c r="DD368" s="114" t="n"/>
      <c r="DE368" s="114" t="n"/>
      <c r="DF368" s="114" t="n"/>
      <c r="DG368" s="114" t="n"/>
      <c r="DH368" s="114" t="n"/>
      <c r="DI368" s="114" t="n">
        <v>0</v>
      </c>
      <c r="DJ368" s="114" t="n">
        <v>0</v>
      </c>
      <c r="DK368" s="114" t="n">
        <v>0</v>
      </c>
      <c r="DL368" s="114" t="n">
        <v>0</v>
      </c>
      <c r="DM368" s="114" t="n">
        <v>2719951.1</v>
      </c>
      <c r="DN368" s="114" t="n">
        <v>103749.32</v>
      </c>
      <c r="DO368" s="114" t="n">
        <v>24000</v>
      </c>
      <c r="DP368" s="122" t="n"/>
      <c r="DQ368" s="3" t="n">
        <f aca="false" ca="false" dt2D="false" dtr="false" t="normal">N368-DA368</f>
        <v>0</v>
      </c>
      <c r="DS368" s="9" t="n"/>
    </row>
    <row customFormat="true" hidden="false" ht="15" outlineLevel="0" r="369" s="129">
      <c r="A369" s="183" t="n">
        <f aca="false" ca="false" dt2D="false" dtr="false" t="normal">+A368+1</f>
        <v>350</v>
      </c>
      <c r="B369" s="184" t="n">
        <f aca="false" ca="false" dt2D="false" dtr="false" t="normal">+B368+1</f>
        <v>162</v>
      </c>
      <c r="C369" s="104" t="s">
        <v>449</v>
      </c>
      <c r="D369" s="104" t="s">
        <v>450</v>
      </c>
      <c r="E369" s="105" t="s">
        <v>103</v>
      </c>
      <c r="F369" s="105" t="s">
        <v>103</v>
      </c>
      <c r="G369" s="105" t="s">
        <v>68</v>
      </c>
      <c r="H369" s="105" t="s">
        <v>104</v>
      </c>
      <c r="I369" s="105" t="s">
        <v>187</v>
      </c>
      <c r="J369" s="106" t="n">
        <v>4959.9</v>
      </c>
      <c r="K369" s="106" t="n">
        <v>4332.9</v>
      </c>
      <c r="L369" s="106" t="n">
        <v>85.1</v>
      </c>
      <c r="M369" s="107" t="n">
        <v>166</v>
      </c>
      <c r="N369" s="108" t="n">
        <f aca="false" ca="false" dt2D="false" dtr="false" t="normal">SUM(P369:T369)</f>
        <v>10053149.61</v>
      </c>
      <c r="O369" s="114" t="n">
        <v>0</v>
      </c>
      <c r="P369" s="114" t="n"/>
      <c r="Q369" s="114" t="n">
        <v>0</v>
      </c>
      <c r="R369" s="114" t="n">
        <v>2543640.43</v>
      </c>
      <c r="S369" s="114" t="n">
        <v>7509509.18</v>
      </c>
      <c r="T369" s="190" t="n"/>
      <c r="U369" s="114" t="n">
        <v>2525.50646447366</v>
      </c>
      <c r="V369" s="114" t="n">
        <v>1435.283020064</v>
      </c>
      <c r="W369" s="185" t="n">
        <v>2023</v>
      </c>
      <c r="X369" s="129" t="n">
        <v>1753600.15</v>
      </c>
      <c r="Y369" s="129" t="n">
        <f aca="false" ca="false" dt2D="false" dtr="false" t="normal">+(K369*9.1+L369*18.19)*12</f>
        <v>491728.30799999984</v>
      </c>
      <c r="AA369" s="130" t="e">
        <f aca="false" ca="false" dt2D="false" dtr="false" t="normal">+N369-'[8]Приложение № 2'!E681</f>
        <v>#REF!</v>
      </c>
      <c r="AD369" s="130" t="e">
        <f aca="false" ca="false" dt2D="false" dtr="false" t="normal">+N369-'[8]Приложение № 2'!E681</f>
        <v>#REF!</v>
      </c>
      <c r="AP369" s="112" t="n">
        <f aca="false" ca="false" dt2D="false" dtr="false" t="normal">+N369-'Приложение №2'!E369</f>
        <v>0</v>
      </c>
      <c r="AQ369" s="121" t="n">
        <v>2639671.19</v>
      </c>
      <c r="AR369" s="3" t="n">
        <f aca="false" ca="false" dt2D="false" dtr="false" t="normal">+(K369*10.5+L369*21)*12*0.85</f>
        <v>482282.00999999995</v>
      </c>
      <c r="AS369" s="3" t="n">
        <f aca="false" ca="false" dt2D="false" dtr="false" t="normal">+(K369*10.5+L369*21)*12*30</f>
        <v>17021718</v>
      </c>
      <c r="AT369" s="9" t="n">
        <f aca="false" ca="false" dt2D="false" dtr="false" t="normal">+S369-AS369</f>
        <v>-9512208.82</v>
      </c>
      <c r="AU369" s="9" t="e">
        <f aca="false" ca="false" dt2D="false" dtr="false" t="normal">+P369-'[5]Приложение №1'!$P715</f>
        <v>#REF!</v>
      </c>
      <c r="AV369" s="9" t="e">
        <f aca="false" ca="false" dt2D="false" dtr="false" t="normal">+Q369-'[5]Приложение №1'!$Q715</f>
        <v>#REF!</v>
      </c>
      <c r="AW369" s="186" t="n">
        <f aca="false" ca="true" dt2D="false" dtr="false" t="normal">SUBTOTAL(9, AX369:BL369)</f>
        <v>10942766.959917946</v>
      </c>
      <c r="AX369" s="106" t="n"/>
      <c r="AY369" s="106" t="n"/>
      <c r="AZ369" s="106" t="n"/>
      <c r="BA369" s="106" t="n"/>
      <c r="BB369" s="106" t="n"/>
      <c r="BC369" s="106" t="n"/>
      <c r="BD369" s="106" t="n"/>
      <c r="BE369" s="106" t="n"/>
      <c r="BF369" s="106" t="n"/>
      <c r="BG369" s="106" t="n"/>
      <c r="BH369" s="106" t="n"/>
      <c r="BI369" s="106" t="n">
        <v>10595319.4624237</v>
      </c>
      <c r="BJ369" s="106" t="n">
        <v>87235.48</v>
      </c>
      <c r="BK369" s="114" t="n">
        <v>28513.84</v>
      </c>
      <c r="BL369" s="187" t="n">
        <v>231698.177494244</v>
      </c>
      <c r="BM369" s="186" t="n">
        <f aca="false" ca="true" dt2D="false" dtr="false" t="normal">SUBTOTAL(9, BN369:CB369)</f>
        <v>11120211.979917945</v>
      </c>
      <c r="BN369" s="106" t="n"/>
      <c r="BO369" s="106" t="n"/>
      <c r="BP369" s="106" t="n"/>
      <c r="BQ369" s="106" t="n"/>
      <c r="BR369" s="106" t="n"/>
      <c r="BS369" s="106" t="n"/>
      <c r="BT369" s="106" t="n"/>
      <c r="BU369" s="106" t="n"/>
      <c r="BV369" s="106" t="n"/>
      <c r="BW369" s="106" t="n"/>
      <c r="BX369" s="106" t="n"/>
      <c r="BY369" s="106" t="n">
        <v>10595319.4624237</v>
      </c>
      <c r="BZ369" s="106" t="n">
        <v>264680.5</v>
      </c>
      <c r="CA369" s="114" t="n">
        <v>28513.84</v>
      </c>
      <c r="CB369" s="115" t="n">
        <v>231698.177494244</v>
      </c>
      <c r="CD369" s="116" t="n">
        <f aca="false" ca="false" dt2D="false" dtr="false" t="normal">+CD368+1</f>
        <v>350</v>
      </c>
      <c r="CE369" s="117" t="n">
        <f aca="false" ca="false" dt2D="false" dtr="false" t="normal">+CE368+1</f>
        <v>162</v>
      </c>
      <c r="CF369" s="104" t="s">
        <v>280</v>
      </c>
      <c r="CG369" s="117" t="s">
        <v>450</v>
      </c>
      <c r="CH369" s="188" t="n">
        <f aca="false" ca="true" dt2D="false" dtr="false" t="normal">SUBTOTAL(9, CI369:CW369)</f>
        <v>10284847.787494244</v>
      </c>
      <c r="CI369" s="114" t="n"/>
      <c r="CJ369" s="114" t="n"/>
      <c r="CK369" s="114" t="n"/>
      <c r="CL369" s="114" t="n"/>
      <c r="CM369" s="114" t="n"/>
      <c r="CN369" s="114" t="n"/>
      <c r="CO369" s="114" t="n"/>
      <c r="CP369" s="114" t="n"/>
      <c r="CQ369" s="114" t="n"/>
      <c r="CR369" s="114" t="n"/>
      <c r="CS369" s="114" t="n"/>
      <c r="CT369" s="114" t="n">
        <v>9759955.27</v>
      </c>
      <c r="CU369" s="114" t="n">
        <v>269194.34</v>
      </c>
      <c r="CV369" s="114" t="n">
        <v>24000</v>
      </c>
      <c r="CW369" s="115" t="n">
        <v>231698.177494244</v>
      </c>
      <c r="CZ369" s="117" t="s">
        <v>450</v>
      </c>
      <c r="DA369" s="189" t="n">
        <f aca="false" ca="true" dt2D="false" dtr="false" t="normal">SUBTOTAL(9, DB369:DP369)</f>
        <v>10053149.61</v>
      </c>
      <c r="DB369" s="114" t="n"/>
      <c r="DC369" s="114" t="n"/>
      <c r="DD369" s="114" t="n"/>
      <c r="DE369" s="114" t="n"/>
      <c r="DF369" s="114" t="n"/>
      <c r="DG369" s="114" t="n"/>
      <c r="DH369" s="114" t="n"/>
      <c r="DI369" s="114" t="n"/>
      <c r="DJ369" s="114" t="n"/>
      <c r="DK369" s="114" t="n"/>
      <c r="DL369" s="114" t="n"/>
      <c r="DM369" s="114" t="n">
        <v>9759955.27</v>
      </c>
      <c r="DN369" s="114" t="n">
        <v>269194.34</v>
      </c>
      <c r="DO369" s="114" t="n">
        <v>24000</v>
      </c>
      <c r="DP369" s="122" t="n"/>
      <c r="DQ369" s="3" t="n">
        <f aca="false" ca="false" dt2D="false" dtr="false" t="normal">N369-DA369</f>
        <v>0</v>
      </c>
      <c r="DS369" s="9" t="n"/>
    </row>
    <row hidden="false" ht="15" outlineLevel="0" r="370">
      <c r="A370" s="183" t="n">
        <f aca="false" ca="false" dt2D="false" dtr="false" t="normal">+A369+1</f>
        <v>351</v>
      </c>
      <c r="B370" s="184" t="n">
        <f aca="false" ca="false" dt2D="false" dtr="false" t="normal">+B369+1</f>
        <v>163</v>
      </c>
      <c r="C370" s="104" t="s">
        <v>280</v>
      </c>
      <c r="D370" s="104" t="s">
        <v>451</v>
      </c>
      <c r="E370" s="105" t="n">
        <v>1997</v>
      </c>
      <c r="F370" s="105" t="n">
        <v>2012</v>
      </c>
      <c r="G370" s="105" t="s">
        <v>68</v>
      </c>
      <c r="H370" s="105" t="n">
        <v>5</v>
      </c>
      <c r="I370" s="105" t="n">
        <v>4</v>
      </c>
      <c r="J370" s="106" t="n">
        <v>3981.21</v>
      </c>
      <c r="K370" s="106" t="n">
        <v>3474.7</v>
      </c>
      <c r="L370" s="106" t="n">
        <v>88.61</v>
      </c>
      <c r="M370" s="107" t="n">
        <v>114</v>
      </c>
      <c r="N370" s="108" t="n">
        <f aca="false" ca="false" dt2D="false" dtr="false" t="normal">SUM(P370:T370)</f>
        <v>1611028.9</v>
      </c>
      <c r="O370" s="114" t="n"/>
      <c r="P370" s="114" t="n"/>
      <c r="Q370" s="114" t="n"/>
      <c r="R370" s="114" t="n">
        <v>1611028.9</v>
      </c>
      <c r="S370" s="114" t="n"/>
      <c r="T370" s="114" t="n"/>
      <c r="U370" s="114" t="n">
        <v>458.638345747757</v>
      </c>
      <c r="V370" s="114" t="n">
        <v>458.638345747757</v>
      </c>
      <c r="W370" s="185" t="n">
        <v>2023</v>
      </c>
      <c r="X370" s="9" t="e">
        <f aca="false" ca="false" dt2D="false" dtr="false" t="normal">+#REF!-'[9]Приложение №1'!$P1142</f>
        <v>#REF!</v>
      </c>
      <c r="Z370" s="113" t="n">
        <f aca="false" ca="false" dt2D="false" dtr="false" t="normal">SUM(AA370:AO370)</f>
        <v>1574001.34</v>
      </c>
      <c r="AA370" s="106" t="n">
        <v>0</v>
      </c>
      <c r="AB370" s="106" t="n">
        <v>0</v>
      </c>
      <c r="AC370" s="106" t="n">
        <v>0</v>
      </c>
      <c r="AD370" s="106" t="n">
        <v>0</v>
      </c>
      <c r="AE370" s="106" t="n">
        <v>1062819.22081356</v>
      </c>
      <c r="AF370" s="106" t="n"/>
      <c r="AG370" s="106" t="n">
        <v>0</v>
      </c>
      <c r="AH370" s="106" t="n">
        <v>0</v>
      </c>
      <c r="AI370" s="106" t="n">
        <v>0</v>
      </c>
      <c r="AJ370" s="106" t="n">
        <v>0</v>
      </c>
      <c r="AK370" s="106" t="n">
        <v>0</v>
      </c>
      <c r="AL370" s="106" t="n">
        <v>0</v>
      </c>
      <c r="AM370" s="106" t="n">
        <v>472200.402</v>
      </c>
      <c r="AN370" s="114" t="n">
        <v>15740.0134</v>
      </c>
      <c r="AO370" s="115" t="n">
        <v>23241.70378644</v>
      </c>
      <c r="AP370" s="112" t="n">
        <f aca="false" ca="false" dt2D="false" dtr="false" t="normal">+N370-'Приложение №2'!E370</f>
        <v>0</v>
      </c>
      <c r="AQ370" s="1" t="n">
        <v>1742724.96</v>
      </c>
      <c r="AR370" s="3" t="n">
        <f aca="false" ca="false" dt2D="false" dtr="false" t="normal">+(K370*10+L370*20)*12*0.85</f>
        <v>372495.83999999997</v>
      </c>
      <c r="AS370" s="3" t="n">
        <f aca="false" ca="false" dt2D="false" dtr="false" t="normal">+(K370*10+L370*20)*12*30</f>
        <v>13146911.999999998</v>
      </c>
      <c r="AT370" s="9" t="n">
        <f aca="false" ca="false" dt2D="false" dtr="false" t="normal">+S370-AS370</f>
        <v>-13146911.999999998</v>
      </c>
      <c r="AU370" s="9" t="e">
        <f aca="false" ca="false" dt2D="false" dtr="false" t="normal">+P370-'[5]Приложение №1'!$P449</f>
        <v>#REF!</v>
      </c>
      <c r="AV370" s="9" t="e">
        <f aca="false" ca="false" dt2D="false" dtr="false" t="normal">+Q370-'[5]Приложение №1'!$Q449</f>
        <v>#REF!</v>
      </c>
      <c r="AW370" s="113" t="n">
        <f aca="false" ca="true" dt2D="false" dtr="false" t="normal">SUBTOTAL(9, AX370:BL370)</f>
        <v>1050228.8737864401</v>
      </c>
      <c r="AX370" s="106" t="n">
        <v>0</v>
      </c>
      <c r="AY370" s="106" t="n">
        <v>0</v>
      </c>
      <c r="AZ370" s="106" t="n">
        <v>0</v>
      </c>
      <c r="BA370" s="106" t="n">
        <v>0</v>
      </c>
      <c r="BB370" s="106" t="n">
        <v>1026987.17</v>
      </c>
      <c r="BC370" s="106" t="n"/>
      <c r="BD370" s="106" t="n"/>
      <c r="BE370" s="106" t="n">
        <v>0</v>
      </c>
      <c r="BF370" s="106" t="n">
        <v>0</v>
      </c>
      <c r="BG370" s="106" t="n">
        <v>0</v>
      </c>
      <c r="BH370" s="106" t="n">
        <v>0</v>
      </c>
      <c r="BI370" s="106" t="n">
        <v>0</v>
      </c>
      <c r="BJ370" s="106" t="n"/>
      <c r="BK370" s="114" t="n"/>
      <c r="BL370" s="187" t="n">
        <v>23241.70378644</v>
      </c>
      <c r="BM370" s="113" t="n">
        <f aca="false" ca="true" dt2D="false" dtr="false" t="normal">SUBTOTAL(9, BN370:CB370)</f>
        <v>1634270.6037864399</v>
      </c>
      <c r="BN370" s="106" t="n">
        <v>0</v>
      </c>
      <c r="BO370" s="106" t="n">
        <v>0</v>
      </c>
      <c r="BP370" s="106" t="n">
        <v>0</v>
      </c>
      <c r="BQ370" s="106" t="n">
        <v>0</v>
      </c>
      <c r="BR370" s="106" t="n">
        <v>1611028.9</v>
      </c>
      <c r="BS370" s="106" t="n"/>
      <c r="BT370" s="106" t="n"/>
      <c r="BU370" s="106" t="n">
        <v>0</v>
      </c>
      <c r="BV370" s="106" t="n">
        <v>0</v>
      </c>
      <c r="BW370" s="106" t="n">
        <v>0</v>
      </c>
      <c r="BX370" s="106" t="n">
        <v>0</v>
      </c>
      <c r="BY370" s="106" t="n">
        <v>0</v>
      </c>
      <c r="BZ370" s="106" t="n"/>
      <c r="CA370" s="114" t="n"/>
      <c r="CB370" s="115" t="n">
        <v>23241.70378644</v>
      </c>
      <c r="CD370" s="116" t="n">
        <f aca="false" ca="false" dt2D="false" dtr="false" t="normal">+CD369+1</f>
        <v>351</v>
      </c>
      <c r="CE370" s="117" t="n">
        <f aca="false" ca="false" dt2D="false" dtr="false" t="normal">+CE369+1</f>
        <v>163</v>
      </c>
      <c r="CF370" s="104" t="s">
        <v>280</v>
      </c>
      <c r="CG370" s="117" t="s">
        <v>451</v>
      </c>
      <c r="CH370" s="118" t="n">
        <f aca="false" ca="true" dt2D="false" dtr="false" t="normal">SUBTOTAL(9, CI370:CW370)</f>
        <v>1634270.6037864399</v>
      </c>
      <c r="CI370" s="114" t="n">
        <v>0</v>
      </c>
      <c r="CJ370" s="114" t="n">
        <v>0</v>
      </c>
      <c r="CK370" s="114" t="n">
        <v>0</v>
      </c>
      <c r="CL370" s="114" t="n">
        <v>0</v>
      </c>
      <c r="CM370" s="114" t="n">
        <v>1611028.9</v>
      </c>
      <c r="CN370" s="114" t="n"/>
      <c r="CO370" s="114" t="n"/>
      <c r="CP370" s="114" t="n">
        <v>0</v>
      </c>
      <c r="CQ370" s="114" t="n">
        <v>0</v>
      </c>
      <c r="CR370" s="114" t="n">
        <v>0</v>
      </c>
      <c r="CS370" s="114" t="n">
        <v>0</v>
      </c>
      <c r="CT370" s="114" t="n">
        <v>0</v>
      </c>
      <c r="CU370" s="114" t="n"/>
      <c r="CV370" s="114" t="n"/>
      <c r="CW370" s="115" t="n">
        <v>23241.70378644</v>
      </c>
      <c r="CZ370" s="117" t="s">
        <v>451</v>
      </c>
      <c r="DA370" s="119" t="n">
        <f aca="false" ca="true" dt2D="false" dtr="false" t="normal">SUBTOTAL(9, DB370:DP370)</f>
        <v>1611028.9</v>
      </c>
      <c r="DB370" s="114" t="n">
        <v>0</v>
      </c>
      <c r="DC370" s="114" t="n">
        <v>0</v>
      </c>
      <c r="DD370" s="114" t="n">
        <v>0</v>
      </c>
      <c r="DE370" s="114" t="n">
        <v>0</v>
      </c>
      <c r="DF370" s="114" t="n">
        <v>1611028.9</v>
      </c>
      <c r="DG370" s="114" t="n"/>
      <c r="DH370" s="114" t="n"/>
      <c r="DI370" s="114" t="n">
        <v>0</v>
      </c>
      <c r="DJ370" s="114" t="n">
        <v>0</v>
      </c>
      <c r="DK370" s="114" t="n">
        <v>0</v>
      </c>
      <c r="DL370" s="114" t="n">
        <v>0</v>
      </c>
      <c r="DM370" s="114" t="n">
        <v>0</v>
      </c>
      <c r="DN370" s="114" t="n"/>
      <c r="DO370" s="114" t="n"/>
      <c r="DP370" s="122" t="n"/>
      <c r="DQ370" s="3" t="n">
        <f aca="false" ca="false" dt2D="false" dtr="false" t="normal">N370-DA370</f>
        <v>0</v>
      </c>
      <c r="DS370" s="9" t="n"/>
    </row>
    <row hidden="false" ht="15" outlineLevel="0" r="371">
      <c r="A371" s="183" t="n">
        <f aca="false" ca="false" dt2D="false" dtr="false" t="normal">+A370+1</f>
        <v>352</v>
      </c>
      <c r="B371" s="184" t="n">
        <f aca="false" ca="false" dt2D="false" dtr="false" t="normal">+B370+1</f>
        <v>164</v>
      </c>
      <c r="C371" s="117" t="s">
        <v>280</v>
      </c>
      <c r="D371" s="117" t="s">
        <v>452</v>
      </c>
      <c r="E371" s="105" t="n">
        <v>1992</v>
      </c>
      <c r="F371" s="105" t="n">
        <v>2010</v>
      </c>
      <c r="G371" s="105" t="s">
        <v>68</v>
      </c>
      <c r="H371" s="105" t="n">
        <v>2</v>
      </c>
      <c r="I371" s="105" t="n">
        <v>2</v>
      </c>
      <c r="J371" s="106" t="n">
        <v>1132.6</v>
      </c>
      <c r="K371" s="106" t="n">
        <v>869.3</v>
      </c>
      <c r="L371" s="106" t="n">
        <v>263.3</v>
      </c>
      <c r="M371" s="107" t="n">
        <v>31</v>
      </c>
      <c r="N371" s="108" t="n">
        <f aca="false" ca="false" dt2D="false" dtr="false" t="normal">SUM(P371:T371)</f>
        <v>2853099.65</v>
      </c>
      <c r="O371" s="114" t="n"/>
      <c r="P371" s="114" t="n">
        <v>2566400.56</v>
      </c>
      <c r="Q371" s="114" t="n"/>
      <c r="R371" s="114" t="n">
        <v>286699.09</v>
      </c>
      <c r="S371" s="114" t="n"/>
      <c r="T371" s="114" t="n"/>
      <c r="U371" s="114" t="n">
        <v>4638.58261564028</v>
      </c>
      <c r="V371" s="114" t="n">
        <v>4638.58261564028</v>
      </c>
      <c r="W371" s="185" t="n">
        <v>2023</v>
      </c>
      <c r="X371" s="9" t="e">
        <f aca="false" ca="false" dt2D="false" dtr="false" t="normal">+#REF!-'[9]Приложение №1'!$P1143</f>
        <v>#REF!</v>
      </c>
      <c r="Z371" s="113" t="n">
        <f aca="false" ca="false" dt2D="false" dtr="false" t="normal">SUM(AA371:AO371)</f>
        <v>458770.53</v>
      </c>
      <c r="AA371" s="106" t="n">
        <v>0</v>
      </c>
      <c r="AB371" s="106" t="n">
        <v>0</v>
      </c>
      <c r="AC371" s="106" t="n">
        <v>0</v>
      </c>
      <c r="AD371" s="106" t="n">
        <v>0</v>
      </c>
      <c r="AE371" s="106" t="n">
        <v>309777.46005402</v>
      </c>
      <c r="AF371" s="106" t="n"/>
      <c r="AG371" s="106" t="n">
        <v>0</v>
      </c>
      <c r="AH371" s="106" t="n">
        <v>0</v>
      </c>
      <c r="AI371" s="106" t="n">
        <v>0</v>
      </c>
      <c r="AJ371" s="106" t="n">
        <v>0</v>
      </c>
      <c r="AK371" s="106" t="n">
        <v>0</v>
      </c>
      <c r="AL371" s="106" t="n">
        <v>0</v>
      </c>
      <c r="AM371" s="106" t="n">
        <v>137631.159</v>
      </c>
      <c r="AN371" s="114" t="n">
        <v>4587.7053</v>
      </c>
      <c r="AO371" s="115" t="n">
        <v>6774.20564598</v>
      </c>
      <c r="AP371" s="112" t="n">
        <f aca="false" ca="false" dt2D="false" dtr="false" t="normal">+N371-'Приложение №2'!E371</f>
        <v>0</v>
      </c>
      <c r="AQ371" s="1" t="n">
        <f aca="false" ca="false" dt2D="false" dtr="false" t="normal">467298.54-180991.88</f>
        <v>286306.66</v>
      </c>
      <c r="AR371" s="3" t="n">
        <f aca="false" ca="false" dt2D="false" dtr="false" t="normal">+(K371*10+L371*20)*12*0.85</f>
        <v>142381.8</v>
      </c>
      <c r="AS371" s="3" t="n">
        <f aca="false" ca="false" dt2D="false" dtr="false" t="normal">+(K371*10+L371*20)*12*30-1001.27</f>
        <v>5024238.73</v>
      </c>
      <c r="AT371" s="9" t="n">
        <f aca="false" ca="false" dt2D="false" dtr="false" t="normal">+S371-AS371</f>
        <v>-5024238.73</v>
      </c>
      <c r="AU371" s="9" t="e">
        <f aca="false" ca="false" dt2D="false" dtr="false" t="normal">+#REF!-'[5]Приложение №1'!$P450</f>
        <v>#REF!</v>
      </c>
      <c r="AV371" s="9" t="e">
        <f aca="false" ca="false" dt2D="false" dtr="false" t="normal">+Q371-'[5]Приложение №1'!$Q450</f>
        <v>#REF!</v>
      </c>
      <c r="AW371" s="113" t="n">
        <f aca="false" ca="true" dt2D="false" dtr="false" t="normal">SUBTOTAL(9, AX371:BL371)</f>
        <v>5253658.670474181</v>
      </c>
      <c r="AX371" s="106" t="n">
        <v>0</v>
      </c>
      <c r="AY371" s="106" t="n">
        <v>0</v>
      </c>
      <c r="AZ371" s="106" t="n">
        <v>0</v>
      </c>
      <c r="BA371" s="106" t="n">
        <v>0</v>
      </c>
      <c r="BB371" s="106" t="n">
        <v>316916.15</v>
      </c>
      <c r="BC371" s="106" t="n"/>
      <c r="BD371" s="106" t="n"/>
      <c r="BE371" s="106" t="n">
        <v>0</v>
      </c>
      <c r="BF371" s="106" t="n">
        <v>0</v>
      </c>
      <c r="BG371" s="106" t="n">
        <v>0</v>
      </c>
      <c r="BH371" s="106" t="n">
        <v>0</v>
      </c>
      <c r="BI371" s="106" t="n">
        <v>4929968.3148282</v>
      </c>
      <c r="BJ371" s="106" t="n"/>
      <c r="BK371" s="114" t="n"/>
      <c r="BL371" s="187" t="n">
        <v>6774.20564598</v>
      </c>
      <c r="BM371" s="113" t="n">
        <f aca="false" ca="true" dt2D="false" dtr="false" t="normal">SUBTOTAL(9, BN371:CB371)</f>
        <v>5253658.670474181</v>
      </c>
      <c r="BN371" s="106" t="n">
        <v>0</v>
      </c>
      <c r="BO371" s="106" t="n">
        <v>0</v>
      </c>
      <c r="BP371" s="106" t="n">
        <v>0</v>
      </c>
      <c r="BQ371" s="106" t="n">
        <v>0</v>
      </c>
      <c r="BR371" s="106" t="n">
        <v>316916.15</v>
      </c>
      <c r="BS371" s="106" t="n"/>
      <c r="BT371" s="106" t="n"/>
      <c r="BU371" s="106" t="n">
        <v>0</v>
      </c>
      <c r="BV371" s="106" t="n">
        <v>0</v>
      </c>
      <c r="BW371" s="106" t="n">
        <v>0</v>
      </c>
      <c r="BX371" s="106" t="n">
        <v>0</v>
      </c>
      <c r="BY371" s="106" t="n">
        <v>4929968.3148282</v>
      </c>
      <c r="BZ371" s="106" t="n"/>
      <c r="CA371" s="114" t="n"/>
      <c r="CB371" s="115" t="n">
        <v>6774.20564598</v>
      </c>
      <c r="CD371" s="116" t="n">
        <f aca="false" ca="false" dt2D="false" dtr="false" t="normal">+CD370+1</f>
        <v>352</v>
      </c>
      <c r="CE371" s="117" t="n">
        <f aca="false" ca="false" dt2D="false" dtr="false" t="normal">+CE370+1</f>
        <v>164</v>
      </c>
      <c r="CF371" s="104" t="s">
        <v>280</v>
      </c>
      <c r="CG371" s="117" t="s">
        <v>452</v>
      </c>
      <c r="CH371" s="118" t="n">
        <f aca="false" ca="true" dt2D="false" dtr="false" t="normal">SUBTOTAL(9, CI371:CW371)</f>
        <v>2859873.8556459798</v>
      </c>
      <c r="CI371" s="114" t="n">
        <v>0</v>
      </c>
      <c r="CJ371" s="114" t="n">
        <v>0</v>
      </c>
      <c r="CK371" s="114" t="n">
        <v>0</v>
      </c>
      <c r="CL371" s="114" t="n">
        <v>0</v>
      </c>
      <c r="CM371" s="114" t="n">
        <v>316916.15</v>
      </c>
      <c r="CN371" s="114" t="n"/>
      <c r="CO371" s="114" t="n"/>
      <c r="CP371" s="114" t="n">
        <v>0</v>
      </c>
      <c r="CQ371" s="114" t="n">
        <v>0</v>
      </c>
      <c r="CR371" s="114" t="n">
        <v>0</v>
      </c>
      <c r="CS371" s="114" t="n">
        <v>0</v>
      </c>
      <c r="CT371" s="114" t="n">
        <v>2536183.5</v>
      </c>
      <c r="CU371" s="114" t="n"/>
      <c r="CV371" s="114" t="n"/>
      <c r="CW371" s="115" t="n">
        <v>6774.20564598</v>
      </c>
      <c r="CZ371" s="117" t="s">
        <v>452</v>
      </c>
      <c r="DA371" s="119" t="n">
        <f aca="false" ca="true" dt2D="false" dtr="false" t="normal">SUBTOTAL(9, DB371:DP371)</f>
        <v>2853099.65</v>
      </c>
      <c r="DB371" s="114" t="n">
        <v>0</v>
      </c>
      <c r="DC371" s="114" t="n">
        <v>0</v>
      </c>
      <c r="DD371" s="114" t="n">
        <v>0</v>
      </c>
      <c r="DE371" s="114" t="n">
        <v>0</v>
      </c>
      <c r="DF371" s="114" t="n">
        <v>316916.15</v>
      </c>
      <c r="DG371" s="114" t="n"/>
      <c r="DH371" s="114" t="n"/>
      <c r="DI371" s="114" t="n">
        <v>0</v>
      </c>
      <c r="DJ371" s="114" t="n">
        <v>0</v>
      </c>
      <c r="DK371" s="114" t="n">
        <v>0</v>
      </c>
      <c r="DL371" s="114" t="n">
        <v>0</v>
      </c>
      <c r="DM371" s="114" t="n">
        <v>2536183.5</v>
      </c>
      <c r="DN371" s="114" t="n"/>
      <c r="DO371" s="114" t="n"/>
      <c r="DP371" s="122" t="n"/>
      <c r="DQ371" s="3" t="n">
        <f aca="false" ca="false" dt2D="false" dtr="false" t="normal">N371-DA371</f>
        <v>0</v>
      </c>
      <c r="DS371" s="9" t="n"/>
    </row>
    <row hidden="false" ht="15" outlineLevel="0" r="372">
      <c r="A372" s="183" t="n">
        <f aca="false" ca="false" dt2D="false" dtr="false" t="normal">+A371+1</f>
        <v>353</v>
      </c>
      <c r="B372" s="184" t="n">
        <f aca="false" ca="false" dt2D="false" dtr="false" t="normal">+B371+1</f>
        <v>165</v>
      </c>
      <c r="C372" s="117" t="s">
        <v>280</v>
      </c>
      <c r="D372" s="117" t="s">
        <v>453</v>
      </c>
      <c r="E372" s="105" t="n">
        <v>1993</v>
      </c>
      <c r="F372" s="105" t="n">
        <v>2009</v>
      </c>
      <c r="G372" s="105" t="s">
        <v>68</v>
      </c>
      <c r="H372" s="105" t="n">
        <v>2</v>
      </c>
      <c r="I372" s="105" t="n">
        <v>2</v>
      </c>
      <c r="J372" s="106" t="n">
        <v>1119.8</v>
      </c>
      <c r="K372" s="106" t="n">
        <v>862.9</v>
      </c>
      <c r="L372" s="106" t="n">
        <v>256.9</v>
      </c>
      <c r="M372" s="107" t="n">
        <v>33</v>
      </c>
      <c r="N372" s="108" t="n">
        <f aca="false" ca="false" dt2D="false" dtr="false" t="normal">SUM(P372:T372)</f>
        <v>2778863.9</v>
      </c>
      <c r="O372" s="114" t="n"/>
      <c r="P372" s="114" t="n">
        <v>2460480.84</v>
      </c>
      <c r="Q372" s="114" t="n"/>
      <c r="R372" s="114" t="n">
        <v>318383.06</v>
      </c>
      <c r="S372" s="114" t="n"/>
      <c r="T372" s="114" t="n"/>
      <c r="U372" s="114" t="n">
        <v>4704.40183634887</v>
      </c>
      <c r="V372" s="114" t="n">
        <v>4704.40183634887</v>
      </c>
      <c r="W372" s="185" t="n">
        <v>2023</v>
      </c>
      <c r="X372" s="9" t="e">
        <f aca="false" ca="false" dt2D="false" dtr="false" t="normal">+#REF!-'[9]Приложение №1'!$P1144</f>
        <v>#REF!</v>
      </c>
      <c r="Z372" s="113" t="n">
        <f aca="false" ca="false" dt2D="false" dtr="false" t="normal">SUM(AA372:AO372)</f>
        <v>404572.72000000003</v>
      </c>
      <c r="AA372" s="106" t="n">
        <v>0</v>
      </c>
      <c r="AB372" s="106" t="n">
        <v>0</v>
      </c>
      <c r="AC372" s="106" t="n">
        <v>0</v>
      </c>
      <c r="AD372" s="106" t="n">
        <v>0</v>
      </c>
      <c r="AE372" s="106" t="n">
        <v>318383.06</v>
      </c>
      <c r="AF372" s="106" t="n"/>
      <c r="AG372" s="106" t="n">
        <v>0</v>
      </c>
      <c r="AH372" s="106" t="n">
        <v>0</v>
      </c>
      <c r="AI372" s="106" t="n">
        <v>0</v>
      </c>
      <c r="AJ372" s="106" t="n">
        <v>0</v>
      </c>
      <c r="AK372" s="106" t="n">
        <v>0</v>
      </c>
      <c r="AL372" s="106" t="n">
        <v>0</v>
      </c>
      <c r="AM372" s="106" t="n">
        <v>80238.25</v>
      </c>
      <c r="AN372" s="114" t="n">
        <v>3333.33</v>
      </c>
      <c r="AO372" s="115" t="n">
        <v>2618.08</v>
      </c>
      <c r="AP372" s="112" t="n">
        <f aca="false" ca="false" dt2D="false" dtr="false" t="normal">+N372-'Приложение №2'!E372</f>
        <v>0</v>
      </c>
      <c r="AQ372" s="1" t="n">
        <f aca="false" ca="false" dt2D="false" dtr="false" t="normal">384509.89-236084.3854</f>
        <v>148425.50460000001</v>
      </c>
      <c r="AR372" s="3" t="n">
        <f aca="false" ca="false" dt2D="false" dtr="false" t="normal">+(K372*10+L372*20)*12*0.85</f>
        <v>140423.4</v>
      </c>
      <c r="AS372" s="3" t="n">
        <f aca="false" ca="false" dt2D="false" dtr="false" t="normal">+(K372*10+L372*20)*12*30-325085.89</f>
        <v>4631034.11</v>
      </c>
      <c r="AT372" s="9" t="n">
        <f aca="false" ca="false" dt2D="false" dtr="false" t="normal">+S372-AS372</f>
        <v>-4631034.11</v>
      </c>
      <c r="AU372" s="9" t="e">
        <f aca="false" ca="false" dt2D="false" dtr="false" t="normal">+P372-'[5]Приложение №1'!$P451</f>
        <v>#REF!</v>
      </c>
      <c r="AV372" s="9" t="e">
        <f aca="false" ca="false" dt2D="false" dtr="false" t="normal">+Q372-'[5]Приложение №1'!$Q451</f>
        <v>#REF!</v>
      </c>
      <c r="AW372" s="113" t="n">
        <f aca="false" ca="true" dt2D="false" dtr="false" t="normal">SUBTOTAL(9, AX372:BL372)</f>
        <v>5267989.17634346</v>
      </c>
      <c r="AX372" s="106" t="n">
        <v>0</v>
      </c>
      <c r="AY372" s="106" t="n">
        <v>0</v>
      </c>
      <c r="AZ372" s="106" t="n">
        <v>0</v>
      </c>
      <c r="BA372" s="106" t="n">
        <v>0</v>
      </c>
      <c r="BB372" s="106" t="n">
        <v>375448.21</v>
      </c>
      <c r="BC372" s="106" t="n"/>
      <c r="BD372" s="106" t="n"/>
      <c r="BE372" s="106" t="n">
        <v>0</v>
      </c>
      <c r="BF372" s="106" t="n">
        <v>0</v>
      </c>
      <c r="BG372" s="106" t="n">
        <v>0</v>
      </c>
      <c r="BH372" s="106" t="n">
        <v>0</v>
      </c>
      <c r="BI372" s="106" t="n">
        <v>4889922.88634346</v>
      </c>
      <c r="BJ372" s="106" t="n"/>
      <c r="BK372" s="114" t="n"/>
      <c r="BL372" s="187" t="n">
        <v>2618.08</v>
      </c>
      <c r="BM372" s="113" t="n">
        <f aca="false" ca="true" dt2D="false" dtr="false" t="normal">SUBTOTAL(9, BN372:CB372)</f>
        <v>5267989.17634346</v>
      </c>
      <c r="BN372" s="106" t="n">
        <v>0</v>
      </c>
      <c r="BO372" s="106" t="n">
        <v>0</v>
      </c>
      <c r="BP372" s="106" t="n">
        <v>0</v>
      </c>
      <c r="BQ372" s="106" t="n">
        <v>0</v>
      </c>
      <c r="BR372" s="106" t="n">
        <v>375448.21</v>
      </c>
      <c r="BS372" s="106" t="n"/>
      <c r="BT372" s="106" t="n"/>
      <c r="BU372" s="106" t="n">
        <v>0</v>
      </c>
      <c r="BV372" s="106" t="n">
        <v>0</v>
      </c>
      <c r="BW372" s="106" t="n">
        <v>0</v>
      </c>
      <c r="BX372" s="106" t="n">
        <v>0</v>
      </c>
      <c r="BY372" s="106" t="n">
        <v>4889922.88634346</v>
      </c>
      <c r="BZ372" s="106" t="n"/>
      <c r="CA372" s="114" t="n"/>
      <c r="CB372" s="115" t="n">
        <v>2618.08</v>
      </c>
      <c r="CD372" s="116" t="n">
        <f aca="false" ca="false" dt2D="false" dtr="false" t="normal">+CD371+1</f>
        <v>353</v>
      </c>
      <c r="CE372" s="117" t="n">
        <f aca="false" ca="false" dt2D="false" dtr="false" t="normal">+CE371+1</f>
        <v>165</v>
      </c>
      <c r="CF372" s="104" t="s">
        <v>280</v>
      </c>
      <c r="CG372" s="117" t="s">
        <v>453</v>
      </c>
      <c r="CH372" s="118" t="n">
        <f aca="false" ca="true" dt2D="false" dtr="false" t="normal">SUBTOTAL(9, CI372:CW372)</f>
        <v>2781481.98</v>
      </c>
      <c r="CI372" s="114" t="n">
        <v>0</v>
      </c>
      <c r="CJ372" s="114" t="n">
        <v>0</v>
      </c>
      <c r="CK372" s="114" t="n">
        <v>0</v>
      </c>
      <c r="CL372" s="114" t="n">
        <v>0</v>
      </c>
      <c r="CM372" s="114" t="n">
        <v>375448.21</v>
      </c>
      <c r="CN372" s="114" t="n"/>
      <c r="CO372" s="114" t="n"/>
      <c r="CP372" s="114" t="n">
        <v>0</v>
      </c>
      <c r="CQ372" s="114" t="n">
        <v>0</v>
      </c>
      <c r="CR372" s="114" t="n">
        <v>0</v>
      </c>
      <c r="CS372" s="114" t="n">
        <v>0</v>
      </c>
      <c r="CT372" s="114" t="n">
        <v>2403415.69</v>
      </c>
      <c r="CU372" s="114" t="n"/>
      <c r="CV372" s="114" t="n"/>
      <c r="CW372" s="115" t="n">
        <v>2618.08</v>
      </c>
      <c r="CZ372" s="117" t="s">
        <v>453</v>
      </c>
      <c r="DA372" s="119" t="n">
        <f aca="false" ca="true" dt2D="false" dtr="false" t="normal">SUBTOTAL(9, DB372:DP372)</f>
        <v>2778863.9</v>
      </c>
      <c r="DB372" s="114" t="n">
        <v>0</v>
      </c>
      <c r="DC372" s="114" t="n">
        <v>0</v>
      </c>
      <c r="DD372" s="114" t="n">
        <v>0</v>
      </c>
      <c r="DE372" s="114" t="n">
        <v>0</v>
      </c>
      <c r="DF372" s="114" t="n">
        <v>375448.21</v>
      </c>
      <c r="DG372" s="114" t="n"/>
      <c r="DH372" s="114" t="n"/>
      <c r="DI372" s="114" t="n">
        <v>0</v>
      </c>
      <c r="DJ372" s="114" t="n">
        <v>0</v>
      </c>
      <c r="DK372" s="114" t="n">
        <v>0</v>
      </c>
      <c r="DL372" s="114" t="n">
        <v>0</v>
      </c>
      <c r="DM372" s="114" t="n">
        <v>2403415.69</v>
      </c>
      <c r="DN372" s="114" t="n"/>
      <c r="DO372" s="114" t="n"/>
      <c r="DP372" s="122" t="n"/>
      <c r="DQ372" s="3" t="n">
        <f aca="false" ca="false" dt2D="false" dtr="false" t="normal">N372-DA372</f>
        <v>0</v>
      </c>
      <c r="DS372" s="9" t="n"/>
    </row>
    <row hidden="false" ht="15" outlineLevel="0" r="373">
      <c r="A373" s="183" t="n">
        <f aca="false" ca="false" dt2D="false" dtr="false" t="normal">+A372+1</f>
        <v>354</v>
      </c>
      <c r="B373" s="184" t="n">
        <f aca="false" ca="false" dt2D="false" dtr="false" t="normal">+B372+1</f>
        <v>166</v>
      </c>
      <c r="C373" s="104" t="s">
        <v>283</v>
      </c>
      <c r="D373" s="104" t="s">
        <v>454</v>
      </c>
      <c r="E373" s="105" t="n">
        <v>1974</v>
      </c>
      <c r="F373" s="105" t="n">
        <v>2011</v>
      </c>
      <c r="G373" s="105" t="s">
        <v>68</v>
      </c>
      <c r="H373" s="105" t="n">
        <v>5</v>
      </c>
      <c r="I373" s="105" t="n">
        <v>4</v>
      </c>
      <c r="J373" s="106" t="n">
        <v>3194.1</v>
      </c>
      <c r="K373" s="106" t="n">
        <v>1856.9</v>
      </c>
      <c r="L373" s="106" t="n">
        <v>1224.7</v>
      </c>
      <c r="M373" s="107" t="n">
        <v>88</v>
      </c>
      <c r="N373" s="108" t="n">
        <f aca="false" ca="false" dt2D="false" dtr="false" t="normal">SUM(P373:T373)</f>
        <v>1097350.65</v>
      </c>
      <c r="O373" s="114" t="n"/>
      <c r="P373" s="114" t="n"/>
      <c r="Q373" s="114" t="n"/>
      <c r="R373" s="114" t="n">
        <v>527720.56</v>
      </c>
      <c r="S373" s="114" t="n">
        <v>569630.09</v>
      </c>
      <c r="T373" s="114" t="n"/>
      <c r="U373" s="114" t="n">
        <v>404.787922276454</v>
      </c>
      <c r="V373" s="114" t="n">
        <v>404.787922276454</v>
      </c>
      <c r="W373" s="185" t="n">
        <v>2023</v>
      </c>
      <c r="X373" s="9" t="e">
        <f aca="false" ca="false" dt2D="false" dtr="false" t="normal">+#REF!-'[9]Приложение №1'!$P1547</f>
        <v>#REF!</v>
      </c>
      <c r="Z373" s="113" t="n">
        <f aca="false" ca="false" dt2D="false" dtr="false" t="normal">SUM(AA373:AO373)</f>
        <v>9392640.590000002</v>
      </c>
      <c r="AA373" s="106" t="n">
        <v>0</v>
      </c>
      <c r="AB373" s="106" t="n">
        <v>0</v>
      </c>
      <c r="AC373" s="106" t="n">
        <v>0</v>
      </c>
      <c r="AD373" s="106" t="n">
        <v>0</v>
      </c>
      <c r="AE373" s="106" t="n">
        <v>1022757.27023358</v>
      </c>
      <c r="AF373" s="106" t="n"/>
      <c r="AG373" s="106" t="n">
        <v>0</v>
      </c>
      <c r="AH373" s="106" t="n">
        <v>0</v>
      </c>
      <c r="AI373" s="106" t="n">
        <v>0</v>
      </c>
      <c r="AJ373" s="106" t="n">
        <v>0</v>
      </c>
      <c r="AK373" s="106" t="n">
        <v>0</v>
      </c>
      <c r="AL373" s="106" t="n">
        <v>6861349.23951288</v>
      </c>
      <c r="AM373" s="106" t="n">
        <v>1242198.233</v>
      </c>
      <c r="AN373" s="114" t="n">
        <v>93926.4059</v>
      </c>
      <c r="AO373" s="115" t="n">
        <v>172409.44135354</v>
      </c>
      <c r="AP373" s="112" t="n">
        <f aca="false" ca="false" dt2D="false" dtr="false" t="normal">+N373-'Приложение №2'!E373</f>
        <v>0</v>
      </c>
      <c r="AQ373" s="1" t="n">
        <f aca="false" ca="false" dt2D="false" dtr="false" t="normal">1878287.66-954525.39</f>
        <v>923762.2699999999</v>
      </c>
      <c r="AR373" s="3" t="n">
        <f aca="false" ca="false" dt2D="false" dtr="false" t="normal">+(K373*10+L373*20)*12*0.85</f>
        <v>439242.6</v>
      </c>
      <c r="AS373" s="3" t="n">
        <f aca="false" ca="false" dt2D="false" dtr="false" t="normal">+(K373*10+L373*20)*12*30-119920.72-2599968.3</f>
        <v>12782790.98</v>
      </c>
      <c r="AT373" s="9" t="n">
        <f aca="false" ca="false" dt2D="false" dtr="false" t="normal">+S373-AS373</f>
        <v>-12213160.89</v>
      </c>
      <c r="AU373" s="9" t="e">
        <f aca="false" ca="false" dt2D="false" dtr="false" t="normal">+P373-'[5]Приложение №1'!$P454</f>
        <v>#REF!</v>
      </c>
      <c r="AV373" s="9" t="e">
        <f aca="false" ca="false" dt2D="false" dtr="false" t="normal">+Q373-'[5]Приложение №1'!$Q454</f>
        <v>#REF!</v>
      </c>
      <c r="AW373" s="113" t="n">
        <f aca="false" ca="true" dt2D="false" dtr="false" t="normal">SUBTOTAL(9, AX373:BL373)</f>
        <v>1247394.46128712</v>
      </c>
      <c r="AX373" s="106" t="n">
        <v>0</v>
      </c>
      <c r="AY373" s="106" t="n">
        <v>0</v>
      </c>
      <c r="AZ373" s="106" t="n">
        <v>0</v>
      </c>
      <c r="BA373" s="106" t="n">
        <v>0</v>
      </c>
      <c r="BB373" s="106" t="n"/>
      <c r="BC373" s="106" t="n"/>
      <c r="BD373" s="106" t="n"/>
      <c r="BE373" s="106" t="n">
        <v>0</v>
      </c>
      <c r="BF373" s="106" t="n">
        <v>0</v>
      </c>
      <c r="BG373" s="106" t="n">
        <v>0</v>
      </c>
      <c r="BH373" s="106" t="n">
        <v>0</v>
      </c>
      <c r="BI373" s="106" t="n">
        <v>1097350.65</v>
      </c>
      <c r="BJ373" s="106" t="n"/>
      <c r="BK373" s="114" t="n"/>
      <c r="BL373" s="187" t="n">
        <v>150043.81128712</v>
      </c>
      <c r="BM373" s="113" t="n">
        <f aca="false" ca="true" dt2D="false" dtr="false" t="normal">SUBTOTAL(9, BN373:CB373)</f>
        <v>1247394.46128712</v>
      </c>
      <c r="BN373" s="106" t="n">
        <v>0</v>
      </c>
      <c r="BO373" s="106" t="n">
        <v>0</v>
      </c>
      <c r="BP373" s="106" t="n">
        <v>0</v>
      </c>
      <c r="BQ373" s="106" t="n">
        <v>0</v>
      </c>
      <c r="BR373" s="106" t="n"/>
      <c r="BS373" s="106" t="n"/>
      <c r="BT373" s="106" t="n"/>
      <c r="BU373" s="106" t="n">
        <v>0</v>
      </c>
      <c r="BV373" s="106" t="n">
        <v>0</v>
      </c>
      <c r="BW373" s="106" t="n">
        <v>0</v>
      </c>
      <c r="BX373" s="106" t="n">
        <v>0</v>
      </c>
      <c r="BY373" s="106" t="n">
        <v>1097350.65</v>
      </c>
      <c r="BZ373" s="106" t="n"/>
      <c r="CA373" s="114" t="n"/>
      <c r="CB373" s="115" t="n">
        <v>150043.81128712</v>
      </c>
      <c r="CD373" s="116" t="n">
        <f aca="false" ca="false" dt2D="false" dtr="false" t="normal">+CD372+1</f>
        <v>354</v>
      </c>
      <c r="CE373" s="117" t="n">
        <f aca="false" ca="false" dt2D="false" dtr="false" t="normal">+CE372+1</f>
        <v>166</v>
      </c>
      <c r="CF373" s="104" t="s">
        <v>283</v>
      </c>
      <c r="CG373" s="117" t="s">
        <v>454</v>
      </c>
      <c r="CH373" s="118" t="n">
        <f aca="false" ca="true" dt2D="false" dtr="false" t="normal">SUBTOTAL(9, CI373:CW373)</f>
        <v>1247394.46128712</v>
      </c>
      <c r="CI373" s="114" t="n">
        <v>0</v>
      </c>
      <c r="CJ373" s="114" t="n">
        <v>0</v>
      </c>
      <c r="CK373" s="114" t="n">
        <v>0</v>
      </c>
      <c r="CL373" s="114" t="n">
        <v>0</v>
      </c>
      <c r="CM373" s="114" t="n"/>
      <c r="CN373" s="114" t="n"/>
      <c r="CO373" s="114" t="n"/>
      <c r="CP373" s="114" t="n">
        <v>0</v>
      </c>
      <c r="CQ373" s="114" t="n">
        <v>0</v>
      </c>
      <c r="CR373" s="114" t="n">
        <v>0</v>
      </c>
      <c r="CS373" s="114" t="n">
        <v>0</v>
      </c>
      <c r="CT373" s="114" t="n">
        <v>1097350.65</v>
      </c>
      <c r="CU373" s="114" t="n"/>
      <c r="CV373" s="114" t="n"/>
      <c r="CW373" s="115" t="n">
        <v>150043.81128712</v>
      </c>
      <c r="CZ373" s="117" t="s">
        <v>454</v>
      </c>
      <c r="DA373" s="119" t="n">
        <f aca="false" ca="true" dt2D="false" dtr="false" t="normal">SUBTOTAL(9, DB373:DP373)</f>
        <v>1097350.65</v>
      </c>
      <c r="DB373" s="114" t="n">
        <v>0</v>
      </c>
      <c r="DC373" s="114" t="n">
        <v>0</v>
      </c>
      <c r="DD373" s="114" t="n">
        <v>0</v>
      </c>
      <c r="DE373" s="114" t="n">
        <v>0</v>
      </c>
      <c r="DF373" s="114" t="n"/>
      <c r="DG373" s="114" t="n"/>
      <c r="DH373" s="114" t="n"/>
      <c r="DI373" s="114" t="n">
        <v>0</v>
      </c>
      <c r="DJ373" s="114" t="n">
        <v>0</v>
      </c>
      <c r="DK373" s="114" t="n">
        <v>0</v>
      </c>
      <c r="DL373" s="114" t="n">
        <v>0</v>
      </c>
      <c r="DM373" s="114" t="n">
        <v>1097350.65</v>
      </c>
      <c r="DN373" s="114" t="n"/>
      <c r="DO373" s="114" t="n"/>
      <c r="DP373" s="122" t="n"/>
      <c r="DQ373" s="3" t="n">
        <f aca="false" ca="false" dt2D="false" dtr="false" t="normal">N373-DA373</f>
        <v>0</v>
      </c>
      <c r="DS373" s="9" t="n"/>
    </row>
    <row hidden="false" ht="15" outlineLevel="0" r="374">
      <c r="A374" s="183" t="n">
        <f aca="false" ca="false" dt2D="false" dtr="false" t="normal">+A373+1</f>
        <v>355</v>
      </c>
      <c r="B374" s="184" t="n">
        <f aca="false" ca="false" dt2D="false" dtr="false" t="normal">+B373+1</f>
        <v>167</v>
      </c>
      <c r="C374" s="117" t="s">
        <v>283</v>
      </c>
      <c r="D374" s="117" t="s">
        <v>292</v>
      </c>
      <c r="E374" s="105" t="n">
        <v>1969</v>
      </c>
      <c r="F374" s="105" t="n">
        <v>2009</v>
      </c>
      <c r="G374" s="105" t="s">
        <v>68</v>
      </c>
      <c r="H374" s="105" t="n">
        <v>4</v>
      </c>
      <c r="I374" s="105" t="n">
        <v>4</v>
      </c>
      <c r="J374" s="106" t="n">
        <v>2719.1</v>
      </c>
      <c r="K374" s="106" t="n">
        <v>2454</v>
      </c>
      <c r="L374" s="106" t="n">
        <v>66.5</v>
      </c>
      <c r="M374" s="107" t="n">
        <v>120</v>
      </c>
      <c r="N374" s="108" t="n">
        <f aca="false" ca="false" dt2D="false" dtr="false" t="normal">SUM(P374:T374)</f>
        <v>6360000</v>
      </c>
      <c r="O374" s="114" t="n"/>
      <c r="P374" s="114" t="n">
        <v>671332.44</v>
      </c>
      <c r="Q374" s="114" t="n"/>
      <c r="R374" s="114" t="n">
        <v>0</v>
      </c>
      <c r="S374" s="114" t="n">
        <v>5688667.56</v>
      </c>
      <c r="T374" s="114" t="n"/>
      <c r="U374" s="114" t="n">
        <v>2583.75962362388</v>
      </c>
      <c r="V374" s="114" t="n">
        <v>2583.75962362388</v>
      </c>
      <c r="W374" s="185" t="n">
        <v>2023</v>
      </c>
      <c r="X374" s="9" t="e">
        <f aca="false" ca="false" dt2D="false" dtr="false" t="normal">+#REF!-'[9]Приложение №1'!$P2022</f>
        <v>#REF!</v>
      </c>
      <c r="Z374" s="113" t="n">
        <f aca="false" ca="false" dt2D="false" dtr="false" t="normal">SUM(AA374:AO374)</f>
        <v>14067048.463402</v>
      </c>
      <c r="AA374" s="106" t="n">
        <v>0</v>
      </c>
      <c r="AB374" s="106" t="n">
        <v>0</v>
      </c>
      <c r="AC374" s="106" t="n">
        <v>0</v>
      </c>
      <c r="AD374" s="106" t="n">
        <v>0</v>
      </c>
      <c r="AE374" s="106" t="n">
        <v>850099.92968124</v>
      </c>
      <c r="AF374" s="106" t="n"/>
      <c r="AG374" s="106" t="n">
        <v>0</v>
      </c>
      <c r="AH374" s="106" t="n">
        <v>0</v>
      </c>
      <c r="AI374" s="106" t="n">
        <v>0</v>
      </c>
      <c r="AJ374" s="106" t="n">
        <v>0</v>
      </c>
      <c r="AK374" s="106" t="n">
        <v>6122487.81</v>
      </c>
      <c r="AL374" s="106" t="n">
        <v>6280344.04</v>
      </c>
      <c r="AM374" s="106" t="n">
        <v>592071.178</v>
      </c>
      <c r="AN374" s="114" t="n">
        <v>53956.3586</v>
      </c>
      <c r="AO374" s="115" t="n">
        <v>168089.14712076</v>
      </c>
      <c r="AP374" s="112" t="n">
        <f aca="false" ca="false" dt2D="false" dtr="false" t="normal">+N374-'Приложение №2'!E374</f>
        <v>0</v>
      </c>
      <c r="AQ374" s="9" t="n">
        <f aca="false" ca="false" dt2D="false" dtr="false" t="normal">882910.83-R200</f>
        <v>-280632.6</v>
      </c>
      <c r="AR374" s="3" t="n">
        <f aca="false" ca="false" dt2D="false" dtr="false" t="normal">+(K374*10+L374*20)*12*0.85</f>
        <v>263874</v>
      </c>
      <c r="AS374" s="3" t="n">
        <f aca="false" ca="false" dt2D="false" dtr="false" t="normal">+(K374*10+L374*20)*12*30-S200</f>
        <v>4363141.55</v>
      </c>
      <c r="AT374" s="9" t="n">
        <f aca="false" ca="false" dt2D="false" dtr="false" t="normal">+S374-AS374</f>
        <v>1325526.0099999998</v>
      </c>
      <c r="AW374" s="113" t="n">
        <f aca="false" ca="true" dt2D="false" dtr="false" t="normal">SUBTOTAL(9, AX374:BL374)</f>
        <v>6512366.131344</v>
      </c>
      <c r="AX374" s="106" t="n">
        <v>0</v>
      </c>
      <c r="AY374" s="106" t="n">
        <v>0</v>
      </c>
      <c r="AZ374" s="106" t="n">
        <v>0</v>
      </c>
      <c r="BA374" s="106" t="n">
        <v>0</v>
      </c>
      <c r="BB374" s="106" t="n"/>
      <c r="BC374" s="106" t="n"/>
      <c r="BD374" s="106" t="n"/>
      <c r="BE374" s="106" t="n">
        <v>0</v>
      </c>
      <c r="BF374" s="106" t="n">
        <v>0</v>
      </c>
      <c r="BG374" s="106" t="n">
        <v>0</v>
      </c>
      <c r="BH374" s="106" t="n"/>
      <c r="BI374" s="106" t="n">
        <v>6360000</v>
      </c>
      <c r="BJ374" s="106" t="n"/>
      <c r="BK374" s="114" t="n"/>
      <c r="BL374" s="187" t="n">
        <v>152366.131344</v>
      </c>
      <c r="BM374" s="113" t="n">
        <f aca="false" ca="true" dt2D="false" dtr="false" t="normal">SUBTOTAL(9, BN374:CB374)</f>
        <v>6512366.131344</v>
      </c>
      <c r="BN374" s="106" t="n">
        <v>0</v>
      </c>
      <c r="BO374" s="106" t="n">
        <v>0</v>
      </c>
      <c r="BP374" s="106" t="n">
        <v>0</v>
      </c>
      <c r="BQ374" s="106" t="n">
        <v>0</v>
      </c>
      <c r="BR374" s="106" t="n"/>
      <c r="BS374" s="106" t="n"/>
      <c r="BT374" s="106" t="n"/>
      <c r="BU374" s="106" t="n">
        <v>0</v>
      </c>
      <c r="BV374" s="106" t="n">
        <v>0</v>
      </c>
      <c r="BW374" s="106" t="n">
        <v>0</v>
      </c>
      <c r="BX374" s="106" t="n"/>
      <c r="BY374" s="106" t="n">
        <v>6360000</v>
      </c>
      <c r="BZ374" s="106" t="n"/>
      <c r="CA374" s="114" t="n"/>
      <c r="CB374" s="115" t="n">
        <v>152366.131344</v>
      </c>
      <c r="CD374" s="116" t="n">
        <f aca="false" ca="false" dt2D="false" dtr="false" t="normal">+CD373+1</f>
        <v>355</v>
      </c>
      <c r="CE374" s="117" t="n">
        <f aca="false" ca="false" dt2D="false" dtr="false" t="normal">+CE373+1</f>
        <v>167</v>
      </c>
      <c r="CF374" s="104" t="s">
        <v>283</v>
      </c>
      <c r="CG374" s="117" t="s">
        <v>292</v>
      </c>
      <c r="CH374" s="118" t="n">
        <f aca="false" ca="true" dt2D="false" dtr="false" t="normal">SUBTOTAL(9, CI374:CW374)</f>
        <v>6512366.131344</v>
      </c>
      <c r="CI374" s="114" t="n">
        <v>0</v>
      </c>
      <c r="CJ374" s="114" t="n">
        <v>0</v>
      </c>
      <c r="CK374" s="114" t="n">
        <v>0</v>
      </c>
      <c r="CL374" s="114" t="n">
        <v>0</v>
      </c>
      <c r="CM374" s="114" t="n"/>
      <c r="CN374" s="114" t="n"/>
      <c r="CO374" s="114" t="n"/>
      <c r="CP374" s="114" t="n">
        <v>0</v>
      </c>
      <c r="CQ374" s="114" t="n">
        <v>0</v>
      </c>
      <c r="CR374" s="114" t="n">
        <v>0</v>
      </c>
      <c r="CS374" s="114" t="n"/>
      <c r="CT374" s="114" t="n">
        <v>6360000</v>
      </c>
      <c r="CU374" s="114" t="n"/>
      <c r="CV374" s="114" t="n"/>
      <c r="CW374" s="115" t="n">
        <v>152366.131344</v>
      </c>
      <c r="CZ374" s="117" t="s">
        <v>292</v>
      </c>
      <c r="DA374" s="119" t="n">
        <f aca="false" ca="true" dt2D="false" dtr="false" t="normal">SUBTOTAL(9, DB374:DP374)</f>
        <v>6360000</v>
      </c>
      <c r="DB374" s="114" t="n">
        <v>0</v>
      </c>
      <c r="DC374" s="114" t="n">
        <v>0</v>
      </c>
      <c r="DD374" s="114" t="n">
        <v>0</v>
      </c>
      <c r="DE374" s="114" t="n">
        <v>0</v>
      </c>
      <c r="DF374" s="114" t="n"/>
      <c r="DG374" s="114" t="n"/>
      <c r="DH374" s="114" t="n"/>
      <c r="DI374" s="114" t="n">
        <v>0</v>
      </c>
      <c r="DJ374" s="114" t="n">
        <v>0</v>
      </c>
      <c r="DK374" s="114" t="n">
        <v>0</v>
      </c>
      <c r="DL374" s="114" t="n"/>
      <c r="DM374" s="114" t="n">
        <v>6360000</v>
      </c>
      <c r="DN374" s="114" t="n"/>
      <c r="DO374" s="114" t="n"/>
      <c r="DP374" s="122" t="n"/>
      <c r="DQ374" s="3" t="n">
        <f aca="false" ca="false" dt2D="false" dtr="false" t="normal">N374-DA374</f>
        <v>0</v>
      </c>
      <c r="DS374" s="9" t="n"/>
    </row>
    <row hidden="false" ht="15" outlineLevel="0" r="375">
      <c r="A375" s="183" t="n">
        <f aca="false" ca="false" dt2D="false" dtr="false" t="normal">+A374+1</f>
        <v>356</v>
      </c>
      <c r="B375" s="184" t="n">
        <f aca="false" ca="false" dt2D="false" dtr="false" t="normal">+B374+1</f>
        <v>168</v>
      </c>
      <c r="C375" s="117" t="s">
        <v>283</v>
      </c>
      <c r="D375" s="117" t="s">
        <v>290</v>
      </c>
      <c r="E375" s="105" t="n">
        <v>1985</v>
      </c>
      <c r="F375" s="105" t="n">
        <v>2011</v>
      </c>
      <c r="G375" s="105" t="s">
        <v>68</v>
      </c>
      <c r="H375" s="105" t="n">
        <v>5</v>
      </c>
      <c r="I375" s="105" t="n">
        <v>2</v>
      </c>
      <c r="J375" s="106" t="n">
        <v>1696.6</v>
      </c>
      <c r="K375" s="106" t="n">
        <v>1532.2</v>
      </c>
      <c r="L375" s="106" t="n">
        <v>54.4</v>
      </c>
      <c r="M375" s="107" t="n">
        <v>58</v>
      </c>
      <c r="N375" s="108" t="n">
        <f aca="false" ca="false" dt2D="false" dtr="false" t="normal">SUM(P375:T375)</f>
        <v>530082.84</v>
      </c>
      <c r="O375" s="114" t="n"/>
      <c r="P375" s="114" t="n">
        <v>209145.34</v>
      </c>
      <c r="Q375" s="114" t="n"/>
      <c r="R375" s="114" t="n">
        <v>0</v>
      </c>
      <c r="S375" s="114" t="n">
        <v>320937.5</v>
      </c>
      <c r="T375" s="114" t="n"/>
      <c r="U375" s="114" t="n">
        <v>346.429936663759</v>
      </c>
      <c r="V375" s="114" t="n">
        <v>346.429936663759</v>
      </c>
      <c r="W375" s="185" t="n">
        <v>2023</v>
      </c>
      <c r="X375" s="9" t="e">
        <f aca="false" ca="false" dt2D="false" dtr="false" t="normal">+#REF!-'[9]Приложение №1'!$P1177</f>
        <v>#REF!</v>
      </c>
      <c r="Z375" s="113" t="n">
        <f aca="false" ca="false" dt2D="false" dtr="false" t="normal">SUM(AA375:AO375)</f>
        <v>6417929.189337999</v>
      </c>
      <c r="AA375" s="106" t="n">
        <v>2736613.71043242</v>
      </c>
      <c r="AB375" s="106" t="n">
        <v>0</v>
      </c>
      <c r="AC375" s="106" t="n">
        <v>1280803.37886942</v>
      </c>
      <c r="AD375" s="106" t="n">
        <v>849765.59</v>
      </c>
      <c r="AE375" s="106" t="n">
        <v>511029.86662728</v>
      </c>
      <c r="AF375" s="106" t="n"/>
      <c r="AG375" s="106" t="n">
        <v>140523.24640872</v>
      </c>
      <c r="AH375" s="106" t="n">
        <v>0</v>
      </c>
      <c r="AI375" s="106" t="n">
        <v>0</v>
      </c>
      <c r="AJ375" s="106" t="n">
        <v>0</v>
      </c>
      <c r="AK375" s="106" t="n">
        <v>0</v>
      </c>
      <c r="AL375" s="106" t="n">
        <v>0</v>
      </c>
      <c r="AM375" s="106" t="n">
        <v>731735.25</v>
      </c>
      <c r="AN375" s="114" t="n">
        <v>56969.5156</v>
      </c>
      <c r="AO375" s="115" t="n">
        <v>110488.63140016</v>
      </c>
      <c r="AP375" s="112" t="n">
        <f aca="false" ca="false" dt2D="false" dtr="false" t="normal">+N375-'Приложение №2'!E375</f>
        <v>0</v>
      </c>
      <c r="AQ375" s="9" t="n">
        <f aca="false" ca="false" dt2D="false" dtr="false" t="normal">660207.23-R198</f>
        <v>-167382</v>
      </c>
      <c r="AR375" s="3" t="n">
        <f aca="false" ca="false" dt2D="false" dtr="false" t="normal">+(K375*10+L375*20)*12*0.85</f>
        <v>167382</v>
      </c>
      <c r="AS375" s="3" t="n">
        <f aca="false" ca="false" dt2D="false" dtr="false" t="normal">+(K375*10+L375*20)*12*30-S198</f>
        <v>5575781.64</v>
      </c>
      <c r="AT375" s="9" t="n">
        <f aca="false" ca="false" dt2D="false" dtr="false" t="normal">+S375-AS375</f>
        <v>-5254844.14</v>
      </c>
      <c r="AU375" s="9" t="e">
        <f aca="false" ca="false" dt2D="false" dtr="false" t="normal">+P375-'[5]Приложение №1'!$P456</f>
        <v>#REF!</v>
      </c>
      <c r="AV375" s="9" t="e">
        <f aca="false" ca="false" dt2D="false" dtr="false" t="normal">+Q375-'[5]Приложение №1'!$Q456</f>
        <v>#REF!</v>
      </c>
      <c r="AW375" s="113" t="n">
        <f aca="false" ca="true" dt2D="false" dtr="false" t="normal">SUBTOTAL(9, AX375:BL375)</f>
        <v>549645.7375107199</v>
      </c>
      <c r="AX375" s="106" t="n"/>
      <c r="AY375" s="106" t="n"/>
      <c r="AZ375" s="106" t="n"/>
      <c r="BA375" s="106" t="n"/>
      <c r="BB375" s="106" t="n">
        <v>530082.84</v>
      </c>
      <c r="BC375" s="106" t="n"/>
      <c r="BD375" s="106" t="n"/>
      <c r="BE375" s="106" t="n">
        <v>0</v>
      </c>
      <c r="BF375" s="106" t="n">
        <v>0</v>
      </c>
      <c r="BG375" s="106" t="n">
        <v>0</v>
      </c>
      <c r="BH375" s="106" t="n">
        <v>0</v>
      </c>
      <c r="BI375" s="106" t="n">
        <v>0</v>
      </c>
      <c r="BJ375" s="106" t="n"/>
      <c r="BK375" s="114" t="n"/>
      <c r="BL375" s="187" t="n">
        <v>19562.89751072</v>
      </c>
      <c r="BM375" s="113" t="n">
        <f aca="false" ca="true" dt2D="false" dtr="false" t="normal">SUBTOTAL(9, BN375:CB375)</f>
        <v>549645.7375107199</v>
      </c>
      <c r="BN375" s="106" t="n"/>
      <c r="BO375" s="106" t="n"/>
      <c r="BP375" s="106" t="n"/>
      <c r="BQ375" s="106" t="n"/>
      <c r="BR375" s="106" t="n">
        <v>530082.84</v>
      </c>
      <c r="BS375" s="106" t="n"/>
      <c r="BT375" s="106" t="n"/>
      <c r="BU375" s="106" t="n">
        <v>0</v>
      </c>
      <c r="BV375" s="106" t="n">
        <v>0</v>
      </c>
      <c r="BW375" s="106" t="n">
        <v>0</v>
      </c>
      <c r="BX375" s="106" t="n">
        <v>0</v>
      </c>
      <c r="BY375" s="106" t="n">
        <v>0</v>
      </c>
      <c r="BZ375" s="106" t="n"/>
      <c r="CA375" s="114" t="n"/>
      <c r="CB375" s="115" t="n">
        <v>19562.89751072</v>
      </c>
      <c r="CD375" s="116" t="n">
        <f aca="false" ca="false" dt2D="false" dtr="false" t="normal">+CD374+1</f>
        <v>356</v>
      </c>
      <c r="CE375" s="117" t="n">
        <f aca="false" ca="false" dt2D="false" dtr="false" t="normal">+CE374+1</f>
        <v>168</v>
      </c>
      <c r="CF375" s="104" t="s">
        <v>283</v>
      </c>
      <c r="CG375" s="117" t="s">
        <v>290</v>
      </c>
      <c r="CH375" s="118" t="n">
        <f aca="false" ca="true" dt2D="false" dtr="false" t="normal">SUBTOTAL(9, CI375:CW375)</f>
        <v>549645.7375107199</v>
      </c>
      <c r="CI375" s="114" t="n"/>
      <c r="CJ375" s="114" t="n"/>
      <c r="CK375" s="114" t="n"/>
      <c r="CL375" s="114" t="n"/>
      <c r="CM375" s="114" t="n">
        <v>530082.84</v>
      </c>
      <c r="CN375" s="114" t="n"/>
      <c r="CO375" s="114" t="n"/>
      <c r="CP375" s="114" t="n">
        <v>0</v>
      </c>
      <c r="CQ375" s="114" t="n">
        <v>0</v>
      </c>
      <c r="CR375" s="114" t="n">
        <v>0</v>
      </c>
      <c r="CS375" s="114" t="n">
        <v>0</v>
      </c>
      <c r="CT375" s="114" t="n">
        <v>0</v>
      </c>
      <c r="CU375" s="114" t="n"/>
      <c r="CV375" s="114" t="n"/>
      <c r="CW375" s="115" t="n">
        <v>19562.89751072</v>
      </c>
      <c r="CZ375" s="117" t="s">
        <v>290</v>
      </c>
      <c r="DA375" s="119" t="n">
        <f aca="false" ca="true" dt2D="false" dtr="false" t="normal">SUBTOTAL(9, DB375:DP375)</f>
        <v>530082.84</v>
      </c>
      <c r="DB375" s="114" t="n"/>
      <c r="DC375" s="114" t="n"/>
      <c r="DD375" s="114" t="n"/>
      <c r="DE375" s="114" t="n"/>
      <c r="DF375" s="114" t="n">
        <v>530082.84</v>
      </c>
      <c r="DG375" s="114" t="n"/>
      <c r="DH375" s="114" t="n"/>
      <c r="DI375" s="114" t="n">
        <v>0</v>
      </c>
      <c r="DJ375" s="114" t="n">
        <v>0</v>
      </c>
      <c r="DK375" s="114" t="n">
        <v>0</v>
      </c>
      <c r="DL375" s="114" t="n">
        <v>0</v>
      </c>
      <c r="DM375" s="114" t="n">
        <v>0</v>
      </c>
      <c r="DN375" s="114" t="n"/>
      <c r="DO375" s="114" t="n"/>
      <c r="DP375" s="122" t="n"/>
      <c r="DQ375" s="3" t="n">
        <f aca="false" ca="false" dt2D="false" dtr="false" t="normal">N375-DA375</f>
        <v>0</v>
      </c>
      <c r="DS375" s="9" t="n"/>
    </row>
    <row customFormat="true" hidden="false" ht="15" outlineLevel="0" r="376" s="129">
      <c r="A376" s="183" t="n">
        <f aca="false" ca="false" dt2D="false" dtr="false" t="normal">+A375+1</f>
        <v>357</v>
      </c>
      <c r="B376" s="184" t="n">
        <f aca="false" ca="false" dt2D="false" dtr="false" t="normal">+B375+1</f>
        <v>169</v>
      </c>
      <c r="C376" s="104" t="s">
        <v>455</v>
      </c>
      <c r="D376" s="104" t="s">
        <v>456</v>
      </c>
      <c r="E376" s="105" t="s">
        <v>457</v>
      </c>
      <c r="F376" s="105" t="s">
        <v>457</v>
      </c>
      <c r="G376" s="105" t="s">
        <v>68</v>
      </c>
      <c r="H376" s="105" t="s">
        <v>105</v>
      </c>
      <c r="I376" s="105" t="s">
        <v>105</v>
      </c>
      <c r="J376" s="106" t="n">
        <v>948.7</v>
      </c>
      <c r="K376" s="106" t="n">
        <v>864.8</v>
      </c>
      <c r="L376" s="106" t="n">
        <v>80.1</v>
      </c>
      <c r="M376" s="107" t="n">
        <v>31</v>
      </c>
      <c r="N376" s="108" t="n">
        <f aca="false" ca="false" dt2D="false" dtr="false" t="normal">SUM(P376:T376)</f>
        <v>2017825.74</v>
      </c>
      <c r="O376" s="114" t="n">
        <v>0</v>
      </c>
      <c r="P376" s="114" t="n"/>
      <c r="Q376" s="114" t="n">
        <v>0</v>
      </c>
      <c r="R376" s="114" t="n">
        <v>424479.78</v>
      </c>
      <c r="S376" s="114" t="n">
        <v>1593345.96</v>
      </c>
      <c r="T376" s="114" t="n"/>
      <c r="U376" s="114" t="n">
        <v>7880.49859719976</v>
      </c>
      <c r="V376" s="114" t="n">
        <v>1438.283020064</v>
      </c>
      <c r="W376" s="185" t="n">
        <v>2023</v>
      </c>
      <c r="X376" s="129" t="n">
        <v>192543.82</v>
      </c>
      <c r="Y376" s="129" t="n">
        <f aca="false" ca="false" dt2D="false" dtr="false" t="normal">+(K376*9.1+L376*18.19)*12</f>
        <v>111920.38799999998</v>
      </c>
      <c r="AA376" s="130" t="e">
        <f aca="false" ca="false" dt2D="false" dtr="false" t="normal">+N376-'[8]Приложение № 2'!E684</f>
        <v>#REF!</v>
      </c>
      <c r="AD376" s="130" t="e">
        <f aca="false" ca="false" dt2D="false" dtr="false" t="normal">+N376-'[8]Приложение № 2'!E684</f>
        <v>#REF!</v>
      </c>
      <c r="AP376" s="112" t="n">
        <f aca="false" ca="false" dt2D="false" dtr="false" t="normal">+N376-'Приложение №2'!E376</f>
        <v>0</v>
      </c>
      <c r="AQ376" s="121" t="n">
        <v>314702.28</v>
      </c>
      <c r="AR376" s="3" t="n">
        <f aca="false" ca="false" dt2D="false" dtr="false" t="normal">+(K376*10.5+L376*21)*12*0.85</f>
        <v>109777.5</v>
      </c>
      <c r="AS376" s="3" t="n">
        <f aca="false" ca="false" dt2D="false" dtr="false" t="normal">+(K376*10.5+L376*21)*12*30-1088917.12</f>
        <v>2785582.88</v>
      </c>
      <c r="AT376" s="9" t="n">
        <f aca="false" ca="false" dt2D="false" dtr="false" t="normal">+S376-AS376</f>
        <v>-1192236.92</v>
      </c>
      <c r="AU376" s="9" t="e">
        <f aca="false" ca="false" dt2D="false" dtr="false" t="normal">+P376-'[5]Приложение №1'!$P718</f>
        <v>#REF!</v>
      </c>
      <c r="AV376" s="9" t="e">
        <f aca="false" ca="false" dt2D="false" dtr="false" t="normal">+Q376-'[5]Приложение №1'!$Q718</f>
        <v>#REF!</v>
      </c>
      <c r="AW376" s="186" t="n">
        <f aca="false" ca="true" dt2D="false" dtr="false" t="normal">SUBTOTAL(9, AX376:BL376)</f>
        <v>6815055.186858349</v>
      </c>
      <c r="AX376" s="106" t="n"/>
      <c r="AY376" s="106" t="n"/>
      <c r="AZ376" s="106" t="n"/>
      <c r="BA376" s="106" t="n"/>
      <c r="BB376" s="106" t="n"/>
      <c r="BC376" s="106" t="n"/>
      <c r="BD376" s="106" t="n"/>
      <c r="BE376" s="106" t="n"/>
      <c r="BF376" s="106" t="n"/>
      <c r="BG376" s="106" t="n"/>
      <c r="BH376" s="106" t="n"/>
      <c r="BI376" s="106" t="n">
        <v>6540166.45261558</v>
      </c>
      <c r="BJ376" s="106" t="n">
        <v>90475.4</v>
      </c>
      <c r="BK376" s="114" t="n">
        <v>41393.14</v>
      </c>
      <c r="BL376" s="187" t="n">
        <v>143020.194242769</v>
      </c>
      <c r="BM376" s="186" t="n">
        <f aca="false" ca="true" dt2D="false" dtr="false" t="normal">SUBTOTAL(9, BN376:CB376)</f>
        <v>6815055.186858349</v>
      </c>
      <c r="BN376" s="106" t="n"/>
      <c r="BO376" s="106" t="n"/>
      <c r="BP376" s="106" t="n"/>
      <c r="BQ376" s="106" t="n"/>
      <c r="BR376" s="106" t="n"/>
      <c r="BS376" s="106" t="n"/>
      <c r="BT376" s="106" t="n"/>
      <c r="BU376" s="106" t="n"/>
      <c r="BV376" s="106" t="n"/>
      <c r="BW376" s="106" t="n"/>
      <c r="BX376" s="106" t="n"/>
      <c r="BY376" s="106" t="n">
        <v>6540166.45261558</v>
      </c>
      <c r="BZ376" s="106" t="n">
        <v>90475.4</v>
      </c>
      <c r="CA376" s="114" t="n">
        <v>41393.14</v>
      </c>
      <c r="CB376" s="115" t="n">
        <v>143020.194242769</v>
      </c>
      <c r="CD376" s="116" t="n">
        <f aca="false" ca="false" dt2D="false" dtr="false" t="normal">+CD375+1</f>
        <v>357</v>
      </c>
      <c r="CE376" s="117" t="n">
        <f aca="false" ca="false" dt2D="false" dtr="false" t="normal">+CE375+1</f>
        <v>169</v>
      </c>
      <c r="CF376" s="104" t="s">
        <v>455</v>
      </c>
      <c r="CG376" s="117" t="s">
        <v>456</v>
      </c>
      <c r="CH376" s="188" t="n">
        <f aca="false" ca="true" dt2D="false" dtr="false" t="normal">SUBTOTAL(9, CI376:CW376)</f>
        <v>2160845.934242769</v>
      </c>
      <c r="CI376" s="114" t="n"/>
      <c r="CJ376" s="114" t="n"/>
      <c r="CK376" s="114" t="n"/>
      <c r="CL376" s="114" t="n"/>
      <c r="CM376" s="114" t="n"/>
      <c r="CN376" s="114" t="n"/>
      <c r="CO376" s="114" t="n"/>
      <c r="CP376" s="114" t="n"/>
      <c r="CQ376" s="114" t="n"/>
      <c r="CR376" s="114" t="n"/>
      <c r="CS376" s="114" t="n"/>
      <c r="CT376" s="114" t="n">
        <v>1885957.2</v>
      </c>
      <c r="CU376" s="114" t="n">
        <v>107868.54</v>
      </c>
      <c r="CV376" s="114" t="n">
        <v>24000</v>
      </c>
      <c r="CW376" s="115" t="n">
        <v>143020.194242769</v>
      </c>
      <c r="CZ376" s="117" t="s">
        <v>456</v>
      </c>
      <c r="DA376" s="189" t="n">
        <f aca="false" ca="true" dt2D="false" dtr="false" t="normal">SUBTOTAL(9, DB376:DP376)</f>
        <v>2017825.74</v>
      </c>
      <c r="DB376" s="114" t="n"/>
      <c r="DC376" s="114" t="n"/>
      <c r="DD376" s="114" t="n"/>
      <c r="DE376" s="114" t="n"/>
      <c r="DF376" s="114" t="n"/>
      <c r="DG376" s="114" t="n"/>
      <c r="DH376" s="114" t="n"/>
      <c r="DI376" s="114" t="n"/>
      <c r="DJ376" s="114" t="n"/>
      <c r="DK376" s="114" t="n"/>
      <c r="DL376" s="114" t="n"/>
      <c r="DM376" s="114" t="n">
        <v>1885957.2</v>
      </c>
      <c r="DN376" s="114" t="n">
        <v>107868.54</v>
      </c>
      <c r="DO376" s="114" t="n">
        <v>24000</v>
      </c>
      <c r="DP376" s="122" t="n"/>
      <c r="DQ376" s="3" t="n">
        <f aca="false" ca="false" dt2D="false" dtr="false" t="normal">N376-DA376</f>
        <v>0</v>
      </c>
      <c r="DS376" s="9" t="n"/>
    </row>
    <row customFormat="true" hidden="false" ht="15" outlineLevel="0" r="377" s="129">
      <c r="A377" s="183" t="n">
        <f aca="false" ca="false" dt2D="false" dtr="false" t="normal">+A376+1</f>
        <v>358</v>
      </c>
      <c r="B377" s="184" t="n">
        <f aca="false" ca="false" dt2D="false" dtr="false" t="normal">+B376+1</f>
        <v>170</v>
      </c>
      <c r="C377" s="104" t="s">
        <v>111</v>
      </c>
      <c r="D377" s="117" t="s">
        <v>458</v>
      </c>
      <c r="E377" s="105" t="s">
        <v>459</v>
      </c>
      <c r="F377" s="105" t="n"/>
      <c r="G377" s="105" t="s">
        <v>68</v>
      </c>
      <c r="H377" s="105" t="n">
        <v>3</v>
      </c>
      <c r="I377" s="105" t="n">
        <v>3</v>
      </c>
      <c r="J377" s="106" t="n">
        <v>2064.6</v>
      </c>
      <c r="K377" s="106" t="n">
        <v>1675.2</v>
      </c>
      <c r="L377" s="106" t="n">
        <v>0</v>
      </c>
      <c r="M377" s="107" t="n">
        <v>85</v>
      </c>
      <c r="N377" s="108" t="n">
        <f aca="false" ca="false" dt2D="false" dtr="false" t="normal">SUM(P377:T377)</f>
        <v>19396547.59</v>
      </c>
      <c r="O377" s="106" t="n"/>
      <c r="P377" s="114" t="n">
        <v>0</v>
      </c>
      <c r="Q377" s="114" t="n"/>
      <c r="R377" s="114" t="n">
        <v>19396547.59</v>
      </c>
      <c r="S377" s="114" t="n"/>
      <c r="T377" s="106" t="n"/>
      <c r="U377" s="190" t="n">
        <f aca="false" ca="false" dt2D="false" dtr="false" t="normal">$N377/($K377+$L377)</f>
        <v>11578.645887058261</v>
      </c>
      <c r="V377" s="190" t="n">
        <f aca="false" ca="false" dt2D="false" dtr="false" t="normal">$N377/($K377+$L377)</f>
        <v>11578.645887058261</v>
      </c>
      <c r="W377" s="185" t="n">
        <v>2023</v>
      </c>
      <c r="AA377" s="130" t="n"/>
      <c r="AD377" s="130" t="n"/>
      <c r="AP377" s="112" t="n">
        <f aca="false" ca="false" dt2D="false" dtr="false" t="normal">+N377-'Приложение №2'!E376</f>
        <v>17378721.85</v>
      </c>
      <c r="AQ377" s="135" t="n">
        <v>863803.68</v>
      </c>
      <c r="AR377" s="3" t="n">
        <f aca="false" ca="false" dt2D="false" dtr="false" t="normal">+(K377*13.29+L377*22.52)*12*0.85</f>
        <v>227086.7616</v>
      </c>
      <c r="AS377" s="3" t="n">
        <f aca="false" ca="false" dt2D="false" dtr="false" t="normal">+(K377*10+L377*20)*12*30</f>
        <v>6030720</v>
      </c>
      <c r="AT377" s="9" t="n">
        <f aca="false" ca="false" dt2D="false" dtr="false" t="normal">+S377-AS377</f>
        <v>-6030720</v>
      </c>
      <c r="AW377" s="113" t="n">
        <f aca="false" ca="true" dt2D="false" dtr="false" t="normal">SUBTOTAL(9, AX377:BL377)</f>
        <v>3508963.12</v>
      </c>
      <c r="AX377" s="113" t="n">
        <v>3508963.12</v>
      </c>
      <c r="AY377" s="113" t="n"/>
      <c r="AZ377" s="113" t="n"/>
      <c r="BA377" s="113" t="n"/>
      <c r="BB377" s="113" t="n"/>
      <c r="BC377" s="113" t="n"/>
      <c r="BD377" s="113" t="n"/>
      <c r="BE377" s="113" t="n"/>
      <c r="BF377" s="113" t="n"/>
      <c r="BG377" s="113" t="n"/>
      <c r="BH377" s="113" t="n"/>
      <c r="BI377" s="113" t="n"/>
      <c r="BJ377" s="113" t="n"/>
      <c r="BK377" s="113" t="n"/>
      <c r="BL377" s="200" t="n"/>
      <c r="BM377" s="113" t="n">
        <f aca="false" ca="true" dt2D="false" dtr="false" t="normal">SUBTOTAL(9, BN377:CB377)</f>
        <v>3508963.12</v>
      </c>
      <c r="BN377" s="113" t="n">
        <v>3508963.12</v>
      </c>
      <c r="BO377" s="113" t="n"/>
      <c r="BP377" s="113" t="n"/>
      <c r="BQ377" s="113" t="n"/>
      <c r="BR377" s="113" t="n"/>
      <c r="BS377" s="113" t="n"/>
      <c r="BT377" s="113" t="n"/>
      <c r="BU377" s="113" t="n"/>
      <c r="BV377" s="113" t="n"/>
      <c r="BW377" s="113" t="n"/>
      <c r="BX377" s="113" t="n"/>
      <c r="BY377" s="113" t="n"/>
      <c r="BZ377" s="113" t="n"/>
      <c r="CA377" s="113" t="n"/>
      <c r="CB377" s="200" t="n"/>
      <c r="CD377" s="116" t="n">
        <f aca="false" ca="false" dt2D="false" dtr="false" t="normal">+CD376+1</f>
        <v>358</v>
      </c>
      <c r="CE377" s="117" t="n">
        <f aca="false" ca="false" dt2D="false" dtr="false" t="normal">+CE376+1</f>
        <v>170</v>
      </c>
      <c r="CF377" s="104" t="s">
        <v>111</v>
      </c>
      <c r="CG377" s="117" t="s">
        <v>458</v>
      </c>
      <c r="CH377" s="118" t="n">
        <f aca="false" ca="true" dt2D="false" dtr="false" t="normal">SUBTOTAL(9, CI377:CW377)</f>
        <v>19396547.59</v>
      </c>
      <c r="CI377" s="114" t="n">
        <v>0</v>
      </c>
      <c r="CJ377" s="114" t="n">
        <v>0</v>
      </c>
      <c r="CK377" s="114" t="n">
        <v>0</v>
      </c>
      <c r="CL377" s="114" t="n">
        <v>0</v>
      </c>
      <c r="CM377" s="114" t="n">
        <v>0</v>
      </c>
      <c r="CN377" s="114" t="n"/>
      <c r="CO377" s="114" t="n"/>
      <c r="CP377" s="114" t="n">
        <v>0</v>
      </c>
      <c r="CQ377" s="114" t="n">
        <v>19396547.59</v>
      </c>
      <c r="CR377" s="114" t="n">
        <v>0</v>
      </c>
      <c r="CS377" s="114" t="n">
        <v>0</v>
      </c>
      <c r="CT377" s="114" t="n">
        <v>0</v>
      </c>
      <c r="CU377" s="114" t="n"/>
      <c r="CV377" s="114" t="n"/>
      <c r="CW377" s="115" t="n"/>
      <c r="CZ377" s="117" t="s">
        <v>458</v>
      </c>
      <c r="DA377" s="119" t="n">
        <f aca="false" ca="true" dt2D="false" dtr="false" t="normal">SUBTOTAL(9, DB377:DP377)</f>
        <v>19396547.59</v>
      </c>
      <c r="DB377" s="114" t="n">
        <v>0</v>
      </c>
      <c r="DC377" s="114" t="n">
        <v>0</v>
      </c>
      <c r="DD377" s="114" t="n">
        <v>0</v>
      </c>
      <c r="DE377" s="114" t="n">
        <v>0</v>
      </c>
      <c r="DF377" s="114" t="n">
        <v>0</v>
      </c>
      <c r="DG377" s="114" t="n"/>
      <c r="DH377" s="114" t="n"/>
      <c r="DI377" s="114" t="n">
        <v>0</v>
      </c>
      <c r="DJ377" s="114" t="n">
        <v>19396547.59</v>
      </c>
      <c r="DK377" s="114" t="n">
        <v>0</v>
      </c>
      <c r="DL377" s="114" t="n">
        <v>0</v>
      </c>
      <c r="DM377" s="114" t="n">
        <v>0</v>
      </c>
      <c r="DN377" s="114" t="n"/>
      <c r="DO377" s="114" t="n"/>
      <c r="DP377" s="115" t="n"/>
      <c r="DQ377" s="3" t="n">
        <f aca="false" ca="false" dt2D="false" dtr="false" t="normal">N377-DA377</f>
        <v>0</v>
      </c>
      <c r="DS377" s="9" t="n">
        <f aca="false" ca="false" dt2D="false" dtr="false" t="normal">T377-DQ377</f>
        <v>0</v>
      </c>
    </row>
    <row customFormat="true" hidden="false" ht="15" outlineLevel="0" r="378" s="129">
      <c r="A378" s="183" t="n">
        <f aca="false" ca="false" dt2D="false" dtr="false" t="normal">+A377+1</f>
        <v>359</v>
      </c>
      <c r="B378" s="184" t="n">
        <f aca="false" ca="false" dt2D="false" dtr="false" t="normal">+B377+1</f>
        <v>171</v>
      </c>
      <c r="C378" s="104" t="s">
        <v>111</v>
      </c>
      <c r="D378" s="104" t="s">
        <v>460</v>
      </c>
      <c r="E378" s="105" t="n">
        <v>1996</v>
      </c>
      <c r="F378" s="105" t="n"/>
      <c r="G378" s="105" t="s">
        <v>68</v>
      </c>
      <c r="H378" s="105" t="n">
        <v>4</v>
      </c>
      <c r="I378" s="105" t="n">
        <v>3</v>
      </c>
      <c r="J378" s="106" t="n">
        <v>6441.2</v>
      </c>
      <c r="K378" s="106" t="n">
        <v>4463.1</v>
      </c>
      <c r="L378" s="106" t="n">
        <v>1969.2</v>
      </c>
      <c r="M378" s="107" t="n">
        <v>152</v>
      </c>
      <c r="N378" s="108" t="n">
        <f aca="false" ca="false" dt2D="false" dtr="false" t="normal">SUM(P378:T378)</f>
        <v>27023830.79</v>
      </c>
      <c r="O378" s="106" t="n"/>
      <c r="P378" s="114" t="n">
        <v>0</v>
      </c>
      <c r="Q378" s="114" t="n"/>
      <c r="R378" s="114" t="n">
        <v>27023830.79</v>
      </c>
      <c r="S378" s="114" t="n"/>
      <c r="T378" s="106" t="n"/>
      <c r="U378" s="190" t="n">
        <f aca="false" ca="false" dt2D="false" dtr="false" t="normal">$N378/($K378+$L378)</f>
        <v>4201.270275018267</v>
      </c>
      <c r="V378" s="190" t="n">
        <f aca="false" ca="false" dt2D="false" dtr="false" t="normal">$N378/($K378+$L378)</f>
        <v>4201.270275018267</v>
      </c>
      <c r="W378" s="185" t="n">
        <v>2023</v>
      </c>
      <c r="AA378" s="130" t="n"/>
      <c r="AD378" s="130" t="n"/>
      <c r="AP378" s="112" t="n">
        <f aca="false" ca="false" dt2D="false" dtr="false" t="normal">+N378-'Приложение №2'!E377</f>
        <v>7627283.199999999</v>
      </c>
      <c r="AQ378" s="135" t="n">
        <v>863803.68</v>
      </c>
      <c r="AR378" s="3" t="n">
        <f aca="false" ca="false" dt2D="false" dtr="false" t="normal">+(K378*13.29+L378*22.52)*12*0.85</f>
        <v>1057342.0266</v>
      </c>
      <c r="AS378" s="3" t="n">
        <f aca="false" ca="false" dt2D="false" dtr="false" t="normal">+(K378*10+L378*20)*12*30</f>
        <v>30245400</v>
      </c>
      <c r="AT378" s="9" t="n">
        <f aca="false" ca="false" dt2D="false" dtr="false" t="normal">+S378-AS378</f>
        <v>-30245400</v>
      </c>
      <c r="AW378" s="113" t="n">
        <f aca="false" ca="true" dt2D="false" dtr="false" t="normal">SUBTOTAL(9, AX378:BL378)</f>
        <v>3508963.12</v>
      </c>
      <c r="AX378" s="113" t="n">
        <v>3508963.12</v>
      </c>
      <c r="AY378" s="113" t="n"/>
      <c r="AZ378" s="113" t="n"/>
      <c r="BA378" s="113" t="n"/>
      <c r="BB378" s="113" t="n"/>
      <c r="BC378" s="113" t="n"/>
      <c r="BD378" s="113" t="n"/>
      <c r="BE378" s="113" t="n"/>
      <c r="BF378" s="113" t="n"/>
      <c r="BG378" s="113" t="n"/>
      <c r="BH378" s="113" t="n"/>
      <c r="BI378" s="113" t="n"/>
      <c r="BJ378" s="113" t="n"/>
      <c r="BK378" s="113" t="n"/>
      <c r="BL378" s="200" t="n"/>
      <c r="BM378" s="113" t="n">
        <f aca="false" ca="true" dt2D="false" dtr="false" t="normal">SUBTOTAL(9, BN378:CB378)</f>
        <v>3508963.12</v>
      </c>
      <c r="BN378" s="113" t="n">
        <v>3508963.12</v>
      </c>
      <c r="BO378" s="113" t="n"/>
      <c r="BP378" s="113" t="n"/>
      <c r="BQ378" s="113" t="n"/>
      <c r="BR378" s="113" t="n"/>
      <c r="BS378" s="113" t="n"/>
      <c r="BT378" s="113" t="n"/>
      <c r="BU378" s="113" t="n"/>
      <c r="BV378" s="113" t="n"/>
      <c r="BW378" s="113" t="n"/>
      <c r="BX378" s="113" t="n"/>
      <c r="BY378" s="113" t="n"/>
      <c r="BZ378" s="113" t="n"/>
      <c r="CA378" s="113" t="n"/>
      <c r="CB378" s="200" t="n"/>
      <c r="CD378" s="116" t="n">
        <f aca="false" ca="false" dt2D="false" dtr="false" t="normal">+CD377+1</f>
        <v>359</v>
      </c>
      <c r="CE378" s="117" t="n">
        <f aca="false" ca="false" dt2D="false" dtr="false" t="normal">+CE377+1</f>
        <v>171</v>
      </c>
      <c r="CF378" s="104" t="s">
        <v>111</v>
      </c>
      <c r="CG378" s="117" t="s">
        <v>460</v>
      </c>
      <c r="CH378" s="118" t="n">
        <f aca="false" ca="true" dt2D="false" dtr="false" t="normal">SUBTOTAL(9, CI378:CW378)</f>
        <v>27023830.790000003</v>
      </c>
      <c r="CI378" s="114" t="n">
        <v>0</v>
      </c>
      <c r="CJ378" s="114" t="n">
        <v>0</v>
      </c>
      <c r="CK378" s="114" t="n">
        <v>0</v>
      </c>
      <c r="CL378" s="114" t="n">
        <v>0</v>
      </c>
      <c r="CM378" s="114" t="n">
        <v>0</v>
      </c>
      <c r="CN378" s="114" t="n"/>
      <c r="CO378" s="114" t="n"/>
      <c r="CP378" s="114" t="n">
        <v>0</v>
      </c>
      <c r="CQ378" s="114" t="n">
        <v>2963117.94</v>
      </c>
      <c r="CR378" s="114" t="n">
        <v>0</v>
      </c>
      <c r="CS378" s="114" t="n">
        <v>24060712.85</v>
      </c>
      <c r="CT378" s="114" t="n">
        <v>0</v>
      </c>
      <c r="CU378" s="114" t="n"/>
      <c r="CV378" s="114" t="n"/>
      <c r="CW378" s="115" t="n"/>
      <c r="CZ378" s="117" t="s">
        <v>460</v>
      </c>
      <c r="DA378" s="119" t="n">
        <f aca="false" ca="true" dt2D="false" dtr="false" t="normal">SUBTOTAL(9, DB378:DP378)</f>
        <v>27023830.790000003</v>
      </c>
      <c r="DB378" s="114" t="n">
        <v>0</v>
      </c>
      <c r="DC378" s="114" t="n">
        <v>0</v>
      </c>
      <c r="DD378" s="114" t="n">
        <v>0</v>
      </c>
      <c r="DE378" s="114" t="n">
        <v>0</v>
      </c>
      <c r="DF378" s="114" t="n">
        <v>0</v>
      </c>
      <c r="DG378" s="114" t="n"/>
      <c r="DH378" s="114" t="n"/>
      <c r="DI378" s="114" t="n">
        <v>0</v>
      </c>
      <c r="DJ378" s="114" t="n">
        <v>2963117.94</v>
      </c>
      <c r="DK378" s="114" t="n">
        <v>0</v>
      </c>
      <c r="DL378" s="114" t="n">
        <v>24060712.85</v>
      </c>
      <c r="DM378" s="114" t="n">
        <v>0</v>
      </c>
      <c r="DN378" s="114" t="n"/>
      <c r="DO378" s="114" t="n"/>
      <c r="DP378" s="115" t="n"/>
      <c r="DQ378" s="3" t="n">
        <f aca="false" ca="false" dt2D="false" dtr="false" t="normal">N378-DA378</f>
        <v>0</v>
      </c>
      <c r="DS378" s="9" t="n">
        <f aca="false" ca="false" dt2D="false" dtr="false" t="normal">T378-DQ378</f>
        <v>0</v>
      </c>
    </row>
    <row hidden="false" ht="15" outlineLevel="0" r="379">
      <c r="A379" s="183" t="n">
        <f aca="false" ca="false" dt2D="false" dtr="false" t="normal">+A378+1</f>
        <v>360</v>
      </c>
      <c r="B379" s="184" t="n">
        <f aca="false" ca="false" dt2D="false" dtr="false" t="normal">+B378+1</f>
        <v>172</v>
      </c>
      <c r="C379" s="104" t="s">
        <v>111</v>
      </c>
      <c r="D379" s="117" t="s">
        <v>461</v>
      </c>
      <c r="E379" s="105" t="n">
        <v>2010</v>
      </c>
      <c r="F379" s="105" t="n"/>
      <c r="G379" s="105" t="s">
        <v>68</v>
      </c>
      <c r="H379" s="105" t="n">
        <v>7</v>
      </c>
      <c r="I379" s="105" t="n">
        <v>3</v>
      </c>
      <c r="J379" s="106" t="n">
        <v>6265.3</v>
      </c>
      <c r="K379" s="106" t="n">
        <v>5329.6</v>
      </c>
      <c r="L379" s="106" t="n">
        <v>0</v>
      </c>
      <c r="M379" s="107" t="n">
        <v>208</v>
      </c>
      <c r="N379" s="108" t="n">
        <f aca="false" ca="false" dt2D="false" dtr="false" t="normal">SUM(P379:T379)</f>
        <v>893135.77</v>
      </c>
      <c r="O379" s="106" t="n"/>
      <c r="P379" s="114" t="n"/>
      <c r="Q379" s="114" t="n"/>
      <c r="R379" s="114" t="n">
        <v>893135.77</v>
      </c>
      <c r="S379" s="114" t="n"/>
      <c r="T379" s="114" t="n"/>
      <c r="U379" s="190" t="n">
        <f aca="false" ca="false" dt2D="false" dtr="false" t="normal">$N379/($K379+$L379)</f>
        <v>167.5802630591414</v>
      </c>
      <c r="V379" s="190" t="n">
        <f aca="false" ca="false" dt2D="false" dtr="false" t="normal">$N379/($K379+$L379)</f>
        <v>167.5802630591414</v>
      </c>
      <c r="W379" s="185" t="n">
        <v>2023</v>
      </c>
      <c r="X379" s="9" t="e">
        <f aca="false" ca="false" dt2D="false" dtr="false" t="normal">+#REF!-'[9]Приложение №1'!$P869</f>
        <v>#REF!</v>
      </c>
      <c r="Z379" s="113" t="n">
        <f aca="false" ca="false" dt2D="false" dtr="false" t="normal">SUM(AA379:AO379)</f>
        <v>34989133.45000003</v>
      </c>
      <c r="AA379" s="106" t="n">
        <v>10381481.9758432</v>
      </c>
      <c r="AB379" s="106" t="n">
        <v>6003894.834903</v>
      </c>
      <c r="AC379" s="106" t="n">
        <v>6346561.38281718</v>
      </c>
      <c r="AD379" s="106" t="n">
        <v>4839307.00975008</v>
      </c>
      <c r="AE379" s="106" t="n">
        <v>1933204.08466836</v>
      </c>
      <c r="AF379" s="106" t="n"/>
      <c r="AG379" s="106" t="n">
        <v>515853.1053648</v>
      </c>
      <c r="AH379" s="106" t="n">
        <v>0</v>
      </c>
      <c r="AI379" s="106" t="n">
        <v>0</v>
      </c>
      <c r="AJ379" s="106" t="n">
        <v>0</v>
      </c>
      <c r="AK379" s="106" t="n">
        <v>0</v>
      </c>
      <c r="AL379" s="106" t="n">
        <v>0</v>
      </c>
      <c r="AM379" s="106" t="n">
        <v>3962456.5102</v>
      </c>
      <c r="AN379" s="114" t="n">
        <v>349891.3345</v>
      </c>
      <c r="AO379" s="115" t="n">
        <v>656483.21195342</v>
      </c>
      <c r="AP379" s="112" t="n">
        <f aca="false" ca="false" dt2D="false" dtr="false" t="normal">+N379-'Приложение №2'!E379</f>
        <v>0</v>
      </c>
      <c r="AQ379" s="135" t="n">
        <v>3444629.27</v>
      </c>
      <c r="AR379" s="3" t="n">
        <f aca="false" ca="false" dt2D="false" dtr="false" t="normal">+(K379*10+L379*20)*12*0.85</f>
        <v>543619.2</v>
      </c>
      <c r="AS379" s="3" t="n">
        <f aca="false" ca="false" dt2D="false" dtr="false" t="normal">+(K379*10+L379*20)*12*30</f>
        <v>19186560</v>
      </c>
      <c r="AT379" s="9" t="n">
        <f aca="false" ca="false" dt2D="false" dtr="false" t="normal">+S379-AS379</f>
        <v>-19186560</v>
      </c>
      <c r="AU379" s="9" t="n"/>
      <c r="AV379" s="9" t="n"/>
      <c r="AW379" s="113" t="n">
        <f aca="false" ca="true" dt2D="false" dtr="false" t="normal">SUBTOTAL(9, AX379:BL379)</f>
        <v>22137159.737416</v>
      </c>
      <c r="AX379" s="106" t="n">
        <v>8773415.94</v>
      </c>
      <c r="AY379" s="106" t="n"/>
      <c r="AZ379" s="106" t="n">
        <v>7093798.132218</v>
      </c>
      <c r="BA379" s="106" t="n">
        <v>5581283.073198</v>
      </c>
      <c r="BB379" s="106" t="n"/>
      <c r="BC379" s="106" t="n"/>
      <c r="BD379" s="106" t="n"/>
      <c r="BE379" s="106" t="n"/>
      <c r="BF379" s="106" t="n"/>
      <c r="BG379" s="106" t="n"/>
      <c r="BH379" s="106" t="n"/>
      <c r="BI379" s="106" t="n"/>
      <c r="BJ379" s="106" t="n">
        <v>128556.376</v>
      </c>
      <c r="BK379" s="114" t="n">
        <v>23378.916</v>
      </c>
      <c r="BL379" s="187" t="n">
        <v>536727.3</v>
      </c>
      <c r="BM379" s="113" t="n">
        <f aca="false" ca="true" dt2D="false" dtr="false" t="normal">SUBTOTAL(9, BN379:CB379)</f>
        <v>17467234.882</v>
      </c>
      <c r="BN379" s="106" t="n">
        <v>8885029.46</v>
      </c>
      <c r="BO379" s="106" t="n"/>
      <c r="BP379" s="106" t="n">
        <v>3892363.59</v>
      </c>
      <c r="BQ379" s="106" t="n">
        <v>4001179.24</v>
      </c>
      <c r="BR379" s="106" t="n"/>
      <c r="BS379" s="106" t="n"/>
      <c r="BT379" s="106" t="n"/>
      <c r="BU379" s="106" t="n"/>
      <c r="BV379" s="106" t="n"/>
      <c r="BW379" s="106" t="n"/>
      <c r="BX379" s="106" t="n"/>
      <c r="BY379" s="106" t="n"/>
      <c r="BZ379" s="106" t="n">
        <v>128556.376</v>
      </c>
      <c r="CA379" s="114" t="n">
        <v>23378.916</v>
      </c>
      <c r="CB379" s="115" t="n">
        <v>536727.3</v>
      </c>
      <c r="CD379" s="116" t="n">
        <f aca="false" ca="false" dt2D="false" dtr="false" t="normal">+CD378+1</f>
        <v>360</v>
      </c>
      <c r="CE379" s="117" t="n">
        <f aca="false" ca="false" dt2D="false" dtr="false" t="normal">+CE378+1</f>
        <v>172</v>
      </c>
      <c r="CF379" s="104" t="s">
        <v>111</v>
      </c>
      <c r="CG379" s="117" t="s">
        <v>461</v>
      </c>
      <c r="CH379" s="118" t="n">
        <f aca="false" ca="true" dt2D="false" dtr="false" t="normal">SUBTOTAL(9, CI379:CW379)</f>
        <v>893135.77</v>
      </c>
      <c r="CI379" s="114" t="n"/>
      <c r="CJ379" s="114" t="n">
        <v>893135.77</v>
      </c>
      <c r="CK379" s="114" t="n"/>
      <c r="CL379" s="114" t="n"/>
      <c r="CM379" s="114" t="n"/>
      <c r="CN379" s="114" t="n"/>
      <c r="CO379" s="114" t="n"/>
      <c r="CP379" s="114" t="n"/>
      <c r="CQ379" s="114" t="n"/>
      <c r="CR379" s="114" t="n"/>
      <c r="CS379" s="114" t="n"/>
      <c r="CT379" s="114" t="n"/>
      <c r="CU379" s="114" t="n"/>
      <c r="CV379" s="114" t="n"/>
      <c r="CW379" s="115" t="n"/>
      <c r="CZ379" s="117" t="s">
        <v>461</v>
      </c>
      <c r="DA379" s="119" t="n">
        <f aca="false" ca="true" dt2D="false" dtr="false" t="normal">SUBTOTAL(9, DB379:DP379)</f>
        <v>893135.77</v>
      </c>
      <c r="DB379" s="114" t="n"/>
      <c r="DC379" s="114" t="n">
        <v>893135.77</v>
      </c>
      <c r="DD379" s="114" t="n"/>
      <c r="DE379" s="114" t="n"/>
      <c r="DF379" s="114" t="n"/>
      <c r="DG379" s="114" t="n"/>
      <c r="DH379" s="114" t="n"/>
      <c r="DI379" s="114" t="n"/>
      <c r="DJ379" s="114" t="n"/>
      <c r="DK379" s="114" t="n"/>
      <c r="DL379" s="114" t="n"/>
      <c r="DM379" s="114" t="n"/>
      <c r="DN379" s="114" t="n"/>
      <c r="DO379" s="114" t="n"/>
      <c r="DP379" s="115" t="n"/>
      <c r="DQ379" s="3" t="n">
        <f aca="false" ca="false" dt2D="false" dtr="false" t="normal">N379-DA379</f>
        <v>0</v>
      </c>
      <c r="DS379" s="9" t="n">
        <f aca="false" ca="false" dt2D="false" dtr="false" t="normal">T379-DQ379</f>
        <v>0</v>
      </c>
    </row>
    <row customFormat="true" customHeight="true" hidden="false" ht="20.25" outlineLevel="0" r="380" s="217">
      <c r="A380" s="218" t="n"/>
      <c r="B380" s="218" t="n"/>
      <c r="C380" s="162" t="n"/>
      <c r="D380" s="163" t="s">
        <v>462</v>
      </c>
      <c r="E380" s="164" t="n"/>
      <c r="F380" s="164" t="n"/>
      <c r="G380" s="164" t="n"/>
      <c r="H380" s="164" t="n"/>
      <c r="I380" s="164" t="n"/>
      <c r="J380" s="165" t="n">
        <f aca="false" ca="false" dt2D="false" dtr="false" t="normal">SUM(J382:J397, J399, J401:J404, J406:J408, J410, J413, J418, J419:J422, J431, J436, J438:J451, J454:J457, J460:J462, J465:J466, J469:J480)</f>
        <v>236974.00999999998</v>
      </c>
      <c r="K380" s="165" t="n">
        <f aca="false" ca="false" dt2D="false" dtr="false" t="normal">SUM(K382:K397, K399, K401:K404, K406:K408, K410, K413, K418, K419:K422, K431, K436, K438:K451, K454:K457, K460:K462, K465:K466, K469:K480)</f>
        <v>199958.28999999995</v>
      </c>
      <c r="L380" s="165" t="n">
        <f aca="false" ca="false" dt2D="false" dtr="false" t="normal">SUM(L382:L397, L399, L401:L404, L406:L408, L410, L413, L418, L419:L422, L431, L436, L438:L451, L454:L457, L460:L462, L465:L466, L469:L480)</f>
        <v>9231.220000000001</v>
      </c>
      <c r="M380" s="165" t="n">
        <f aca="false" ca="false" dt2D="false" dtr="false" t="normal">SUM(M382:M397, M399, M401:M404, M406:M408, M410, M413, M418, M419:M422, M431, M436, M438:M451, M454:M457, M460:M462, M465:M466, M469:M480)</f>
        <v>8458</v>
      </c>
      <c r="N380" s="219" t="n">
        <f aca="false" ca="false" dt2D="false" dtr="false" t="normal">SUM(P380:T380)</f>
        <v>768473364.1719999</v>
      </c>
      <c r="O380" s="169" t="n"/>
      <c r="P380" s="220" t="n">
        <f aca="false" ca="false" dt2D="false" dtr="false" t="normal">SUM(P381:P480)</f>
        <v>307357757.00128555</v>
      </c>
      <c r="Q380" s="165" t="n">
        <f aca="false" ca="false" dt2D="false" dtr="false" t="normal">SUM(Q381:Q480)</f>
        <v>3047133.36</v>
      </c>
      <c r="R380" s="165" t="n">
        <f aca="false" ca="false" dt2D="false" dtr="false" t="normal">SUM(R381:R480)</f>
        <v>110415722.92627527</v>
      </c>
      <c r="S380" s="165" t="n">
        <f aca="false" ca="false" dt2D="false" dtr="false" t="normal">SUM(S381:S480)</f>
        <v>329565266.2232727</v>
      </c>
      <c r="T380" s="165" t="n">
        <f aca="false" ca="false" dt2D="false" dtr="false" t="normal">SUM(T381:T480)</f>
        <v>18087484.66116639</v>
      </c>
      <c r="U380" s="169" t="n"/>
      <c r="V380" s="169" t="n"/>
      <c r="W380" s="221" t="n"/>
      <c r="AA380" s="222" t="n"/>
      <c r="AD380" s="222" t="n"/>
      <c r="AP380" s="223" t="n"/>
      <c r="AQ380" s="224" t="n"/>
      <c r="AR380" s="225" t="n"/>
      <c r="AS380" s="225" t="n"/>
      <c r="AT380" s="226" t="n"/>
      <c r="AU380" s="226" t="n"/>
      <c r="AV380" s="226" t="n"/>
      <c r="AW380" s="227" t="n"/>
      <c r="AX380" s="228" t="n"/>
      <c r="AY380" s="228" t="n"/>
      <c r="AZ380" s="228" t="n"/>
      <c r="BA380" s="228" t="n"/>
      <c r="BB380" s="228" t="n"/>
      <c r="BC380" s="228" t="n"/>
      <c r="BD380" s="228" t="n"/>
      <c r="BE380" s="228" t="n"/>
      <c r="BF380" s="228" t="n"/>
      <c r="BG380" s="228" t="n"/>
      <c r="BH380" s="228" t="n"/>
      <c r="BI380" s="228" t="n"/>
      <c r="BJ380" s="228" t="n"/>
      <c r="BK380" s="169" t="n"/>
      <c r="BL380" s="229" t="n"/>
      <c r="BM380" s="227" t="n"/>
      <c r="BN380" s="228" t="n"/>
      <c r="BO380" s="228" t="n"/>
      <c r="BP380" s="228" t="n"/>
      <c r="BQ380" s="228" t="n"/>
      <c r="BR380" s="228" t="n"/>
      <c r="BS380" s="228" t="n"/>
      <c r="BT380" s="228" t="n"/>
      <c r="BU380" s="228" t="n"/>
      <c r="BV380" s="228" t="n"/>
      <c r="BW380" s="228" t="n"/>
      <c r="BX380" s="228" t="n"/>
      <c r="BY380" s="228" t="n"/>
      <c r="BZ380" s="228" t="n"/>
      <c r="CA380" s="169" t="n"/>
      <c r="CB380" s="229" t="n"/>
      <c r="CD380" s="230" t="n"/>
      <c r="CE380" s="218" t="n"/>
      <c r="CF380" s="162" t="n"/>
      <c r="CG380" s="163" t="s">
        <v>462</v>
      </c>
      <c r="CH380" s="231" t="n">
        <f aca="false" ca="false" dt2D="false" dtr="false" t="normal">SUM(CH381:CH480)</f>
        <v>815667519.3333406</v>
      </c>
      <c r="CI380" s="165" t="n">
        <f aca="false" ca="false" dt2D="false" dtr="false" t="normal">SUM(CI381:CI480)</f>
        <v>144425420.322</v>
      </c>
      <c r="CJ380" s="165" t="n">
        <f aca="false" ca="false" dt2D="false" dtr="false" t="normal">SUM(CJ381:CJ480)</f>
        <v>42222260.470000006</v>
      </c>
      <c r="CK380" s="165" t="n">
        <f aca="false" ca="false" dt2D="false" dtr="false" t="normal">SUM(CK381:CK480)</f>
        <v>25505444.809999995</v>
      </c>
      <c r="CL380" s="165" t="n">
        <f aca="false" ca="false" dt2D="false" dtr="false" t="normal">SUM(CL381:CL480)</f>
        <v>22649169.309999995</v>
      </c>
      <c r="CM380" s="165" t="n">
        <f aca="false" ca="false" dt2D="false" dtr="false" t="normal">SUM(CM381:CM480)</f>
        <v>5533470.3100000005</v>
      </c>
      <c r="CN380" s="165" t="n">
        <f aca="false" ca="false" dt2D="false" dtr="false" t="normal">SUM(CN381:CN480)</f>
        <v>0</v>
      </c>
      <c r="CO380" s="165" t="n">
        <f aca="false" ca="false" dt2D="false" dtr="false" t="normal">SUM(CO381:CO480)</f>
        <v>1515829.2</v>
      </c>
      <c r="CP380" s="165" t="n">
        <f aca="false" ca="false" dt2D="false" dtr="false" t="normal">SUM(CP381:CP480)</f>
        <v>16975058.39</v>
      </c>
      <c r="CQ380" s="165" t="n">
        <f aca="false" ca="false" dt2D="false" dtr="false" t="normal">SUM(CQ381:CQ480)</f>
        <v>49520642.9</v>
      </c>
      <c r="CR380" s="165" t="n">
        <f aca="false" ca="false" dt2D="false" dtr="false" t="normal">SUM(CR381:CR480)</f>
        <v>20258175.979999997</v>
      </c>
      <c r="CS380" s="165" t="n">
        <f aca="false" ca="false" dt2D="false" dtr="false" t="normal">SUM(CS381:CS480)</f>
        <v>363622876.85999995</v>
      </c>
      <c r="CT380" s="165" t="n">
        <f aca="false" ca="false" dt2D="false" dtr="false" t="normal">SUM(CT381:CT480)</f>
        <v>67272553.66</v>
      </c>
      <c r="CU380" s="165" t="n">
        <f aca="false" ca="false" dt2D="false" dtr="false" t="normal">SUM(CU381:CU480)</f>
        <v>6903550.989999998</v>
      </c>
      <c r="CV380" s="165" t="n">
        <f aca="false" ca="false" dt2D="false" dtr="false" t="normal">SUM(CV381:CV480)</f>
        <v>602514.6</v>
      </c>
      <c r="CW380" s="165" t="n">
        <f aca="false" ca="false" dt2D="false" dtr="false" t="normal">SUM(CW381:CW480)</f>
        <v>48660551.53134072</v>
      </c>
      <c r="CZ380" s="163" t="s">
        <v>462</v>
      </c>
      <c r="DA380" s="231" t="n">
        <f aca="false" ca="false" dt2D="false" dtr="false" t="normal">SUM(DA381:DA480)</f>
        <v>768473364.1720002</v>
      </c>
      <c r="DB380" s="165" t="n">
        <f aca="false" ca="false" dt2D="false" dtr="false" t="normal">SUM(DB381:DB480)</f>
        <v>144425420.322</v>
      </c>
      <c r="DC380" s="165" t="n">
        <f aca="false" ca="false" dt2D="false" dtr="false" t="normal">SUM(DC381:DC480)</f>
        <v>42222260.470000006</v>
      </c>
      <c r="DD380" s="165" t="n">
        <f aca="false" ca="false" dt2D="false" dtr="false" t="normal">SUM(DD381:DD480)</f>
        <v>25505444.809999995</v>
      </c>
      <c r="DE380" s="165" t="n">
        <f aca="false" ca="false" dt2D="false" dtr="false" t="normal">SUM(DE381:DE480)</f>
        <v>22649169.309999995</v>
      </c>
      <c r="DF380" s="165" t="n">
        <f aca="false" ca="false" dt2D="false" dtr="false" t="normal">SUM(DF381:DF480)</f>
        <v>5533470.3100000005</v>
      </c>
      <c r="DG380" s="165" t="n">
        <f aca="false" ca="false" dt2D="false" dtr="false" t="normal">SUM(DG381:DG480)</f>
        <v>0</v>
      </c>
      <c r="DH380" s="165" t="n">
        <f aca="false" ca="false" dt2D="false" dtr="false" t="normal">SUM(DH381:DH480)</f>
        <v>1515829.2</v>
      </c>
      <c r="DI380" s="165" t="n">
        <f aca="false" ca="false" dt2D="false" dtr="false" t="normal">SUM(DI381:DI480)</f>
        <v>16975058.39</v>
      </c>
      <c r="DJ380" s="165" t="n">
        <f aca="false" ca="false" dt2D="false" dtr="false" t="normal">SUM(DJ381:DJ480)</f>
        <v>49520642.9</v>
      </c>
      <c r="DK380" s="165" t="n">
        <f aca="false" ca="false" dt2D="false" dtr="false" t="normal">SUM(DK381:DK480)</f>
        <v>20258175.979999997</v>
      </c>
      <c r="DL380" s="165" t="n">
        <f aca="false" ca="false" dt2D="false" dtr="false" t="normal">SUM(DL381:DL480)</f>
        <v>363622876.85999995</v>
      </c>
      <c r="DM380" s="165" t="n">
        <f aca="false" ca="false" dt2D="false" dtr="false" t="normal">SUM(DM381:DM480)</f>
        <v>67272553.66</v>
      </c>
      <c r="DN380" s="165" t="n">
        <f aca="false" ca="false" dt2D="false" dtr="false" t="normal">SUM(DN381:DN480)</f>
        <v>6903550.989999998</v>
      </c>
      <c r="DO380" s="165" t="n">
        <f aca="false" ca="false" dt2D="false" dtr="false" t="normal">SUM(DO381:DO480)</f>
        <v>602514.6</v>
      </c>
      <c r="DP380" s="165" t="n">
        <f aca="false" ca="false" dt2D="false" dtr="false" t="normal">SUM(DP381:DP480)</f>
        <v>1466396.3699999999</v>
      </c>
      <c r="DQ380" s="3" t="n">
        <f aca="false" ca="false" dt2D="false" dtr="false" t="normal">N380-DA380</f>
        <v>0</v>
      </c>
      <c r="DR380" s="129" t="n"/>
      <c r="DS380" s="9" t="n"/>
      <c r="DT380" s="129" t="n"/>
      <c r="DU380" s="129" t="n"/>
      <c r="DV380" s="129" t="n"/>
      <c r="DW380" s="129" t="n"/>
      <c r="DX380" s="129" t="n"/>
      <c r="DY380" s="129" t="n"/>
      <c r="DZ380" s="129" t="n"/>
      <c r="EA380" s="129" t="n"/>
      <c r="EB380" s="129" t="n"/>
      <c r="EC380" s="129" t="n"/>
      <c r="ED380" s="129" t="n"/>
      <c r="EE380" s="129" t="n"/>
    </row>
    <row customFormat="true" hidden="false" ht="15" outlineLevel="0" r="381" s="129">
      <c r="A381" s="183" t="n">
        <v>361</v>
      </c>
      <c r="B381" s="117" t="s">
        <v>463</v>
      </c>
      <c r="C381" s="104" t="s">
        <v>66</v>
      </c>
      <c r="D381" s="104" t="s">
        <v>67</v>
      </c>
      <c r="E381" s="105" t="s">
        <v>309</v>
      </c>
      <c r="F381" s="105" t="n"/>
      <c r="G381" s="105" t="s">
        <v>68</v>
      </c>
      <c r="H381" s="105" t="s">
        <v>104</v>
      </c>
      <c r="I381" s="105" t="s">
        <v>188</v>
      </c>
      <c r="J381" s="106" t="n">
        <v>5474.4</v>
      </c>
      <c r="K381" s="106" t="n">
        <v>4591</v>
      </c>
      <c r="L381" s="106" t="n">
        <v>74.8</v>
      </c>
      <c r="M381" s="107" t="n">
        <v>142</v>
      </c>
      <c r="N381" s="108" t="n">
        <f aca="false" ca="false" dt2D="false" dtr="false" t="normal">SUM(P381:T381)</f>
        <v>25340387.450000007</v>
      </c>
      <c r="O381" s="106" t="n">
        <v>0</v>
      </c>
      <c r="P381" s="114" t="n">
        <v>22389591.24</v>
      </c>
      <c r="Q381" s="114" t="n">
        <v>0</v>
      </c>
      <c r="R381" s="114" t="n"/>
      <c r="S381" s="114" t="n">
        <v>1112195.9836142</v>
      </c>
      <c r="T381" s="106" t="n">
        <v>1838600.22638581</v>
      </c>
      <c r="U381" s="114" t="n">
        <v>5340.65199143063</v>
      </c>
      <c r="V381" s="114" t="n">
        <v>1182.283020064</v>
      </c>
      <c r="W381" s="110" t="n">
        <v>2023</v>
      </c>
      <c r="X381" s="129" t="n">
        <v>1911755.57</v>
      </c>
      <c r="Y381" s="129" t="n">
        <f aca="false" ca="false" dt2D="false" dtr="false" t="normal">+(K381*9.1+L381*18.19)*12</f>
        <v>517664.544</v>
      </c>
      <c r="AA381" s="130" t="e">
        <f aca="false" ca="false" dt2D="false" dtr="false" t="normal">+N381-'[8]Приложение № 2'!E575</f>
        <v>#REF!</v>
      </c>
      <c r="AD381" s="130" t="e">
        <f aca="false" ca="false" dt2D="false" dtr="false" t="normal">+N381-'[8]Приложение № 2'!E575</f>
        <v>#REF!</v>
      </c>
      <c r="AP381" s="112" t="e">
        <f aca="false" ca="false" dt2D="false" dtr="false" t="normal">+N381-#REF!</f>
        <v>#REF!</v>
      </c>
      <c r="AQ381" s="132" t="n">
        <f aca="false" ca="false" dt2D="false" dtr="false" t="normal">2359832.72-R211</f>
        <v>1627321.0999999992</v>
      </c>
      <c r="AR381" s="3" t="n">
        <f aca="false" ca="false" dt2D="false" dtr="false" t="normal">+(K381*10+L381*20)*12*0.85</f>
        <v>483541.2</v>
      </c>
      <c r="AS381" s="3" t="n">
        <f aca="false" ca="false" dt2D="false" dtr="false" t="normal">+(K381*10+L381*20)*12*30-S211</f>
        <v>16829316.040000003</v>
      </c>
      <c r="AT381" s="9" t="n">
        <f aca="false" ca="false" dt2D="false" dtr="false" t="normal">+S381-AS381</f>
        <v>-15717120.056385802</v>
      </c>
      <c r="AU381" s="9" t="e">
        <f aca="false" ca="false" dt2D="false" dtr="false" t="normal">+P381-'[5]Приложение №1'!$P585</f>
        <v>#REF!</v>
      </c>
      <c r="AV381" s="9" t="e">
        <f aca="false" ca="false" dt2D="false" dtr="false" t="normal">+Q381-'[5]Приложение №1'!$Q585</f>
        <v>#REF!</v>
      </c>
      <c r="AW381" s="113" t="n">
        <f aca="false" ca="true" dt2D="false" dtr="false" t="normal">SUBTOTAL(9, AX381:BL381)</f>
        <v>24518933.292657994</v>
      </c>
      <c r="AX381" s="106" t="n"/>
      <c r="AY381" s="106" t="n"/>
      <c r="AZ381" s="106" t="n"/>
      <c r="BA381" s="106" t="n">
        <v>0</v>
      </c>
      <c r="BB381" s="106" t="n">
        <v>0</v>
      </c>
      <c r="BC381" s="106" t="n"/>
      <c r="BD381" s="106" t="n">
        <v>0</v>
      </c>
      <c r="BE381" s="106" t="n">
        <v>0</v>
      </c>
      <c r="BF381" s="106" t="n">
        <v>0</v>
      </c>
      <c r="BG381" s="106" t="n">
        <v>0</v>
      </c>
      <c r="BH381" s="106" t="n">
        <v>23029662.7090438</v>
      </c>
      <c r="BI381" s="106" t="n"/>
      <c r="BJ381" s="106" t="n">
        <v>840138.45</v>
      </c>
      <c r="BK381" s="114" t="n"/>
      <c r="BL381" s="115" t="n">
        <v>649132.133614194</v>
      </c>
      <c r="BM381" s="113" t="n">
        <f aca="false" ca="true" dt2D="false" dtr="false" t="normal">SUBTOTAL(9, BN381:CB381)</f>
        <v>24518933.292657994</v>
      </c>
      <c r="BN381" s="106" t="n"/>
      <c r="BO381" s="106" t="n"/>
      <c r="BP381" s="106" t="n"/>
      <c r="BQ381" s="106" t="n">
        <v>0</v>
      </c>
      <c r="BR381" s="106" t="n">
        <v>0</v>
      </c>
      <c r="BS381" s="106" t="n"/>
      <c r="BT381" s="106" t="n">
        <v>0</v>
      </c>
      <c r="BU381" s="106" t="n">
        <v>0</v>
      </c>
      <c r="BV381" s="106" t="n">
        <v>0</v>
      </c>
      <c r="BW381" s="106" t="n">
        <v>0</v>
      </c>
      <c r="BX381" s="106" t="n">
        <v>23029662.7090438</v>
      </c>
      <c r="BY381" s="106" t="n"/>
      <c r="BZ381" s="106" t="n">
        <v>840138.45</v>
      </c>
      <c r="CA381" s="114" t="n"/>
      <c r="CB381" s="115" t="n">
        <v>649132.133614194</v>
      </c>
      <c r="CD381" s="116" t="n">
        <v>361</v>
      </c>
      <c r="CE381" s="117" t="s">
        <v>463</v>
      </c>
      <c r="CF381" s="104" t="s">
        <v>66</v>
      </c>
      <c r="CG381" s="117" t="s">
        <v>67</v>
      </c>
      <c r="CH381" s="118" t="n">
        <f aca="false" ca="true" dt2D="false" dtr="false" t="normal">SUBTOTAL(9, CI381:CW381)</f>
        <v>25989519.583614197</v>
      </c>
      <c r="CI381" s="114" t="n"/>
      <c r="CJ381" s="114" t="n"/>
      <c r="CK381" s="114" t="n"/>
      <c r="CL381" s="114" t="n">
        <v>0</v>
      </c>
      <c r="CM381" s="114" t="n">
        <v>0</v>
      </c>
      <c r="CN381" s="114" t="n"/>
      <c r="CO381" s="114" t="n">
        <v>0</v>
      </c>
      <c r="CP381" s="114" t="n">
        <v>0</v>
      </c>
      <c r="CQ381" s="114" t="n">
        <v>0</v>
      </c>
      <c r="CR381" s="114" t="n">
        <v>0</v>
      </c>
      <c r="CS381" s="114" t="n">
        <v>24877323.6</v>
      </c>
      <c r="CT381" s="114" t="n"/>
      <c r="CU381" s="114" t="n">
        <v>451063.85</v>
      </c>
      <c r="CV381" s="114" t="n">
        <v>12000</v>
      </c>
      <c r="CW381" s="115" t="n">
        <v>649132.133614194</v>
      </c>
      <c r="CZ381" s="117" t="s">
        <v>67</v>
      </c>
      <c r="DA381" s="119" t="n">
        <f aca="false" ca="true" dt2D="false" dtr="false" t="normal">SUBTOTAL(9, DB381:DP381)</f>
        <v>25340387.450000003</v>
      </c>
      <c r="DB381" s="114" t="n"/>
      <c r="DC381" s="114" t="n"/>
      <c r="DD381" s="114" t="n"/>
      <c r="DE381" s="114" t="n">
        <v>0</v>
      </c>
      <c r="DF381" s="114" t="n">
        <v>0</v>
      </c>
      <c r="DG381" s="114" t="n"/>
      <c r="DH381" s="114" t="n">
        <v>0</v>
      </c>
      <c r="DI381" s="114" t="n">
        <v>0</v>
      </c>
      <c r="DJ381" s="114" t="n">
        <v>0</v>
      </c>
      <c r="DK381" s="114" t="n">
        <v>0</v>
      </c>
      <c r="DL381" s="114" t="n">
        <v>24877323.6</v>
      </c>
      <c r="DM381" s="114" t="n"/>
      <c r="DN381" s="114" t="n">
        <v>451063.85</v>
      </c>
      <c r="DO381" s="114" t="n">
        <v>12000</v>
      </c>
      <c r="DP381" s="122" t="n"/>
      <c r="DQ381" s="3" t="n">
        <f aca="false" ca="false" dt2D="false" dtr="false" t="normal">N381-DA381</f>
        <v>0</v>
      </c>
      <c r="DS381" s="9" t="n"/>
    </row>
    <row hidden="false" ht="15" outlineLevel="0" r="382">
      <c r="A382" s="183" t="n">
        <f aca="false" ca="false" dt2D="false" dtr="false" t="normal">+A381+1</f>
        <v>362</v>
      </c>
      <c r="B382" s="117" t="n">
        <v>173</v>
      </c>
      <c r="C382" s="104" t="s">
        <v>75</v>
      </c>
      <c r="D382" s="104" t="s">
        <v>464</v>
      </c>
      <c r="E382" s="105" t="n">
        <v>1998</v>
      </c>
      <c r="F382" s="105" t="n">
        <v>1998</v>
      </c>
      <c r="G382" s="105" t="s">
        <v>68</v>
      </c>
      <c r="H382" s="105" t="n">
        <v>5</v>
      </c>
      <c r="I382" s="105" t="n">
        <v>4</v>
      </c>
      <c r="J382" s="106" t="n">
        <v>4979.8</v>
      </c>
      <c r="K382" s="106" t="n">
        <v>4317.2</v>
      </c>
      <c r="L382" s="106" t="n">
        <v>0</v>
      </c>
      <c r="M382" s="107" t="n">
        <v>170</v>
      </c>
      <c r="N382" s="108" t="n">
        <f aca="false" ca="false" dt2D="false" dtr="false" t="normal">SUM(P382:T382)</f>
        <v>2104424.3</v>
      </c>
      <c r="O382" s="106" t="n"/>
      <c r="P382" s="114" t="n">
        <v>179287.61</v>
      </c>
      <c r="Q382" s="114" t="n"/>
      <c r="R382" s="114" t="n">
        <v>149801.63</v>
      </c>
      <c r="S382" s="114" t="n">
        <v>1775335.06</v>
      </c>
      <c r="T382" s="114" t="n"/>
      <c r="U382" s="114" t="n">
        <v>5983.49263433758</v>
      </c>
      <c r="V382" s="114" t="n">
        <v>1180.283020064</v>
      </c>
      <c r="W382" s="110" t="n">
        <v>2023</v>
      </c>
      <c r="X382" s="9" t="e">
        <f aca="false" ca="false" dt2D="false" dtr="false" t="normal">+#REF!-'[9]Приложение №1'!$P1534</f>
        <v>#REF!</v>
      </c>
      <c r="Z382" s="113" t="n">
        <f aca="false" ca="false" dt2D="false" dtr="false" t="normal">SUM(AA382:AO382)</f>
        <v>27698101.32373692</v>
      </c>
      <c r="AA382" s="106" t="n">
        <v>12131968.2109069</v>
      </c>
      <c r="AB382" s="106" t="n">
        <v>5844352.93577683</v>
      </c>
      <c r="AC382" s="106" t="n">
        <v>3569164.91914033</v>
      </c>
      <c r="AD382" s="106" t="n">
        <v>2405162.55785621</v>
      </c>
      <c r="AE382" s="106" t="n">
        <v>0</v>
      </c>
      <c r="AF382" s="106" t="n"/>
      <c r="AG382" s="106" t="n">
        <v>391844.919018634</v>
      </c>
      <c r="AH382" s="106" t="n">
        <v>0</v>
      </c>
      <c r="AI382" s="106" t="n">
        <v>0</v>
      </c>
      <c r="AJ382" s="106" t="n">
        <v>0</v>
      </c>
      <c r="AK382" s="106" t="n">
        <v>0</v>
      </c>
      <c r="AL382" s="106" t="n">
        <v>0</v>
      </c>
      <c r="AM382" s="106" t="n">
        <v>2546305.73590431</v>
      </c>
      <c r="AN382" s="114" t="n">
        <v>276981.013237369</v>
      </c>
      <c r="AO382" s="115" t="n">
        <v>532321.031896338</v>
      </c>
      <c r="AP382" s="112" t="n">
        <f aca="false" ca="false" dt2D="false" dtr="false" t="normal">+N382-'Приложение №2'!E382</f>
        <v>0</v>
      </c>
      <c r="AQ382" s="1" t="n">
        <f aca="false" ca="false" dt2D="false" dtr="false" t="normal">2564742.71-1318564.22</f>
        <v>1246178.49</v>
      </c>
      <c r="AR382" s="3" t="n">
        <f aca="false" ca="false" dt2D="false" dtr="false" t="normal">+(K382*10.5+L382*21)*12*0.85</f>
        <v>462372.11999999994</v>
      </c>
      <c r="AS382" s="3" t="n">
        <f aca="false" ca="false" dt2D="false" dtr="false" t="normal">+(K382*10.5+L382*21)*12*30</f>
        <v>16319015.999999998</v>
      </c>
      <c r="AT382" s="9" t="n">
        <f aca="false" ca="false" dt2D="false" dtr="false" t="normal">+S382-AS382</f>
        <v>-14543680.939999998</v>
      </c>
      <c r="AU382" s="9" t="e">
        <f aca="false" ca="false" dt2D="false" dtr="false" t="normal">+P382-'[5]Приложение №1'!$P685</f>
        <v>#REF!</v>
      </c>
      <c r="AV382" s="9" t="e">
        <f aca="false" ca="false" dt2D="false" dtr="false" t="normal">+Q382-'[5]Приложение №1'!$Q685</f>
        <v>#REF!</v>
      </c>
      <c r="AW382" s="186" t="n">
        <f aca="false" ca="true" dt2D="false" dtr="false" t="normal">SUBTOTAL(9, AX382:BL382)</f>
        <v>25831934.400962204</v>
      </c>
      <c r="AX382" s="106" t="n">
        <v>12131968.2109069</v>
      </c>
      <c r="AY382" s="106" t="n">
        <v>6473660.02</v>
      </c>
      <c r="AZ382" s="106" t="n">
        <v>3569164.91914033</v>
      </c>
      <c r="BA382" s="106" t="n">
        <v>2732975.3</v>
      </c>
      <c r="BB382" s="106" t="n">
        <v>0</v>
      </c>
      <c r="BC382" s="106" t="n"/>
      <c r="BD382" s="106" t="n">
        <v>391844.919018634</v>
      </c>
      <c r="BE382" s="106" t="n">
        <v>0</v>
      </c>
      <c r="BF382" s="106" t="n">
        <v>0</v>
      </c>
      <c r="BG382" s="106" t="n">
        <v>0</v>
      </c>
      <c r="BH382" s="106" t="n">
        <v>0</v>
      </c>
      <c r="BI382" s="106" t="n">
        <v>0</v>
      </c>
      <c r="BJ382" s="106" t="n"/>
      <c r="BK382" s="114" t="n"/>
      <c r="BL382" s="187" t="n">
        <v>532321.031896338</v>
      </c>
      <c r="BM382" s="186" t="n">
        <f aca="false" ca="true" dt2D="false" dtr="false" t="normal">SUBTOTAL(9, BN382:CB382)</f>
        <v>25831934.400962204</v>
      </c>
      <c r="BN382" s="106" t="n">
        <v>12131968.2109069</v>
      </c>
      <c r="BO382" s="106" t="n">
        <v>6473660.02</v>
      </c>
      <c r="BP382" s="106" t="n">
        <v>3569164.91914033</v>
      </c>
      <c r="BQ382" s="106" t="n">
        <v>2732975.3</v>
      </c>
      <c r="BR382" s="106" t="n">
        <v>0</v>
      </c>
      <c r="BS382" s="106" t="n"/>
      <c r="BT382" s="106" t="n">
        <v>391844.919018634</v>
      </c>
      <c r="BU382" s="106" t="n">
        <v>0</v>
      </c>
      <c r="BV382" s="106" t="n">
        <v>0</v>
      </c>
      <c r="BW382" s="106" t="n">
        <v>0</v>
      </c>
      <c r="BX382" s="106" t="n">
        <v>0</v>
      </c>
      <c r="BY382" s="106" t="n">
        <v>0</v>
      </c>
      <c r="BZ382" s="106" t="n"/>
      <c r="CA382" s="114" t="n"/>
      <c r="CB382" s="115" t="n">
        <v>532321.031896338</v>
      </c>
      <c r="CD382" s="116" t="n">
        <f aca="false" ca="false" dt2D="false" dtr="false" t="normal">+CD381+1</f>
        <v>362</v>
      </c>
      <c r="CE382" s="117" t="n">
        <v>173</v>
      </c>
      <c r="CF382" s="104" t="s">
        <v>75</v>
      </c>
      <c r="CG382" s="117" t="s">
        <v>464</v>
      </c>
      <c r="CH382" s="188" t="n">
        <f aca="false" ca="true" dt2D="false" dtr="false" t="normal">SUBTOTAL(9, CI382:CW382)</f>
        <v>2603243.431896338</v>
      </c>
      <c r="CI382" s="114" t="n"/>
      <c r="CJ382" s="114" t="n"/>
      <c r="CK382" s="114" t="n">
        <v>2070922.4</v>
      </c>
      <c r="CL382" s="114" t="n"/>
      <c r="CM382" s="114" t="n">
        <v>0</v>
      </c>
      <c r="CN382" s="114" t="n"/>
      <c r="CO382" s="114" t="n"/>
      <c r="CP382" s="114" t="n">
        <v>0</v>
      </c>
      <c r="CQ382" s="114" t="n">
        <v>0</v>
      </c>
      <c r="CR382" s="114" t="n">
        <v>0</v>
      </c>
      <c r="CS382" s="114" t="n">
        <v>0</v>
      </c>
      <c r="CT382" s="114" t="n">
        <v>0</v>
      </c>
      <c r="CU382" s="114" t="n"/>
      <c r="CV382" s="114" t="n"/>
      <c r="CW382" s="115" t="n">
        <v>532321.031896338</v>
      </c>
      <c r="CZ382" s="117" t="s">
        <v>464</v>
      </c>
      <c r="DA382" s="189" t="n">
        <f aca="false" ca="true" dt2D="false" dtr="false" t="normal">SUBTOTAL(9, DB382:DP382)</f>
        <v>2104424.3</v>
      </c>
      <c r="DB382" s="114" t="n"/>
      <c r="DC382" s="114" t="n"/>
      <c r="DD382" s="114" t="n">
        <v>2070922.4</v>
      </c>
      <c r="DE382" s="114" t="n"/>
      <c r="DF382" s="114" t="n">
        <v>0</v>
      </c>
      <c r="DG382" s="114" t="n"/>
      <c r="DH382" s="114" t="n"/>
      <c r="DI382" s="114" t="n">
        <v>0</v>
      </c>
      <c r="DJ382" s="114" t="n">
        <v>0</v>
      </c>
      <c r="DK382" s="114" t="n">
        <v>0</v>
      </c>
      <c r="DL382" s="114" t="n">
        <v>0</v>
      </c>
      <c r="DM382" s="114" t="n">
        <v>0</v>
      </c>
      <c r="DN382" s="114" t="n"/>
      <c r="DO382" s="114" t="n"/>
      <c r="DP382" s="120" t="n">
        <v>33501.9</v>
      </c>
      <c r="DQ382" s="3" t="n">
        <f aca="false" ca="false" dt2D="false" dtr="false" t="normal">N382-DA382</f>
        <v>0</v>
      </c>
      <c r="DS382" s="9" t="n"/>
    </row>
    <row hidden="false" ht="15" outlineLevel="0" r="383">
      <c r="A383" s="183" t="n">
        <f aca="false" ca="false" dt2D="false" dtr="false" t="normal">+A382+1</f>
        <v>363</v>
      </c>
      <c r="B383" s="184" t="n">
        <f aca="false" ca="false" dt2D="false" dtr="false" t="normal">+B382+1</f>
        <v>174</v>
      </c>
      <c r="C383" s="104" t="s">
        <v>75</v>
      </c>
      <c r="D383" s="104" t="s">
        <v>76</v>
      </c>
      <c r="E383" s="105" t="n">
        <v>1993</v>
      </c>
      <c r="F383" s="105" t="n">
        <v>2012</v>
      </c>
      <c r="G383" s="105" t="s">
        <v>68</v>
      </c>
      <c r="H383" s="105" t="n">
        <v>3</v>
      </c>
      <c r="I383" s="105" t="n">
        <v>1</v>
      </c>
      <c r="J383" s="106" t="n">
        <v>1090</v>
      </c>
      <c r="K383" s="106" t="n">
        <v>942.47</v>
      </c>
      <c r="L383" s="106" t="n">
        <v>0</v>
      </c>
      <c r="M383" s="107" t="n">
        <v>33</v>
      </c>
      <c r="N383" s="108" t="n">
        <f aca="false" ca="false" dt2D="false" dtr="false" t="normal">SUM(P383:T383)</f>
        <v>687537.2600000001</v>
      </c>
      <c r="O383" s="106" t="n"/>
      <c r="P383" s="114" t="n"/>
      <c r="Q383" s="114" t="n"/>
      <c r="R383" s="114" t="n">
        <v>592092.87</v>
      </c>
      <c r="S383" s="114" t="n">
        <v>95444.3900000001</v>
      </c>
      <c r="T383" s="114" t="n"/>
      <c r="U383" s="114" t="n">
        <v>840.68258183817</v>
      </c>
      <c r="V383" s="114" t="n">
        <v>1185.283020064</v>
      </c>
      <c r="W383" s="110" t="n">
        <v>2023</v>
      </c>
      <c r="X383" s="9" t="e">
        <f aca="false" ca="false" dt2D="false" dtr="false" t="normal">+#REF!-'[9]Приложение №1'!$P1051</f>
        <v>#REF!</v>
      </c>
      <c r="Z383" s="113" t="n">
        <f aca="false" ca="false" dt2D="false" dtr="false" t="normal">SUM(AA383:AO383)</f>
        <v>1353938.3335296</v>
      </c>
      <c r="AA383" s="106" t="n">
        <v>0</v>
      </c>
      <c r="AB383" s="106" t="n">
        <v>0</v>
      </c>
      <c r="AC383" s="106" t="n">
        <v>766834.980311952</v>
      </c>
      <c r="AD383" s="106" t="n">
        <v>398482.4755561</v>
      </c>
      <c r="AE383" s="106" t="n">
        <v>0</v>
      </c>
      <c r="AF383" s="106" t="n"/>
      <c r="AG383" s="106" t="n">
        <v>0</v>
      </c>
      <c r="AH383" s="106" t="n">
        <v>0</v>
      </c>
      <c r="AI383" s="106" t="n">
        <v>0</v>
      </c>
      <c r="AJ383" s="106" t="n">
        <v>0</v>
      </c>
      <c r="AK383" s="106" t="n">
        <v>0</v>
      </c>
      <c r="AL383" s="106" t="n">
        <v>0</v>
      </c>
      <c r="AM383" s="106" t="n">
        <v>149598.361733184</v>
      </c>
      <c r="AN383" s="114" t="n">
        <v>13539.383335296</v>
      </c>
      <c r="AO383" s="115" t="n">
        <v>25483.132593068</v>
      </c>
      <c r="AP383" s="112" t="n">
        <f aca="false" ca="false" dt2D="false" dtr="false" t="normal">+N383-'Приложение №2'!E383</f>
        <v>0</v>
      </c>
      <c r="AQ383" s="9" t="n">
        <f aca="false" ca="false" dt2D="false" dtr="false" t="normal">604232.6-R24</f>
        <v>498331.45999999996</v>
      </c>
      <c r="AR383" s="3" t="n">
        <f aca="false" ca="false" dt2D="false" dtr="false" t="normal">+(K383*10.5+L383*21)*12*0.85</f>
        <v>100938.537</v>
      </c>
      <c r="AS383" s="3" t="n">
        <f aca="false" ca="false" dt2D="false" dtr="false" t="normal">+(K383*10.5+L383*21)*12*30</f>
        <v>3562536.6</v>
      </c>
      <c r="AT383" s="9" t="n">
        <f aca="false" ca="false" dt2D="false" dtr="false" t="normal">+S383-AS383</f>
        <v>-3467092.21</v>
      </c>
      <c r="AU383" s="9" t="e">
        <f aca="false" ca="false" dt2D="false" dtr="false" t="normal">+P383-'[5]Приложение №1'!$P472</f>
        <v>#REF!</v>
      </c>
      <c r="AV383" s="9" t="e">
        <f aca="false" ca="false" dt2D="false" dtr="false" t="normal">+Q383-'[5]Приложение №1'!$Q472</f>
        <v>#REF!</v>
      </c>
      <c r="AW383" s="186" t="n">
        <f aca="false" ca="true" dt2D="false" dtr="false" t="normal">SUBTOTAL(9, AX383:BL383)</f>
        <v>792318.1129050199</v>
      </c>
      <c r="AX383" s="106" t="n">
        <v>0</v>
      </c>
      <c r="AY383" s="106" t="n">
        <v>0</v>
      </c>
      <c r="AZ383" s="106" t="n">
        <v>766834.980311952</v>
      </c>
      <c r="BA383" s="106" t="n"/>
      <c r="BB383" s="106" t="n">
        <v>0</v>
      </c>
      <c r="BC383" s="106" t="n"/>
      <c r="BD383" s="106" t="n"/>
      <c r="BE383" s="106" t="n">
        <v>0</v>
      </c>
      <c r="BF383" s="106" t="n">
        <v>0</v>
      </c>
      <c r="BG383" s="106" t="n">
        <v>0</v>
      </c>
      <c r="BH383" s="106" t="n">
        <v>0</v>
      </c>
      <c r="BI383" s="106" t="n">
        <v>0</v>
      </c>
      <c r="BJ383" s="106" t="n"/>
      <c r="BK383" s="114" t="n"/>
      <c r="BL383" s="187" t="n">
        <v>25483.132593068</v>
      </c>
      <c r="BM383" s="186" t="n">
        <f aca="false" ca="true" dt2D="false" dtr="false" t="normal">SUBTOTAL(9, BN383:CB383)</f>
        <v>792318.1129050199</v>
      </c>
      <c r="BN383" s="106" t="n">
        <v>0</v>
      </c>
      <c r="BO383" s="106" t="n">
        <v>0</v>
      </c>
      <c r="BP383" s="106" t="n">
        <v>766834.980311952</v>
      </c>
      <c r="BQ383" s="106" t="n"/>
      <c r="BR383" s="106" t="n">
        <v>0</v>
      </c>
      <c r="BS383" s="106" t="n"/>
      <c r="BT383" s="106" t="n"/>
      <c r="BU383" s="106" t="n">
        <v>0</v>
      </c>
      <c r="BV383" s="106" t="n">
        <v>0</v>
      </c>
      <c r="BW383" s="106" t="n">
        <v>0</v>
      </c>
      <c r="BX383" s="106" t="n">
        <v>0</v>
      </c>
      <c r="BY383" s="106" t="n">
        <v>0</v>
      </c>
      <c r="BZ383" s="106" t="n"/>
      <c r="CA383" s="114" t="n"/>
      <c r="CB383" s="115" t="n">
        <v>25483.132593068</v>
      </c>
      <c r="CD383" s="116" t="n">
        <f aca="false" ca="false" dt2D="false" dtr="false" t="normal">+CD382+1</f>
        <v>363</v>
      </c>
      <c r="CE383" s="117" t="n">
        <f aca="false" ca="false" dt2D="false" dtr="false" t="normal">+CE382+1</f>
        <v>174</v>
      </c>
      <c r="CF383" s="104" t="s">
        <v>75</v>
      </c>
      <c r="CG383" s="117" t="s">
        <v>76</v>
      </c>
      <c r="CH383" s="188" t="n">
        <f aca="false" ca="true" dt2D="false" dtr="false" t="normal">SUBTOTAL(9, CI383:CW383)</f>
        <v>707357.132593068</v>
      </c>
      <c r="CI383" s="114" t="n">
        <v>0</v>
      </c>
      <c r="CJ383" s="114" t="n">
        <v>0</v>
      </c>
      <c r="CK383" s="114" t="n">
        <v>681874</v>
      </c>
      <c r="CL383" s="114" t="n"/>
      <c r="CM383" s="114" t="n">
        <v>0</v>
      </c>
      <c r="CN383" s="114" t="n"/>
      <c r="CO383" s="114" t="n"/>
      <c r="CP383" s="114" t="n">
        <v>0</v>
      </c>
      <c r="CQ383" s="114" t="n">
        <v>0</v>
      </c>
      <c r="CR383" s="114" t="n">
        <v>0</v>
      </c>
      <c r="CS383" s="114" t="n">
        <v>0</v>
      </c>
      <c r="CT383" s="114" t="n">
        <v>0</v>
      </c>
      <c r="CU383" s="114" t="n"/>
      <c r="CV383" s="114" t="n"/>
      <c r="CW383" s="115" t="n">
        <v>25483.132593068</v>
      </c>
      <c r="CZ383" s="117" t="s">
        <v>76</v>
      </c>
      <c r="DA383" s="189" t="n">
        <f aca="false" ca="true" dt2D="false" dtr="false" t="normal">SUBTOTAL(9, DB383:DP383)</f>
        <v>687537.26</v>
      </c>
      <c r="DB383" s="114" t="n">
        <v>0</v>
      </c>
      <c r="DC383" s="114" t="n">
        <v>0</v>
      </c>
      <c r="DD383" s="114" t="n">
        <v>681874</v>
      </c>
      <c r="DE383" s="114" t="n"/>
      <c r="DF383" s="114" t="n">
        <v>0</v>
      </c>
      <c r="DG383" s="114" t="n"/>
      <c r="DH383" s="114" t="n"/>
      <c r="DI383" s="114" t="n">
        <v>0</v>
      </c>
      <c r="DJ383" s="114" t="n">
        <v>0</v>
      </c>
      <c r="DK383" s="114" t="n">
        <v>0</v>
      </c>
      <c r="DL383" s="114" t="n">
        <v>0</v>
      </c>
      <c r="DM383" s="114" t="n">
        <v>0</v>
      </c>
      <c r="DN383" s="114" t="n"/>
      <c r="DO383" s="114" t="n"/>
      <c r="DP383" s="120" t="n">
        <v>5663.26</v>
      </c>
      <c r="DQ383" s="3" t="n">
        <f aca="false" ca="false" dt2D="false" dtr="false" t="normal">N383-DA383</f>
        <v>0</v>
      </c>
      <c r="DS383" s="9" t="n"/>
    </row>
    <row hidden="false" ht="15" outlineLevel="0" r="384">
      <c r="A384" s="183" t="n">
        <f aca="false" ca="false" dt2D="false" dtr="false" t="normal">+A383+1</f>
        <v>364</v>
      </c>
      <c r="B384" s="184" t="n">
        <f aca="false" ca="false" dt2D="false" dtr="false" t="normal">+B383+1</f>
        <v>175</v>
      </c>
      <c r="C384" s="104" t="s">
        <v>75</v>
      </c>
      <c r="D384" s="104" t="s">
        <v>465</v>
      </c>
      <c r="E384" s="105" t="n">
        <v>1996</v>
      </c>
      <c r="F384" s="105" t="n">
        <v>1996</v>
      </c>
      <c r="G384" s="105" t="s">
        <v>68</v>
      </c>
      <c r="H384" s="105" t="n">
        <v>5</v>
      </c>
      <c r="I384" s="105" t="n">
        <v>4</v>
      </c>
      <c r="J384" s="106" t="n">
        <v>3635.6</v>
      </c>
      <c r="K384" s="106" t="n">
        <v>3076.7</v>
      </c>
      <c r="L384" s="106" t="n">
        <v>0</v>
      </c>
      <c r="M384" s="107" t="n">
        <v>99</v>
      </c>
      <c r="N384" s="108" t="n">
        <f aca="false" ca="false" dt2D="false" dtr="false" t="normal">SUM(P384:T384)</f>
        <v>6887339.91</v>
      </c>
      <c r="O384" s="106" t="n"/>
      <c r="P384" s="114" t="n">
        <v>3341930.63871283</v>
      </c>
      <c r="Q384" s="114" t="n"/>
      <c r="R384" s="114" t="n">
        <v>576501.1</v>
      </c>
      <c r="S384" s="114" t="n">
        <v>2630101.1978074</v>
      </c>
      <c r="T384" s="114" t="n">
        <v>338806.97347977</v>
      </c>
      <c r="U384" s="114" t="n">
        <v>5280.89631560666</v>
      </c>
      <c r="V384" s="114" t="n">
        <v>1182.283020064</v>
      </c>
      <c r="W384" s="110" t="n">
        <v>2023</v>
      </c>
      <c r="X384" s="9" t="e">
        <f aca="false" ca="false" dt2D="false" dtr="false" t="normal">+#REF!-'[9]Приложение №1'!$P1034</f>
        <v>#REF!</v>
      </c>
      <c r="Z384" s="113" t="n">
        <f aca="false" ca="false" dt2D="false" dtr="false" t="normal">SUM(AA384:AO384)</f>
        <v>19793523.878556486</v>
      </c>
      <c r="AA384" s="106" t="n">
        <v>8669706.2614426</v>
      </c>
      <c r="AB384" s="106" t="n">
        <v>4176471.81071845</v>
      </c>
      <c r="AC384" s="106" t="n">
        <v>2550584.61328421</v>
      </c>
      <c r="AD384" s="106" t="n">
        <v>1718769.16631605</v>
      </c>
      <c r="AE384" s="106" t="n">
        <v>0</v>
      </c>
      <c r="AF384" s="106" t="n"/>
      <c r="AG384" s="106" t="n">
        <v>280018.896264185</v>
      </c>
      <c r="AH384" s="106" t="n">
        <v>0</v>
      </c>
      <c r="AI384" s="106" t="n">
        <v>0</v>
      </c>
      <c r="AJ384" s="106" t="n">
        <v>0</v>
      </c>
      <c r="AK384" s="106" t="n">
        <v>0</v>
      </c>
      <c r="AL384" s="106" t="n">
        <v>0</v>
      </c>
      <c r="AM384" s="106" t="n">
        <v>1819632.42883132</v>
      </c>
      <c r="AN384" s="114" t="n">
        <v>197935.238785565</v>
      </c>
      <c r="AO384" s="115" t="n">
        <v>380405.462914107</v>
      </c>
      <c r="AP384" s="112" t="n">
        <f aca="false" ca="false" dt2D="false" dtr="false" t="normal">+N384-'Приложение №2'!E384</f>
        <v>0</v>
      </c>
      <c r="AQ384" s="1" t="n">
        <v>1855261.06</v>
      </c>
      <c r="AR384" s="3" t="n">
        <f aca="false" ca="false" dt2D="false" dtr="false" t="normal">+(K384*10.5+L384*21)*12*0.85</f>
        <v>329514.56999999995</v>
      </c>
      <c r="AS384" s="3" t="n">
        <f aca="false" ca="false" dt2D="false" dtr="false" t="normal">+(K384*10.5+L384*21)*12*30</f>
        <v>11629925.999999998</v>
      </c>
      <c r="AT384" s="9" t="n">
        <f aca="false" ca="false" dt2D="false" dtr="false" t="normal">+S384-AS384</f>
        <v>-8999824.802192599</v>
      </c>
      <c r="AU384" s="9" t="e">
        <f aca="false" ca="false" dt2D="false" dtr="false" t="normal">+P384-'[5]Приложение №1'!$P184</f>
        <v>#REF!</v>
      </c>
      <c r="AV384" s="9" t="e">
        <f aca="false" ca="false" dt2D="false" dtr="false" t="normal">+Q384-'[5]Приложение №1'!$Q184</f>
        <v>#REF!</v>
      </c>
      <c r="AW384" s="186" t="n">
        <f aca="false" ca="true" dt2D="false" dtr="false" t="normal">SUBTOTAL(9, AX384:BL384)</f>
        <v>16247733.694227016</v>
      </c>
      <c r="AX384" s="106" t="n">
        <v>8669706.2614426</v>
      </c>
      <c r="AY384" s="106" t="n">
        <v>4584326.74</v>
      </c>
      <c r="AZ384" s="106" t="n"/>
      <c r="BA384" s="106" t="n">
        <v>2323772.17</v>
      </c>
      <c r="BB384" s="106" t="n">
        <v>0</v>
      </c>
      <c r="BC384" s="106" t="n"/>
      <c r="BD384" s="106" t="n">
        <v>280018.896264185</v>
      </c>
      <c r="BE384" s="106" t="n">
        <v>0</v>
      </c>
      <c r="BF384" s="106" t="n">
        <v>0</v>
      </c>
      <c r="BG384" s="106" t="n">
        <v>0</v>
      </c>
      <c r="BH384" s="106" t="n">
        <v>0</v>
      </c>
      <c r="BI384" s="106" t="n">
        <v>0</v>
      </c>
      <c r="BJ384" s="106" t="n"/>
      <c r="BK384" s="114" t="n"/>
      <c r="BL384" s="187" t="n">
        <v>389909.626520231</v>
      </c>
      <c r="BM384" s="186" t="n">
        <f aca="false" ca="true" dt2D="false" dtr="false" t="normal">SUBTOTAL(9, BN384:CB384)</f>
        <v>16247733.694227016</v>
      </c>
      <c r="BN384" s="106" t="n">
        <v>8669706.2614426</v>
      </c>
      <c r="BO384" s="106" t="n">
        <v>4584326.74</v>
      </c>
      <c r="BP384" s="106" t="n"/>
      <c r="BQ384" s="106" t="n">
        <v>2323772.17</v>
      </c>
      <c r="BR384" s="106" t="n">
        <v>0</v>
      </c>
      <c r="BS384" s="106" t="n"/>
      <c r="BT384" s="106" t="n">
        <v>280018.896264185</v>
      </c>
      <c r="BU384" s="106" t="n">
        <v>0</v>
      </c>
      <c r="BV384" s="106" t="n">
        <v>0</v>
      </c>
      <c r="BW384" s="106" t="n">
        <v>0</v>
      </c>
      <c r="BX384" s="106" t="n">
        <v>0</v>
      </c>
      <c r="BY384" s="106" t="n">
        <v>0</v>
      </c>
      <c r="BZ384" s="106" t="n"/>
      <c r="CA384" s="114" t="n"/>
      <c r="CB384" s="115" t="n">
        <v>389909.626520231</v>
      </c>
      <c r="CD384" s="116" t="n">
        <f aca="false" ca="false" dt2D="false" dtr="false" t="normal">+CD383+1</f>
        <v>364</v>
      </c>
      <c r="CE384" s="117" t="n">
        <f aca="false" ca="false" dt2D="false" dtr="false" t="normal">+CE383+1</f>
        <v>175</v>
      </c>
      <c r="CF384" s="104" t="s">
        <v>75</v>
      </c>
      <c r="CG384" s="117" t="s">
        <v>465</v>
      </c>
      <c r="CH384" s="188" t="n">
        <f aca="false" ca="true" dt2D="false" dtr="false" t="normal">SUBTOTAL(9, CI384:CW384)</f>
        <v>7232824.416520231</v>
      </c>
      <c r="CJ384" s="114" t="n">
        <v>4606470.12</v>
      </c>
      <c r="CK384" s="114" t="n"/>
      <c r="CL384" s="114" t="n">
        <v>2236444.67</v>
      </c>
      <c r="CM384" s="114" t="n">
        <v>0</v>
      </c>
      <c r="CN384" s="114" t="n"/>
      <c r="CO384" s="114" t="n"/>
      <c r="CP384" s="114" t="n">
        <v>0</v>
      </c>
      <c r="CQ384" s="114" t="n">
        <v>0</v>
      </c>
      <c r="CR384" s="114" t="n">
        <v>0</v>
      </c>
      <c r="CS384" s="114" t="n">
        <v>0</v>
      </c>
      <c r="CT384" s="114" t="n">
        <v>0</v>
      </c>
      <c r="CU384" s="114" t="n"/>
      <c r="CV384" s="114" t="n"/>
      <c r="CW384" s="115" t="n">
        <v>389909.626520231</v>
      </c>
      <c r="CZ384" s="117" t="s">
        <v>465</v>
      </c>
      <c r="DA384" s="189" t="n">
        <f aca="false" ca="true" dt2D="false" dtr="false" t="normal">SUBTOTAL(9, DB384:DP384)</f>
        <v>6887339.91</v>
      </c>
      <c r="DC384" s="114" t="n">
        <v>4606470.12</v>
      </c>
      <c r="DD384" s="114" t="n"/>
      <c r="DE384" s="114" t="n">
        <v>2236444.67</v>
      </c>
      <c r="DF384" s="114" t="n">
        <v>0</v>
      </c>
      <c r="DG384" s="114" t="n"/>
      <c r="DH384" s="114" t="n"/>
      <c r="DI384" s="114" t="n">
        <v>0</v>
      </c>
      <c r="DJ384" s="114" t="n">
        <v>0</v>
      </c>
      <c r="DK384" s="114" t="n">
        <v>0</v>
      </c>
      <c r="DL384" s="114" t="n">
        <v>0</v>
      </c>
      <c r="DM384" s="114" t="n">
        <v>0</v>
      </c>
      <c r="DN384" s="114" t="n"/>
      <c r="DO384" s="114" t="n"/>
      <c r="DP384" s="120" t="n">
        <f aca="false" ca="false" dt2D="false" dtr="false" t="normal">28896.64+15528.48</f>
        <v>44425.119999999995</v>
      </c>
      <c r="DQ384" s="3" t="n">
        <f aca="false" ca="false" dt2D="false" dtr="false" t="normal">N384-DA384</f>
        <v>0</v>
      </c>
      <c r="DS384" s="9" t="n"/>
    </row>
    <row hidden="false" ht="15" outlineLevel="0" r="385">
      <c r="A385" s="183" t="n">
        <f aca="false" ca="false" dt2D="false" dtr="false" t="normal">+A384+1</f>
        <v>365</v>
      </c>
      <c r="B385" s="184" t="n">
        <f aca="false" ca="false" dt2D="false" dtr="false" t="normal">+B384+1</f>
        <v>176</v>
      </c>
      <c r="C385" s="104" t="s">
        <v>78</v>
      </c>
      <c r="D385" s="104" t="s">
        <v>466</v>
      </c>
      <c r="E385" s="105" t="n">
        <v>1985</v>
      </c>
      <c r="F385" s="105" t="n">
        <v>2017</v>
      </c>
      <c r="G385" s="105" t="s">
        <v>68</v>
      </c>
      <c r="H385" s="105" t="n">
        <v>9</v>
      </c>
      <c r="I385" s="105" t="n">
        <v>5</v>
      </c>
      <c r="J385" s="106" t="n">
        <v>13256</v>
      </c>
      <c r="K385" s="106" t="n">
        <v>10326.3</v>
      </c>
      <c r="L385" s="106" t="n">
        <v>160.4</v>
      </c>
      <c r="M385" s="107" t="n">
        <v>409</v>
      </c>
      <c r="N385" s="108" t="n">
        <f aca="false" ca="false" dt2D="false" dtr="false" t="normal">SUM(P385:T385)</f>
        <v>6473254.53</v>
      </c>
      <c r="O385" s="106" t="n"/>
      <c r="P385" s="114" t="n"/>
      <c r="Q385" s="114" t="n"/>
      <c r="R385" s="114" t="n">
        <v>5907788.65</v>
      </c>
      <c r="S385" s="114" t="n">
        <v>565465.88</v>
      </c>
      <c r="T385" s="114" t="n"/>
      <c r="U385" s="106" t="n">
        <v>3446.00159899302</v>
      </c>
      <c r="V385" s="106" t="n">
        <v>3446.00159899302</v>
      </c>
      <c r="W385" s="110" t="n">
        <v>2023</v>
      </c>
      <c r="X385" s="9" t="e">
        <f aca="false" ca="false" dt2D="false" dtr="false" t="normal">+#REF!-'[9]Приложение №1'!$P525</f>
        <v>#REF!</v>
      </c>
      <c r="Z385" s="113" t="n">
        <f aca="false" ca="false" dt2D="false" dtr="false" t="normal">SUM(AA385:AO385)</f>
        <v>37665450.36149954</v>
      </c>
      <c r="AA385" s="106" t="n">
        <v>24967938.103438</v>
      </c>
      <c r="AB385" s="106" t="n">
        <v>0</v>
      </c>
      <c r="AC385" s="106" t="n">
        <v>7378265.43216457</v>
      </c>
      <c r="AD385" s="106" t="n">
        <v>0</v>
      </c>
      <c r="AE385" s="106" t="n">
        <v>0</v>
      </c>
      <c r="AF385" s="106" t="n"/>
      <c r="AG385" s="106" t="n">
        <v>1109290.64124894</v>
      </c>
      <c r="AH385" s="106" t="n">
        <v>0</v>
      </c>
      <c r="AI385" s="106" t="n">
        <v>0</v>
      </c>
      <c r="AJ385" s="106" t="n">
        <v>0</v>
      </c>
      <c r="AK385" s="106" t="n">
        <v>0</v>
      </c>
      <c r="AL385" s="106" t="n">
        <v>0</v>
      </c>
      <c r="AM385" s="106" t="n">
        <v>3101697.78221368</v>
      </c>
      <c r="AN385" s="114" t="n">
        <v>376654.503614995</v>
      </c>
      <c r="AO385" s="115" t="n">
        <v>731603.898819356</v>
      </c>
      <c r="AP385" s="112" t="n">
        <f aca="false" ca="false" dt2D="false" dtr="false" t="normal">+N385-'Приложение №2'!E373</f>
        <v>5375903.880000001</v>
      </c>
      <c r="AQ385" s="1" t="n">
        <v>6376950.85</v>
      </c>
      <c r="AR385" s="3" t="n">
        <f aca="false" ca="false" dt2D="false" dtr="false" t="normal">+(K385*13.29+L385*22.52)*12*0.85</f>
        <v>1436657.0969999998</v>
      </c>
      <c r="AS385" s="3" t="n">
        <f aca="false" ca="false" dt2D="false" dtr="false" t="normal">+(K385*13.29+L385*22.52)*12*30</f>
        <v>50705544.599999994</v>
      </c>
      <c r="AT385" s="9" t="n">
        <f aca="false" ca="false" dt2D="false" dtr="false" t="normal">+S385-AS385</f>
        <v>-50140078.71999999</v>
      </c>
      <c r="AU385" s="9" t="e">
        <f aca="false" ca="false" dt2D="false" dtr="false" t="normal">+P385-'[5]Приложение №1'!$P188</f>
        <v>#REF!</v>
      </c>
      <c r="AV385" s="9" t="e">
        <f aca="false" ca="false" dt2D="false" dtr="false" t="normal">+Q385-'[5]Приложение №1'!$Q188</f>
        <v>#REF!</v>
      </c>
      <c r="AW385" s="113" t="n">
        <f aca="false" ca="true" dt2D="false" dtr="false" t="normal">SUBTOTAL(9, AX385:BL385)</f>
        <v>36137184.968160085</v>
      </c>
      <c r="AX385" s="106" t="n">
        <v>26584018.179887</v>
      </c>
      <c r="AY385" s="106" t="n">
        <v>0</v>
      </c>
      <c r="AZ385" s="106" t="n">
        <v>7688281.38648623</v>
      </c>
      <c r="BA385" s="106" t="n">
        <v>0</v>
      </c>
      <c r="BB385" s="106" t="n">
        <v>0</v>
      </c>
      <c r="BC385" s="106" t="n"/>
      <c r="BD385" s="106" t="n">
        <v>1109290.64124894</v>
      </c>
      <c r="BE385" s="106" t="n">
        <v>0</v>
      </c>
      <c r="BF385" s="106" t="n">
        <v>0</v>
      </c>
      <c r="BG385" s="106" t="n">
        <v>0</v>
      </c>
      <c r="BH385" s="106" t="n">
        <v>0</v>
      </c>
      <c r="BI385" s="106" t="n">
        <v>0</v>
      </c>
      <c r="BJ385" s="106" t="n"/>
      <c r="BK385" s="114" t="n"/>
      <c r="BL385" s="115" t="n">
        <v>755594.760537915</v>
      </c>
      <c r="BM385" s="113" t="n">
        <f aca="false" ca="true" dt2D="false" dtr="false" t="normal">SUBTOTAL(9, BN385:CB385)</f>
        <v>36137184.968160085</v>
      </c>
      <c r="BN385" s="106" t="n">
        <v>26584018.179887</v>
      </c>
      <c r="BO385" s="106" t="n">
        <v>0</v>
      </c>
      <c r="BP385" s="106" t="n">
        <v>7688281.38648623</v>
      </c>
      <c r="BQ385" s="106" t="n">
        <v>0</v>
      </c>
      <c r="BR385" s="106" t="n">
        <v>0</v>
      </c>
      <c r="BS385" s="106" t="n"/>
      <c r="BT385" s="106" t="n">
        <v>1109290.64124894</v>
      </c>
      <c r="BU385" s="106" t="n">
        <v>0</v>
      </c>
      <c r="BV385" s="106" t="n">
        <v>0</v>
      </c>
      <c r="BW385" s="106" t="n">
        <v>0</v>
      </c>
      <c r="BX385" s="106" t="n">
        <v>0</v>
      </c>
      <c r="BY385" s="106" t="n">
        <v>0</v>
      </c>
      <c r="BZ385" s="106" t="n"/>
      <c r="CA385" s="114" t="n"/>
      <c r="CB385" s="115" t="n">
        <v>755594.760537915</v>
      </c>
      <c r="CD385" s="116" t="n">
        <f aca="false" ca="false" dt2D="false" dtr="false" t="normal">+CD384+1</f>
        <v>365</v>
      </c>
      <c r="CE385" s="117" t="n">
        <f aca="false" ca="false" dt2D="false" dtr="false" t="normal">+CE384+1</f>
        <v>176</v>
      </c>
      <c r="CF385" s="104" t="s">
        <v>78</v>
      </c>
      <c r="CG385" s="104" t="s">
        <v>466</v>
      </c>
      <c r="CH385" s="118" t="n">
        <f aca="false" ca="true" dt2D="false" dtr="false" t="normal">SUBTOTAL(9, CI385:CW385)</f>
        <v>7115592.340537915</v>
      </c>
      <c r="CI385" s="106" t="n">
        <v>6359997.58</v>
      </c>
      <c r="CJ385" s="114" t="n">
        <v>0</v>
      </c>
      <c r="CK385" s="114" t="n"/>
      <c r="CL385" s="114" t="n">
        <v>0</v>
      </c>
      <c r="CM385" s="114" t="n">
        <v>0</v>
      </c>
      <c r="CN385" s="114" t="n"/>
      <c r="CO385" s="114" t="n"/>
      <c r="CP385" s="114" t="n">
        <v>0</v>
      </c>
      <c r="CQ385" s="114" t="n">
        <v>0</v>
      </c>
      <c r="CR385" s="114" t="n">
        <v>0</v>
      </c>
      <c r="CS385" s="114" t="n">
        <v>0</v>
      </c>
      <c r="CT385" s="114" t="n">
        <v>0</v>
      </c>
      <c r="CU385" s="114" t="n"/>
      <c r="CV385" s="114" t="n"/>
      <c r="CW385" s="115" t="n">
        <v>755594.760537915</v>
      </c>
      <c r="CZ385" s="104" t="s">
        <v>466</v>
      </c>
      <c r="DA385" s="119" t="n">
        <f aca="false" ca="true" dt2D="false" dtr="false" t="normal">SUBTOTAL(9, DB385:DP385)</f>
        <v>6473254.53</v>
      </c>
      <c r="DB385" s="106" t="n">
        <v>6359997.58</v>
      </c>
      <c r="DC385" s="114" t="n">
        <v>0</v>
      </c>
      <c r="DD385" s="114" t="n"/>
      <c r="DE385" s="114" t="n">
        <v>0</v>
      </c>
      <c r="DF385" s="114" t="n">
        <v>0</v>
      </c>
      <c r="DG385" s="114" t="n"/>
      <c r="DH385" s="114" t="n"/>
      <c r="DI385" s="114" t="n">
        <v>0</v>
      </c>
      <c r="DJ385" s="114" t="n">
        <v>0</v>
      </c>
      <c r="DK385" s="114" t="n">
        <v>0</v>
      </c>
      <c r="DL385" s="114" t="n">
        <v>0</v>
      </c>
      <c r="DM385" s="114" t="n">
        <v>0</v>
      </c>
      <c r="DN385" s="114" t="n"/>
      <c r="DO385" s="114" t="n"/>
      <c r="DP385" s="120" t="n">
        <v>113256.95</v>
      </c>
      <c r="DQ385" s="3" t="n">
        <f aca="false" ca="false" dt2D="false" dtr="false" t="normal">N385-DA385</f>
        <v>0</v>
      </c>
      <c r="DS385" s="9" t="n"/>
    </row>
    <row hidden="false" ht="15" outlineLevel="0" r="386">
      <c r="A386" s="183" t="n">
        <f aca="false" ca="false" dt2D="false" dtr="false" t="normal">+A385+1</f>
        <v>366</v>
      </c>
      <c r="B386" s="184" t="n">
        <f aca="false" ca="false" dt2D="false" dtr="false" t="normal">+B385+1</f>
        <v>177</v>
      </c>
      <c r="C386" s="104" t="s">
        <v>78</v>
      </c>
      <c r="D386" s="104" t="s">
        <v>467</v>
      </c>
      <c r="E386" s="105" t="n">
        <v>1987</v>
      </c>
      <c r="F386" s="105" t="n">
        <v>2017</v>
      </c>
      <c r="G386" s="105" t="s">
        <v>68</v>
      </c>
      <c r="H386" s="105" t="n">
        <v>9</v>
      </c>
      <c r="I386" s="105" t="n">
        <v>5</v>
      </c>
      <c r="J386" s="106" t="n">
        <v>12250.3</v>
      </c>
      <c r="K386" s="106" t="n">
        <v>9272.3</v>
      </c>
      <c r="L386" s="106" t="n">
        <v>330.7</v>
      </c>
      <c r="M386" s="107" t="n">
        <v>376</v>
      </c>
      <c r="N386" s="108" t="n">
        <f aca="false" ca="false" dt2D="false" dtr="false" t="normal">SUM(P386:T386)</f>
        <v>17753087.02</v>
      </c>
      <c r="O386" s="106" t="n"/>
      <c r="P386" s="114" t="n"/>
      <c r="Q386" s="114" t="n"/>
      <c r="R386" s="114" t="n">
        <v>1626098.94</v>
      </c>
      <c r="S386" s="114" t="n">
        <v>14723056.9254617</v>
      </c>
      <c r="T386" s="114" t="n">
        <v>1403931.1545383</v>
      </c>
      <c r="U386" s="114" t="n">
        <v>1763.22550636813</v>
      </c>
      <c r="V386" s="114" t="n">
        <v>1189.283020064</v>
      </c>
      <c r="W386" s="110" t="n">
        <v>2023</v>
      </c>
      <c r="X386" s="9" t="e">
        <f aca="false" ca="false" dt2D="false" dtr="false" t="normal">+#REF!-'[9]Приложение №1'!$P565</f>
        <v>#REF!</v>
      </c>
      <c r="Z386" s="113" t="n">
        <f aca="false" ca="false" dt2D="false" dtr="false" t="normal">SUM(AA386:AO386)</f>
        <v>18369838.047974408</v>
      </c>
      <c r="AA386" s="106" t="n">
        <v>0</v>
      </c>
      <c r="AB386" s="106" t="n">
        <v>0</v>
      </c>
      <c r="AC386" s="106" t="n">
        <v>0</v>
      </c>
      <c r="AD386" s="106" t="n">
        <v>0</v>
      </c>
      <c r="AE386" s="106" t="n">
        <v>0</v>
      </c>
      <c r="AF386" s="106" t="n"/>
      <c r="AG386" s="106" t="n">
        <v>0</v>
      </c>
      <c r="AH386" s="106" t="n">
        <v>0</v>
      </c>
      <c r="AI386" s="106" t="n">
        <v>0</v>
      </c>
      <c r="AJ386" s="106" t="n">
        <v>15999283.9272355</v>
      </c>
      <c r="AK386" s="106" t="n">
        <v>0</v>
      </c>
      <c r="AL386" s="106" t="n">
        <v>0</v>
      </c>
      <c r="AM386" s="106" t="n">
        <v>1836983.80479744</v>
      </c>
      <c r="AN386" s="114" t="n">
        <v>183698.380479744</v>
      </c>
      <c r="AO386" s="115" t="n">
        <v>349871.935461721</v>
      </c>
      <c r="AP386" s="112" t="n">
        <f aca="false" ca="false" dt2D="false" dtr="false" t="normal">+N386-'Приложение №2'!E386</f>
        <v>0</v>
      </c>
      <c r="AQ386" s="121" t="n">
        <v>7457217.95</v>
      </c>
      <c r="AR386" s="3" t="n">
        <f aca="false" ca="false" dt2D="false" dtr="false" t="normal">+(K386*13.95+L386*23.65)*12*0.85</f>
        <v>1399130.3279999997</v>
      </c>
      <c r="AS386" s="3" t="n">
        <f aca="false" ca="false" dt2D="false" dtr="false" t="normal">+(K386*13.95+L386*23.65)*12*30</f>
        <v>49381070.39999999</v>
      </c>
      <c r="AT386" s="9" t="n">
        <f aca="false" ca="false" dt2D="false" dtr="false" t="normal">+S386-AS386</f>
        <v>-34658013.47453829</v>
      </c>
      <c r="AU386" s="9" t="e">
        <f aca="false" ca="false" dt2D="false" dtr="false" t="normal">+P386-'[5]Приложение №1'!$P475</f>
        <v>#REF!</v>
      </c>
      <c r="AV386" s="9" t="e">
        <f aca="false" ca="false" dt2D="false" dtr="false" t="normal">+Q386-'[5]Приложение №1'!$Q475</f>
        <v>#REF!</v>
      </c>
      <c r="AW386" s="186" t="n">
        <f aca="false" ca="true" dt2D="false" dtr="false" t="normal">SUBTOTAL(9, AX386:BL386)</f>
        <v>16349155.862697221</v>
      </c>
      <c r="AX386" s="106" t="n">
        <v>0</v>
      </c>
      <c r="AY386" s="106" t="n">
        <v>0</v>
      </c>
      <c r="AZ386" s="106" t="n">
        <v>0</v>
      </c>
      <c r="BA386" s="106" t="n">
        <v>0</v>
      </c>
      <c r="BB386" s="106" t="n">
        <v>0</v>
      </c>
      <c r="BC386" s="106" t="n"/>
      <c r="BD386" s="106" t="n"/>
      <c r="BE386" s="106" t="n">
        <v>0</v>
      </c>
      <c r="BF386" s="106" t="n">
        <v>0</v>
      </c>
      <c r="BG386" s="106" t="n">
        <v>15999283.9272355</v>
      </c>
      <c r="BH386" s="106" t="n">
        <v>0</v>
      </c>
      <c r="BI386" s="106" t="n">
        <v>0</v>
      </c>
      <c r="BJ386" s="106" t="n"/>
      <c r="BK386" s="114" t="n"/>
      <c r="BL386" s="187" t="n">
        <v>349871.935461721</v>
      </c>
      <c r="BM386" s="186" t="n">
        <f aca="false" ca="true" dt2D="false" dtr="false" t="normal">SUBTOTAL(9, BN386:CB386)</f>
        <v>16349155.862697221</v>
      </c>
      <c r="BN386" s="106" t="n">
        <v>0</v>
      </c>
      <c r="BO386" s="106" t="n">
        <v>0</v>
      </c>
      <c r="BP386" s="106" t="n">
        <v>0</v>
      </c>
      <c r="BQ386" s="106" t="n">
        <v>0</v>
      </c>
      <c r="BR386" s="106" t="n">
        <v>0</v>
      </c>
      <c r="BS386" s="106" t="n"/>
      <c r="BT386" s="106" t="n"/>
      <c r="BU386" s="106" t="n">
        <v>0</v>
      </c>
      <c r="BV386" s="106" t="n">
        <v>0</v>
      </c>
      <c r="BW386" s="106" t="n">
        <v>15999283.9272355</v>
      </c>
      <c r="BX386" s="106" t="n">
        <v>0</v>
      </c>
      <c r="BY386" s="106" t="n">
        <v>0</v>
      </c>
      <c r="BZ386" s="106" t="n"/>
      <c r="CA386" s="114" t="n"/>
      <c r="CB386" s="115" t="n">
        <v>349871.935461721</v>
      </c>
      <c r="CD386" s="116" t="n">
        <f aca="false" ca="false" dt2D="false" dtr="false" t="normal">+CD385+1</f>
        <v>366</v>
      </c>
      <c r="CE386" s="117" t="n">
        <f aca="false" ca="false" dt2D="false" dtr="false" t="normal">+CE385+1</f>
        <v>177</v>
      </c>
      <c r="CF386" s="104" t="s">
        <v>78</v>
      </c>
      <c r="CG386" s="117" t="s">
        <v>467</v>
      </c>
      <c r="CH386" s="188" t="n">
        <f aca="false" ca="true" dt2D="false" dtr="false" t="normal">SUBTOTAL(9, CI386:CW386)</f>
        <v>17968962.83546172</v>
      </c>
      <c r="CI386" s="114" t="n">
        <v>0</v>
      </c>
      <c r="CJ386" s="114" t="n">
        <v>0</v>
      </c>
      <c r="CK386" s="114" t="n">
        <v>0</v>
      </c>
      <c r="CL386" s="114" t="n">
        <v>0</v>
      </c>
      <c r="CM386" s="114" t="n">
        <v>0</v>
      </c>
      <c r="CN386" s="114" t="n"/>
      <c r="CO386" s="114" t="n"/>
      <c r="CP386" s="114" t="n">
        <v>0</v>
      </c>
      <c r="CQ386" s="114" t="n">
        <v>0</v>
      </c>
      <c r="CR386" s="114" t="n">
        <v>17619090.9</v>
      </c>
      <c r="CS386" s="114" t="n">
        <v>0</v>
      </c>
      <c r="CT386" s="114" t="n">
        <v>0</v>
      </c>
      <c r="CU386" s="114" t="n"/>
      <c r="CV386" s="114" t="n"/>
      <c r="CW386" s="115" t="n">
        <v>349871.935461721</v>
      </c>
      <c r="CZ386" s="117" t="s">
        <v>467</v>
      </c>
      <c r="DA386" s="189" t="n">
        <f aca="false" ca="true" dt2D="false" dtr="false" t="normal">SUBTOTAL(9, DB386:DP386)</f>
        <v>17753087.02</v>
      </c>
      <c r="DB386" s="114" t="n">
        <v>0</v>
      </c>
      <c r="DC386" s="114" t="n">
        <v>0</v>
      </c>
      <c r="DD386" s="114" t="n">
        <v>0</v>
      </c>
      <c r="DE386" s="114" t="n">
        <v>0</v>
      </c>
      <c r="DF386" s="114" t="n">
        <v>0</v>
      </c>
      <c r="DG386" s="114" t="n"/>
      <c r="DH386" s="114" t="n"/>
      <c r="DI386" s="114" t="n">
        <v>0</v>
      </c>
      <c r="DJ386" s="114" t="n">
        <v>0</v>
      </c>
      <c r="DK386" s="114" t="n">
        <v>17619090.9</v>
      </c>
      <c r="DL386" s="114" t="n">
        <v>0</v>
      </c>
      <c r="DM386" s="114" t="n">
        <v>0</v>
      </c>
      <c r="DN386" s="114" t="n"/>
      <c r="DO386" s="114" t="n"/>
      <c r="DP386" s="120" t="n">
        <v>133996.12</v>
      </c>
      <c r="DQ386" s="3" t="n">
        <f aca="false" ca="false" dt2D="false" dtr="false" t="normal">N386-DA386</f>
        <v>0</v>
      </c>
      <c r="DS386" s="9" t="n"/>
    </row>
    <row hidden="false" ht="15" outlineLevel="0" r="387">
      <c r="A387" s="183" t="n">
        <f aca="false" ca="false" dt2D="false" dtr="false" t="normal">+A386+1</f>
        <v>367</v>
      </c>
      <c r="B387" s="184" t="n">
        <f aca="false" ca="false" dt2D="false" dtr="false" t="normal">+B386+1</f>
        <v>178</v>
      </c>
      <c r="C387" s="104" t="s">
        <v>78</v>
      </c>
      <c r="D387" s="104" t="s">
        <v>468</v>
      </c>
      <c r="E387" s="105" t="n">
        <v>1987</v>
      </c>
      <c r="F387" s="105" t="n">
        <v>2016</v>
      </c>
      <c r="G387" s="105" t="s">
        <v>68</v>
      </c>
      <c r="H387" s="105" t="n">
        <v>5</v>
      </c>
      <c r="I387" s="105" t="n">
        <v>2</v>
      </c>
      <c r="J387" s="106" t="n">
        <v>4414.46</v>
      </c>
      <c r="K387" s="106" t="n">
        <v>3063.3</v>
      </c>
      <c r="L387" s="106" t="n">
        <v>691.2</v>
      </c>
      <c r="M387" s="107" t="n">
        <v>189</v>
      </c>
      <c r="N387" s="108" t="n">
        <f aca="false" ca="false" dt2D="false" dtr="false" t="normal">SUM(P387:T387)</f>
        <v>3544649.3499999996</v>
      </c>
      <c r="O387" s="106" t="n"/>
      <c r="P387" s="114" t="n"/>
      <c r="Q387" s="114" t="n"/>
      <c r="R387" s="114" t="n">
        <v>1857708.72</v>
      </c>
      <c r="S387" s="114" t="n">
        <v>1686940.63</v>
      </c>
      <c r="T387" s="190" t="n"/>
      <c r="U387" s="114" t="n">
        <v>1397.77679492934</v>
      </c>
      <c r="V387" s="114" t="n">
        <v>1194.283020064</v>
      </c>
      <c r="W387" s="110" t="n">
        <v>2023</v>
      </c>
      <c r="X387" s="9" t="e">
        <f aca="false" ca="false" dt2D="false" dtr="false" t="normal">+#REF!-'[9]Приложение №1'!$P928</f>
        <v>#REF!</v>
      </c>
      <c r="Z387" s="113" t="n">
        <f aca="false" ca="false" dt2D="false" dtr="false" t="normal">SUM(AA387:AO387)</f>
        <v>26328386.42532755</v>
      </c>
      <c r="AA387" s="106" t="n">
        <v>7372697.95058873</v>
      </c>
      <c r="AB387" s="106" t="n">
        <v>0</v>
      </c>
      <c r="AC387" s="106" t="n">
        <v>0</v>
      </c>
      <c r="AD387" s="106" t="n">
        <v>0</v>
      </c>
      <c r="AE387" s="106" t="n">
        <v>0</v>
      </c>
      <c r="AF387" s="106" t="n"/>
      <c r="AG387" s="106" t="n">
        <v>306104.353762048</v>
      </c>
      <c r="AH387" s="106" t="n">
        <v>0</v>
      </c>
      <c r="AI387" s="106" t="n">
        <v>0</v>
      </c>
      <c r="AJ387" s="106" t="n">
        <v>0</v>
      </c>
      <c r="AK387" s="106" t="n">
        <v>15442160.1082544</v>
      </c>
      <c r="AL387" s="106" t="n">
        <v>0</v>
      </c>
      <c r="AM387" s="106" t="n">
        <v>2438531.52836921</v>
      </c>
      <c r="AN387" s="114" t="n">
        <v>263283.864253275</v>
      </c>
      <c r="AO387" s="115" t="n">
        <v>505608.620099888</v>
      </c>
      <c r="AP387" s="112" t="n">
        <f aca="false" ca="false" dt2D="false" dtr="false" t="normal">+N387-'Приложение №2'!E387</f>
        <v>0</v>
      </c>
      <c r="AQ387" s="1" t="n">
        <f aca="false" ca="false" dt2D="false" dtr="false" t="normal">2719968.2-1338393.95</f>
        <v>1381574.2500000002</v>
      </c>
      <c r="AR387" s="3" t="n">
        <f aca="false" ca="false" dt2D="false" dtr="false" t="normal">+(K387*10.5+L387*21)*12*0.85</f>
        <v>476134.47000000003</v>
      </c>
      <c r="AS387" s="3" t="n">
        <f aca="false" ca="false" dt2D="false" dtr="false" t="normal">+(K387*10.5+L387*21)*12*30-994515.5</f>
        <v>15810230.500000004</v>
      </c>
      <c r="AT387" s="9" t="n">
        <f aca="false" ca="false" dt2D="false" dtr="false" t="normal">+S387-AS387</f>
        <v>-14123289.870000005</v>
      </c>
      <c r="AU387" s="9" t="e">
        <f aca="false" ca="false" dt2D="false" dtr="false" t="normal">+P387-'[5]Приложение №1'!$P480</f>
        <v>#REF!</v>
      </c>
      <c r="AV387" s="9" t="e">
        <f aca="false" ca="false" dt2D="false" dtr="false" t="normal">+Q387-'[5]Приложение №1'!$Q480</f>
        <v>#REF!</v>
      </c>
      <c r="AW387" s="186" t="n">
        <f aca="false" ca="true" dt2D="false" dtr="false" t="normal">SUBTOTAL(9, AX387:BL387)</f>
        <v>4281809.655907055</v>
      </c>
      <c r="AX387" s="106" t="n"/>
      <c r="AY387" s="106" t="n">
        <v>0</v>
      </c>
      <c r="AZ387" s="106" t="n">
        <v>0</v>
      </c>
      <c r="BA387" s="106" t="n">
        <v>0</v>
      </c>
      <c r="BB387" s="106" t="n">
        <v>0</v>
      </c>
      <c r="BC387" s="106" t="n"/>
      <c r="BD387" s="106" t="n"/>
      <c r="BE387" s="106" t="n">
        <v>0</v>
      </c>
      <c r="BF387" s="106" t="n">
        <v>0</v>
      </c>
      <c r="BG387" s="106" t="n">
        <v>0</v>
      </c>
      <c r="BH387" s="106" t="n">
        <v>3944120.89</v>
      </c>
      <c r="BI387" s="106" t="n">
        <v>0</v>
      </c>
      <c r="BJ387" s="106" t="n"/>
      <c r="BK387" s="114" t="n"/>
      <c r="BL387" s="187" t="n">
        <v>337688.765907055</v>
      </c>
      <c r="BM387" s="186" t="n">
        <f aca="false" ca="true" dt2D="false" dtr="false" t="normal">SUBTOTAL(9, BN387:CB387)</f>
        <v>4281809.655907055</v>
      </c>
      <c r="BN387" s="106" t="n"/>
      <c r="BO387" s="106" t="n">
        <v>0</v>
      </c>
      <c r="BP387" s="106" t="n">
        <v>0</v>
      </c>
      <c r="BQ387" s="106" t="n">
        <v>0</v>
      </c>
      <c r="BR387" s="106" t="n">
        <v>0</v>
      </c>
      <c r="BS387" s="106" t="n"/>
      <c r="BT387" s="106" t="n"/>
      <c r="BU387" s="106" t="n">
        <v>0</v>
      </c>
      <c r="BV387" s="106" t="n">
        <v>0</v>
      </c>
      <c r="BW387" s="106" t="n">
        <v>0</v>
      </c>
      <c r="BX387" s="106" t="n">
        <v>3944120.89</v>
      </c>
      <c r="BY387" s="106" t="n">
        <v>0</v>
      </c>
      <c r="BZ387" s="106" t="n"/>
      <c r="CA387" s="114" t="n"/>
      <c r="CB387" s="115" t="n">
        <v>337688.765907055</v>
      </c>
      <c r="CD387" s="116" t="n">
        <f aca="false" ca="false" dt2D="false" dtr="false" t="normal">+CD386+1</f>
        <v>367</v>
      </c>
      <c r="CE387" s="117" t="n">
        <f aca="false" ca="false" dt2D="false" dtr="false" t="normal">+CE386+1</f>
        <v>178</v>
      </c>
      <c r="CF387" s="104" t="s">
        <v>78</v>
      </c>
      <c r="CG387" s="117" t="s">
        <v>468</v>
      </c>
      <c r="CH387" s="188" t="n">
        <f aca="false" ca="true" dt2D="false" dtr="false" t="normal">SUBTOTAL(9, CI387:CW387)</f>
        <v>3845199.495907055</v>
      </c>
      <c r="CI387" s="114" t="n"/>
      <c r="CJ387" s="114" t="n">
        <v>0</v>
      </c>
      <c r="CK387" s="114" t="n">
        <v>0</v>
      </c>
      <c r="CL387" s="114" t="n">
        <v>0</v>
      </c>
      <c r="CM387" s="114" t="n">
        <v>0</v>
      </c>
      <c r="CN387" s="114" t="n"/>
      <c r="CO387" s="114" t="n"/>
      <c r="CP387" s="114" t="n">
        <v>0</v>
      </c>
      <c r="CQ387" s="114" t="n">
        <v>0</v>
      </c>
      <c r="CR387" s="114" t="n">
        <v>0</v>
      </c>
      <c r="CS387" s="114" t="n">
        <v>3507510.73</v>
      </c>
      <c r="CT387" s="114" t="n">
        <v>0</v>
      </c>
      <c r="CU387" s="114" t="n"/>
      <c r="CV387" s="114" t="n"/>
      <c r="CW387" s="115" t="n">
        <v>337688.765907055</v>
      </c>
      <c r="CZ387" s="117" t="s">
        <v>468</v>
      </c>
      <c r="DA387" s="189" t="n">
        <f aca="false" ca="true" dt2D="false" dtr="false" t="normal">SUBTOTAL(9, DB387:DP387)</f>
        <v>3544649.35</v>
      </c>
      <c r="DB387" s="114" t="n"/>
      <c r="DC387" s="114" t="n">
        <v>0</v>
      </c>
      <c r="DD387" s="114" t="n">
        <v>0</v>
      </c>
      <c r="DE387" s="114" t="n">
        <v>0</v>
      </c>
      <c r="DF387" s="114" t="n">
        <v>0</v>
      </c>
      <c r="DG387" s="114" t="n"/>
      <c r="DH387" s="114" t="n"/>
      <c r="DI387" s="114" t="n">
        <v>0</v>
      </c>
      <c r="DJ387" s="114" t="n">
        <v>0</v>
      </c>
      <c r="DK387" s="114" t="n">
        <v>0</v>
      </c>
      <c r="DL387" s="114" t="n">
        <v>3507510.73</v>
      </c>
      <c r="DM387" s="114" t="n">
        <v>0</v>
      </c>
      <c r="DN387" s="114" t="n"/>
      <c r="DO387" s="114" t="n"/>
      <c r="DP387" s="120" t="n">
        <v>37138.62</v>
      </c>
      <c r="DQ387" s="3" t="n">
        <f aca="false" ca="false" dt2D="false" dtr="false" t="normal">N387-DA387</f>
        <v>0</v>
      </c>
      <c r="DS387" s="9" t="n"/>
    </row>
    <row hidden="false" ht="15" outlineLevel="0" r="388">
      <c r="A388" s="183" t="n">
        <f aca="false" ca="false" dt2D="false" dtr="false" t="normal">+A387+1</f>
        <v>368</v>
      </c>
      <c r="B388" s="184" t="n">
        <f aca="false" ca="false" dt2D="false" dtr="false" t="normal">+B387+1</f>
        <v>179</v>
      </c>
      <c r="C388" s="104" t="s">
        <v>78</v>
      </c>
      <c r="D388" s="104" t="s">
        <v>90</v>
      </c>
      <c r="E388" s="105" t="n">
        <v>1990</v>
      </c>
      <c r="F388" s="105" t="n">
        <v>2017</v>
      </c>
      <c r="G388" s="105" t="s">
        <v>68</v>
      </c>
      <c r="H388" s="105" t="n">
        <v>9</v>
      </c>
      <c r="I388" s="105" t="n">
        <v>1</v>
      </c>
      <c r="J388" s="106" t="n">
        <v>4527.8</v>
      </c>
      <c r="K388" s="106" t="n">
        <v>3876.4</v>
      </c>
      <c r="L388" s="106" t="n">
        <v>0</v>
      </c>
      <c r="M388" s="107" t="n">
        <v>153</v>
      </c>
      <c r="N388" s="108" t="n">
        <f aca="false" ca="false" dt2D="false" dtr="false" t="normal">SUM(P388:T388)</f>
        <v>938135.1</v>
      </c>
      <c r="O388" s="106" t="n"/>
      <c r="P388" s="114" t="n"/>
      <c r="Q388" s="114" t="n"/>
      <c r="R388" s="114" t="n">
        <v>281440.53</v>
      </c>
      <c r="S388" s="114" t="n">
        <v>656694.57</v>
      </c>
      <c r="T388" s="190" t="n"/>
      <c r="U388" s="114" t="n">
        <v>380.774798405671</v>
      </c>
      <c r="V388" s="114" t="n">
        <v>380.774798405671</v>
      </c>
      <c r="W388" s="110" t="n">
        <v>2023</v>
      </c>
      <c r="X388" s="9" t="e">
        <f aca="false" ca="false" dt2D="false" dtr="false" t="normal">+#REF!-'[9]Приложение №1'!$P1147</f>
        <v>#REF!</v>
      </c>
      <c r="Z388" s="113" t="n">
        <f aca="false" ca="false" dt2D="false" dtr="false" t="normal">SUM(AA388:AO388)</f>
        <v>27786937.96963656</v>
      </c>
      <c r="AA388" s="106" t="n">
        <v>9291270.46546773</v>
      </c>
      <c r="AB388" s="106" t="n">
        <v>3717394.33412153</v>
      </c>
      <c r="AC388" s="106" t="n">
        <v>2745659.63005222</v>
      </c>
      <c r="AD388" s="106" t="n">
        <v>1754602.37599998</v>
      </c>
      <c r="AE388" s="106" t="n">
        <v>0</v>
      </c>
      <c r="AF388" s="106" t="n"/>
      <c r="AG388" s="106" t="n">
        <v>412798.178606382</v>
      </c>
      <c r="AH388" s="106" t="n">
        <v>0</v>
      </c>
      <c r="AI388" s="106" t="n">
        <v>0</v>
      </c>
      <c r="AJ388" s="106" t="n">
        <v>6460326.51183568</v>
      </c>
      <c r="AK388" s="106" t="n">
        <v>0</v>
      </c>
      <c r="AL388" s="106" t="n">
        <v>0</v>
      </c>
      <c r="AM388" s="106" t="n">
        <v>2593831.00963821</v>
      </c>
      <c r="AN388" s="114" t="n">
        <v>277869.379696366</v>
      </c>
      <c r="AO388" s="115" t="n">
        <v>533186.084218462</v>
      </c>
      <c r="AP388" s="112" t="n">
        <f aca="false" ca="false" dt2D="false" dtr="false" t="normal">+N388-'Приложение №2'!E388</f>
        <v>0</v>
      </c>
      <c r="AQ388" s="9" t="n">
        <f aca="false" ca="false" dt2D="false" dtr="false" t="normal">2413836.61-R37</f>
        <v>953855.3557815398</v>
      </c>
      <c r="AR388" s="3" t="n">
        <f aca="false" ca="false" dt2D="false" dtr="false" t="normal">+(K388*13.29+L388*22.52)*12*0.85</f>
        <v>525477.0312</v>
      </c>
      <c r="AS388" s="3" t="n">
        <f aca="false" ca="false" dt2D="false" dtr="false" t="normal">+(K388*13.29+L388*22.52)*12*30-S37</f>
        <v>15353224.06421846</v>
      </c>
      <c r="AT388" s="9" t="n">
        <f aca="false" ca="false" dt2D="false" dtr="false" t="normal">+S388-AS388</f>
        <v>-14696529.49421846</v>
      </c>
      <c r="AW388" s="113" t="n">
        <f aca="false" ca="true" dt2D="false" dtr="false" t="normal">SUBTOTAL(9, AX388:BL388)</f>
        <v>1476035.428539742</v>
      </c>
      <c r="AX388" s="106" t="n"/>
      <c r="AY388" s="106" t="n"/>
      <c r="AZ388" s="106" t="n">
        <v>942849.34432128</v>
      </c>
      <c r="BA388" s="106" t="n"/>
      <c r="BB388" s="106" t="n">
        <v>0</v>
      </c>
      <c r="BC388" s="106" t="n"/>
      <c r="BD388" s="106" t="n"/>
      <c r="BE388" s="106" t="n">
        <v>0</v>
      </c>
      <c r="BF388" s="106" t="n">
        <v>0</v>
      </c>
      <c r="BG388" s="106" t="n"/>
      <c r="BH388" s="106" t="n">
        <v>0</v>
      </c>
      <c r="BI388" s="106" t="n">
        <v>0</v>
      </c>
      <c r="BJ388" s="106" t="n"/>
      <c r="BK388" s="114" t="n"/>
      <c r="BL388" s="187" t="n">
        <v>533186.084218462</v>
      </c>
      <c r="BM388" s="113" t="n">
        <f aca="false" ca="true" dt2D="false" dtr="false" t="normal">SUBTOTAL(9, BN388:CB388)</f>
        <v>1476035.428539742</v>
      </c>
      <c r="BN388" s="106" t="n"/>
      <c r="BO388" s="106" t="n"/>
      <c r="BP388" s="106" t="n">
        <v>942849.34432128</v>
      </c>
      <c r="BQ388" s="106" t="n"/>
      <c r="BR388" s="106" t="n">
        <v>0</v>
      </c>
      <c r="BS388" s="106" t="n"/>
      <c r="BT388" s="106" t="n"/>
      <c r="BU388" s="106" t="n">
        <v>0</v>
      </c>
      <c r="BV388" s="106" t="n">
        <v>0</v>
      </c>
      <c r="BW388" s="106" t="n"/>
      <c r="BX388" s="106" t="n">
        <v>0</v>
      </c>
      <c r="BY388" s="106" t="n">
        <v>0</v>
      </c>
      <c r="BZ388" s="106" t="n"/>
      <c r="CA388" s="114" t="n"/>
      <c r="CB388" s="115" t="n">
        <v>533186.084218462</v>
      </c>
      <c r="CD388" s="116" t="n">
        <f aca="false" ca="false" dt2D="false" dtr="false" t="normal">+CD387+1</f>
        <v>368</v>
      </c>
      <c r="CE388" s="117" t="n">
        <f aca="false" ca="false" dt2D="false" dtr="false" t="normal">+CE387+1</f>
        <v>179</v>
      </c>
      <c r="CF388" s="104" t="s">
        <v>78</v>
      </c>
      <c r="CG388" s="117" t="s">
        <v>90</v>
      </c>
      <c r="CH388" s="118" t="n">
        <f aca="false" ca="true" dt2D="false" dtr="false" t="normal">SUBTOTAL(9, CI388:CW388)</f>
        <v>1471321.184218462</v>
      </c>
      <c r="CI388" s="114" t="n"/>
      <c r="CJ388" s="114" t="n"/>
      <c r="CK388" s="114" t="n">
        <v>938135.1</v>
      </c>
      <c r="CL388" s="114" t="n"/>
      <c r="CM388" s="114" t="n">
        <v>0</v>
      </c>
      <c r="CN388" s="114" t="n"/>
      <c r="CO388" s="114" t="n"/>
      <c r="CP388" s="114" t="n">
        <v>0</v>
      </c>
      <c r="CQ388" s="114" t="n">
        <v>0</v>
      </c>
      <c r="CR388" s="114" t="n"/>
      <c r="CS388" s="114" t="n">
        <v>0</v>
      </c>
      <c r="CT388" s="114" t="n">
        <v>0</v>
      </c>
      <c r="CU388" s="114" t="n"/>
      <c r="CV388" s="114" t="n"/>
      <c r="CW388" s="115" t="n">
        <v>533186.084218462</v>
      </c>
      <c r="CZ388" s="117" t="s">
        <v>90</v>
      </c>
      <c r="DA388" s="119" t="n">
        <f aca="false" ca="true" dt2D="false" dtr="false" t="normal">SUBTOTAL(9, DB388:DP388)</f>
        <v>938135.1</v>
      </c>
      <c r="DB388" s="114" t="n"/>
      <c r="DC388" s="114" t="n"/>
      <c r="DD388" s="114" t="n">
        <v>938135.1</v>
      </c>
      <c r="DE388" s="114" t="n"/>
      <c r="DF388" s="114" t="n">
        <v>0</v>
      </c>
      <c r="DG388" s="114" t="n"/>
      <c r="DH388" s="114" t="n"/>
      <c r="DI388" s="114" t="n">
        <v>0</v>
      </c>
      <c r="DJ388" s="114" t="n">
        <v>0</v>
      </c>
      <c r="DK388" s="114" t="n"/>
      <c r="DL388" s="114" t="n">
        <v>0</v>
      </c>
      <c r="DM388" s="114" t="n">
        <v>0</v>
      </c>
      <c r="DN388" s="114" t="n"/>
      <c r="DO388" s="114" t="n"/>
      <c r="DP388" s="122" t="n"/>
      <c r="DQ388" s="3" t="n">
        <f aca="false" ca="false" dt2D="false" dtr="false" t="normal">N388-DA388</f>
        <v>0</v>
      </c>
      <c r="DS388" s="9" t="n"/>
    </row>
    <row hidden="false" ht="15" outlineLevel="0" r="389">
      <c r="A389" s="183" t="n">
        <f aca="false" ca="false" dt2D="false" dtr="false" t="normal">+A388+1</f>
        <v>369</v>
      </c>
      <c r="B389" s="184" t="n">
        <f aca="false" ca="false" dt2D="false" dtr="false" t="normal">+B388+1</f>
        <v>180</v>
      </c>
      <c r="C389" s="104" t="s">
        <v>78</v>
      </c>
      <c r="D389" s="104" t="s">
        <v>469</v>
      </c>
      <c r="E389" s="105" t="n">
        <v>1989</v>
      </c>
      <c r="F389" s="105" t="n">
        <v>2016</v>
      </c>
      <c r="G389" s="105" t="s">
        <v>68</v>
      </c>
      <c r="H389" s="105" t="n">
        <v>5</v>
      </c>
      <c r="I389" s="105" t="n">
        <v>4</v>
      </c>
      <c r="J389" s="106" t="n">
        <v>5827.1</v>
      </c>
      <c r="K389" s="106" t="n">
        <v>4877.5</v>
      </c>
      <c r="L389" s="106" t="n">
        <v>0</v>
      </c>
      <c r="M389" s="107" t="n">
        <v>218</v>
      </c>
      <c r="N389" s="108" t="n">
        <f aca="false" ca="false" dt2D="false" dtr="false" t="normal">SUM(P389:T389)</f>
        <v>3743326.59</v>
      </c>
      <c r="O389" s="106" t="n"/>
      <c r="P389" s="114" t="n"/>
      <c r="Q389" s="114" t="n"/>
      <c r="R389" s="114" t="n">
        <v>1450818.5</v>
      </c>
      <c r="S389" s="114" t="n">
        <v>2292508.09</v>
      </c>
      <c r="T389" s="114" t="n"/>
      <c r="U389" s="114" t="n">
        <v>2166.4763450462</v>
      </c>
      <c r="V389" s="114" t="n">
        <v>1209.283020064</v>
      </c>
      <c r="W389" s="110" t="n">
        <v>2023</v>
      </c>
      <c r="X389" s="9" t="e">
        <f aca="false" ca="false" dt2D="false" dtr="false" t="normal">+#REF!-'[9]Приложение №1'!$P290</f>
        <v>#REF!</v>
      </c>
      <c r="Z389" s="113" t="n">
        <f aca="false" ca="false" dt2D="false" dtr="false" t="normal">SUM(AA389:AO389)</f>
        <v>20671116.862985972</v>
      </c>
      <c r="AA389" s="106" t="n">
        <v>9672123.36632515</v>
      </c>
      <c r="AB389" s="106" t="n">
        <v>4139883.05943391</v>
      </c>
      <c r="AC389" s="106" t="n">
        <v>0</v>
      </c>
      <c r="AD389" s="106" t="n">
        <v>3903303.70147672</v>
      </c>
      <c r="AE389" s="106" t="n">
        <v>0</v>
      </c>
      <c r="AF389" s="106" t="n"/>
      <c r="AG389" s="106" t="n">
        <v>401573.357866824</v>
      </c>
      <c r="AH389" s="106" t="n">
        <v>0</v>
      </c>
      <c r="AI389" s="106" t="n">
        <v>0</v>
      </c>
      <c r="AJ389" s="106" t="n">
        <v>0</v>
      </c>
      <c r="AK389" s="106" t="n">
        <v>0</v>
      </c>
      <c r="AL389" s="106" t="n">
        <v>0</v>
      </c>
      <c r="AM389" s="106" t="n">
        <v>1951342.66032525</v>
      </c>
      <c r="AN389" s="114" t="n">
        <v>206711.16862986</v>
      </c>
      <c r="AO389" s="115" t="n">
        <v>396179.548928261</v>
      </c>
      <c r="AP389" s="112" t="n">
        <f aca="false" ca="false" dt2D="false" dtr="false" t="normal">+N389-'Приложение №2'!E389</f>
        <v>0</v>
      </c>
      <c r="AQ389" s="121" t="n">
        <v>2848311.76</v>
      </c>
      <c r="AR389" s="3" t="n">
        <f aca="false" ca="false" dt2D="false" dtr="false" t="normal">+(K389*10.5+L389*21)*12*0.85</f>
        <v>522380.25</v>
      </c>
      <c r="AS389" s="3" t="n">
        <f aca="false" ca="false" dt2D="false" dtr="false" t="normal">+(K389*10.5+L389*21)*12*30</f>
        <v>18436950</v>
      </c>
      <c r="AT389" s="9" t="n">
        <f aca="false" ca="false" dt2D="false" dtr="false" t="normal">+S389-AS389</f>
        <v>-16144441.91</v>
      </c>
      <c r="AU389" s="9" t="e">
        <f aca="false" ca="false" dt2D="false" dtr="false" t="normal">+P389-'[5]Приложение №1'!$P211</f>
        <v>#REF!</v>
      </c>
      <c r="AV389" s="9" t="e">
        <f aca="false" ca="false" dt2D="false" dtr="false" t="normal">+Q389-'[5]Приложение №1'!$Q211</f>
        <v>#REF!</v>
      </c>
      <c r="AW389" s="186" t="n">
        <f aca="false" ca="true" dt2D="false" dtr="false" t="normal">SUBTOTAL(9, AX389:BL389)</f>
        <v>10566988.372962832</v>
      </c>
      <c r="AX389" s="106" t="n">
        <v>9672123.36632515</v>
      </c>
      <c r="AY389" s="106" t="n"/>
      <c r="AZ389" s="106" t="n">
        <v>0</v>
      </c>
      <c r="BA389" s="106" t="n"/>
      <c r="BB389" s="106" t="n">
        <v>0</v>
      </c>
      <c r="BC389" s="106" t="n"/>
      <c r="BD389" s="106" t="n">
        <v>401573.357866824</v>
      </c>
      <c r="BE389" s="106" t="n">
        <v>0</v>
      </c>
      <c r="BF389" s="106" t="n">
        <v>0</v>
      </c>
      <c r="BG389" s="106" t="n">
        <v>0</v>
      </c>
      <c r="BH389" s="106" t="n">
        <v>0</v>
      </c>
      <c r="BI389" s="106" t="n">
        <v>0</v>
      </c>
      <c r="BJ389" s="106" t="n"/>
      <c r="BK389" s="114" t="n"/>
      <c r="BL389" s="187" t="n">
        <v>493291.648770859</v>
      </c>
      <c r="BM389" s="186" t="n">
        <f aca="false" ca="true" dt2D="false" dtr="false" t="normal">SUBTOTAL(9, BN389:CB389)</f>
        <v>10566988.372962832</v>
      </c>
      <c r="BN389" s="106" t="n">
        <v>9672123.36632515</v>
      </c>
      <c r="BO389" s="106" t="n"/>
      <c r="BP389" s="106" t="n">
        <v>0</v>
      </c>
      <c r="BQ389" s="106" t="n"/>
      <c r="BR389" s="106" t="n">
        <v>0</v>
      </c>
      <c r="BS389" s="106" t="n"/>
      <c r="BT389" s="106" t="n">
        <v>401573.357866824</v>
      </c>
      <c r="BU389" s="106" t="n">
        <v>0</v>
      </c>
      <c r="BV389" s="106" t="n">
        <v>0</v>
      </c>
      <c r="BW389" s="106" t="n">
        <v>0</v>
      </c>
      <c r="BX389" s="106" t="n">
        <v>0</v>
      </c>
      <c r="BY389" s="106" t="n">
        <v>0</v>
      </c>
      <c r="BZ389" s="106" t="n"/>
      <c r="CA389" s="114" t="n"/>
      <c r="CB389" s="115" t="n">
        <v>493291.648770859</v>
      </c>
      <c r="CD389" s="116" t="n">
        <f aca="false" ca="false" dt2D="false" dtr="false" t="normal">+CD388+1</f>
        <v>369</v>
      </c>
      <c r="CE389" s="117" t="n">
        <f aca="false" ca="false" dt2D="false" dtr="false" t="normal">+CE388+1</f>
        <v>180</v>
      </c>
      <c r="CF389" s="104" t="s">
        <v>78</v>
      </c>
      <c r="CG389" s="117" t="s">
        <v>469</v>
      </c>
      <c r="CH389" s="188" t="n">
        <f aca="false" ca="true" dt2D="false" dtr="false" t="normal">SUBTOTAL(9, CI389:CW389)</f>
        <v>4236618.238770859</v>
      </c>
      <c r="CI389" s="114" t="n">
        <v>3743326.59</v>
      </c>
      <c r="CJ389" s="114" t="n"/>
      <c r="CK389" s="114" t="n">
        <v>0</v>
      </c>
      <c r="CL389" s="114" t="n"/>
      <c r="CM389" s="114" t="n">
        <v>0</v>
      </c>
      <c r="CN389" s="114" t="n"/>
      <c r="CO389" s="114" t="n"/>
      <c r="CP389" s="114" t="n">
        <v>0</v>
      </c>
      <c r="CQ389" s="114" t="n">
        <v>0</v>
      </c>
      <c r="CR389" s="114" t="n">
        <v>0</v>
      </c>
      <c r="CS389" s="114" t="n">
        <v>0</v>
      </c>
      <c r="CT389" s="114" t="n">
        <v>0</v>
      </c>
      <c r="CU389" s="114" t="n"/>
      <c r="CV389" s="114" t="n"/>
      <c r="CW389" s="115" t="n">
        <v>493291.648770859</v>
      </c>
      <c r="CZ389" s="117" t="s">
        <v>469</v>
      </c>
      <c r="DA389" s="189" t="n">
        <f aca="false" ca="true" dt2D="false" dtr="false" t="normal">SUBTOTAL(9, DB389:DP389)</f>
        <v>3743326.59</v>
      </c>
      <c r="DB389" s="114" t="n">
        <v>3743326.59</v>
      </c>
      <c r="DC389" s="114" t="n"/>
      <c r="DD389" s="114" t="n">
        <v>0</v>
      </c>
      <c r="DE389" s="114" t="n"/>
      <c r="DF389" s="114" t="n">
        <v>0</v>
      </c>
      <c r="DG389" s="114" t="n"/>
      <c r="DH389" s="114" t="n"/>
      <c r="DI389" s="114" t="n">
        <v>0</v>
      </c>
      <c r="DJ389" s="114" t="n">
        <v>0</v>
      </c>
      <c r="DK389" s="114" t="n">
        <v>0</v>
      </c>
      <c r="DL389" s="114" t="n">
        <v>0</v>
      </c>
      <c r="DM389" s="114" t="n">
        <v>0</v>
      </c>
      <c r="DN389" s="114" t="n"/>
      <c r="DO389" s="114" t="n"/>
      <c r="DP389" s="122" t="n"/>
      <c r="DQ389" s="3" t="n">
        <f aca="false" ca="false" dt2D="false" dtr="false" t="normal">N389-DA389</f>
        <v>0</v>
      </c>
      <c r="DS389" s="9" t="n"/>
    </row>
    <row hidden="false" ht="15" outlineLevel="0" r="390">
      <c r="A390" s="183" t="n">
        <f aca="false" ca="false" dt2D="false" dtr="false" t="normal">+A389+1</f>
        <v>370</v>
      </c>
      <c r="B390" s="184" t="n">
        <f aca="false" ca="false" dt2D="false" dtr="false" t="normal">+B389+1</f>
        <v>181</v>
      </c>
      <c r="C390" s="104" t="s">
        <v>78</v>
      </c>
      <c r="D390" s="104" t="s">
        <v>470</v>
      </c>
      <c r="E390" s="105" t="n">
        <v>1994</v>
      </c>
      <c r="F390" s="105" t="n">
        <v>1994</v>
      </c>
      <c r="G390" s="105" t="s">
        <v>68</v>
      </c>
      <c r="H390" s="105" t="n">
        <v>10</v>
      </c>
      <c r="I390" s="105" t="n">
        <v>1</v>
      </c>
      <c r="J390" s="106" t="n">
        <v>3200.9</v>
      </c>
      <c r="K390" s="106" t="n">
        <v>2751.2</v>
      </c>
      <c r="L390" s="106" t="n">
        <v>0</v>
      </c>
      <c r="M390" s="107" t="n">
        <v>107</v>
      </c>
      <c r="N390" s="108" t="n">
        <f aca="false" ca="false" dt2D="false" dtr="false" t="normal">SUM(P390:T390)</f>
        <v>13915801.99</v>
      </c>
      <c r="O390" s="106" t="n"/>
      <c r="P390" s="114" t="n"/>
      <c r="Q390" s="114" t="n"/>
      <c r="R390" s="114" t="n">
        <v>7055346.32</v>
      </c>
      <c r="S390" s="114" t="n">
        <v>6860455.67</v>
      </c>
      <c r="T390" s="114" t="n"/>
      <c r="U390" s="114" t="n">
        <v>5146.57038175105</v>
      </c>
      <c r="V390" s="114" t="n">
        <v>1211.283020064</v>
      </c>
      <c r="W390" s="110" t="n">
        <v>2023</v>
      </c>
      <c r="X390" s="9" t="e">
        <f aca="false" ca="false" dt2D="false" dtr="false" t="normal">+#REF!-'[9]Приложение №1'!$P957</f>
        <v>#REF!</v>
      </c>
      <c r="Z390" s="113" t="n">
        <f aca="false" ca="false" dt2D="false" dtr="false" t="normal">SUM(AA390:AO390)</f>
        <v>19454250.558480993</v>
      </c>
      <c r="AA390" s="106" t="n">
        <v>0</v>
      </c>
      <c r="AB390" s="106" t="n">
        <v>0</v>
      </c>
      <c r="AC390" s="106" t="n">
        <v>0</v>
      </c>
      <c r="AD390" s="106" t="n">
        <v>0</v>
      </c>
      <c r="AE390" s="106" t="n">
        <v>0</v>
      </c>
      <c r="AF390" s="106" t="n"/>
      <c r="AG390" s="106" t="n">
        <v>0</v>
      </c>
      <c r="AH390" s="106" t="n">
        <v>0</v>
      </c>
      <c r="AI390" s="106" t="n">
        <v>0</v>
      </c>
      <c r="AJ390" s="106" t="n">
        <v>0</v>
      </c>
      <c r="AK390" s="106" t="n">
        <v>18910849.8042075</v>
      </c>
      <c r="AL390" s="106" t="n">
        <v>0</v>
      </c>
      <c r="AM390" s="106" t="n">
        <v>105858.77</v>
      </c>
      <c r="AN390" s="106" t="n">
        <v>24000</v>
      </c>
      <c r="AO390" s="115" t="n">
        <v>413541.984273492</v>
      </c>
      <c r="AP390" s="112" t="n">
        <f aca="false" ca="false" dt2D="false" dtr="false" t="normal">+N390-'Приложение №2'!E390</f>
        <v>0</v>
      </c>
      <c r="AQ390" s="1" t="n">
        <f aca="false" ca="false" dt2D="false" dtr="false" t="normal">2009065.49-187767.96</f>
        <v>1821297.53</v>
      </c>
      <c r="AR390" s="3" t="n">
        <f aca="false" ca="false" dt2D="false" dtr="false" t="normal">+(K390*13.95+L390*23.65)*12*0.85</f>
        <v>391468.248</v>
      </c>
      <c r="AS390" s="3" t="n">
        <f aca="false" ca="false" dt2D="false" dtr="false" t="normal">+(K390*13.95+L390*23.65)*12*30-105832.49</f>
        <v>13710693.91</v>
      </c>
      <c r="AT390" s="9" t="n">
        <f aca="false" ca="false" dt2D="false" dtr="false" t="normal">+S390-AS390</f>
        <v>-6850238.24</v>
      </c>
      <c r="AU390" s="9" t="e">
        <f aca="false" ca="false" dt2D="false" dtr="false" t="normal">+P390-'[5]Приложение №1'!$P496</f>
        <v>#REF!</v>
      </c>
      <c r="AV390" s="9" t="e">
        <f aca="false" ca="false" dt2D="false" dtr="false" t="normal">+Q390-'[5]Приложение №1'!$Q496</f>
        <v>#REF!</v>
      </c>
      <c r="AW390" s="186" t="n">
        <f aca="false" ca="true" dt2D="false" dtr="false" t="normal">SUBTOTAL(9, AX390:BL390)</f>
        <v>14159244.43427349</v>
      </c>
      <c r="AX390" s="106" t="n">
        <v>0</v>
      </c>
      <c r="AY390" s="106" t="n">
        <v>0</v>
      </c>
      <c r="AZ390" s="106" t="n">
        <v>0</v>
      </c>
      <c r="BA390" s="106" t="n">
        <v>0</v>
      </c>
      <c r="BB390" s="106" t="n">
        <v>0</v>
      </c>
      <c r="BC390" s="106" t="n"/>
      <c r="BD390" s="106" t="n"/>
      <c r="BE390" s="106" t="n">
        <v>0</v>
      </c>
      <c r="BF390" s="106" t="n">
        <v>0</v>
      </c>
      <c r="BG390" s="106" t="n">
        <v>0</v>
      </c>
      <c r="BH390" s="106" t="n">
        <v>13745702.45</v>
      </c>
      <c r="BI390" s="106" t="n">
        <v>0</v>
      </c>
      <c r="BJ390" s="106" t="n"/>
      <c r="BK390" s="106" t="n"/>
      <c r="BL390" s="187" t="n">
        <v>413541.984273492</v>
      </c>
      <c r="BM390" s="186" t="n">
        <f aca="false" ca="true" dt2D="false" dtr="false" t="normal">SUBTOTAL(9, BN390:CB390)</f>
        <v>14159244.43427349</v>
      </c>
      <c r="BN390" s="106" t="n">
        <v>0</v>
      </c>
      <c r="BO390" s="106" t="n">
        <v>0</v>
      </c>
      <c r="BP390" s="106" t="n">
        <v>0</v>
      </c>
      <c r="BQ390" s="106" t="n">
        <v>0</v>
      </c>
      <c r="BR390" s="106" t="n">
        <v>0</v>
      </c>
      <c r="BS390" s="106" t="n"/>
      <c r="BT390" s="106" t="n"/>
      <c r="BU390" s="106" t="n">
        <v>0</v>
      </c>
      <c r="BV390" s="106" t="n">
        <v>0</v>
      </c>
      <c r="BW390" s="106" t="n">
        <v>0</v>
      </c>
      <c r="BX390" s="106" t="n">
        <v>13745702.45</v>
      </c>
      <c r="BY390" s="106" t="n">
        <v>0</v>
      </c>
      <c r="BZ390" s="106" t="n"/>
      <c r="CA390" s="106" t="n"/>
      <c r="CB390" s="115" t="n">
        <v>413541.984273492</v>
      </c>
      <c r="CD390" s="116" t="n">
        <f aca="false" ca="false" dt2D="false" dtr="false" t="normal">+CD389+1</f>
        <v>370</v>
      </c>
      <c r="CE390" s="117" t="n">
        <f aca="false" ca="false" dt2D="false" dtr="false" t="normal">+CE389+1</f>
        <v>181</v>
      </c>
      <c r="CF390" s="104" t="s">
        <v>78</v>
      </c>
      <c r="CG390" s="117" t="s">
        <v>470</v>
      </c>
      <c r="CH390" s="188" t="n">
        <f aca="false" ca="true" dt2D="false" dtr="false" t="normal">SUBTOTAL(9, CI390:CW390)</f>
        <v>14159244.43427349</v>
      </c>
      <c r="CI390" s="114" t="n">
        <v>0</v>
      </c>
      <c r="CJ390" s="114" t="n">
        <v>0</v>
      </c>
      <c r="CK390" s="114" t="n">
        <v>0</v>
      </c>
      <c r="CL390" s="114" t="n">
        <v>0</v>
      </c>
      <c r="CM390" s="114" t="n">
        <v>0</v>
      </c>
      <c r="CN390" s="114" t="n"/>
      <c r="CO390" s="114" t="n"/>
      <c r="CP390" s="114" t="n">
        <v>0</v>
      </c>
      <c r="CQ390" s="114" t="n">
        <v>0</v>
      </c>
      <c r="CR390" s="114" t="n">
        <v>0</v>
      </c>
      <c r="CS390" s="114" t="n">
        <v>13745702.45</v>
      </c>
      <c r="CT390" s="114" t="n">
        <v>0</v>
      </c>
      <c r="CU390" s="114" t="n"/>
      <c r="CV390" s="114" t="n"/>
      <c r="CW390" s="115" t="n">
        <v>413541.984273492</v>
      </c>
      <c r="CZ390" s="117" t="s">
        <v>470</v>
      </c>
      <c r="DA390" s="189" t="n">
        <f aca="false" ca="true" dt2D="false" dtr="false" t="normal">SUBTOTAL(9, DB390:DP390)</f>
        <v>13915801.989999998</v>
      </c>
      <c r="DB390" s="114" t="n">
        <v>0</v>
      </c>
      <c r="DC390" s="114" t="n">
        <v>0</v>
      </c>
      <c r="DD390" s="114" t="n">
        <v>0</v>
      </c>
      <c r="DE390" s="114" t="n">
        <v>0</v>
      </c>
      <c r="DF390" s="114" t="n">
        <v>0</v>
      </c>
      <c r="DG390" s="114" t="n"/>
      <c r="DH390" s="114" t="n"/>
      <c r="DI390" s="114" t="n">
        <v>0</v>
      </c>
      <c r="DJ390" s="114" t="n">
        <v>0</v>
      </c>
      <c r="DK390" s="114" t="n">
        <v>0</v>
      </c>
      <c r="DL390" s="114" t="n">
        <v>13745702.45</v>
      </c>
      <c r="DM390" s="114" t="n">
        <v>0</v>
      </c>
      <c r="DN390" s="114" t="n"/>
      <c r="DO390" s="114" t="n"/>
      <c r="DP390" s="120" t="n">
        <v>170099.54</v>
      </c>
      <c r="DQ390" s="3" t="n">
        <f aca="false" ca="false" dt2D="false" dtr="false" t="normal">N390-DA390</f>
        <v>0</v>
      </c>
      <c r="DS390" s="9" t="n"/>
    </row>
    <row hidden="false" ht="15" outlineLevel="0" r="391">
      <c r="A391" s="183" t="n">
        <f aca="false" ca="false" dt2D="false" dtr="false" t="normal">+A390+1</f>
        <v>371</v>
      </c>
      <c r="B391" s="184" t="n">
        <f aca="false" ca="false" dt2D="false" dtr="false" t="normal">+B390+1</f>
        <v>182</v>
      </c>
      <c r="C391" s="104" t="s">
        <v>78</v>
      </c>
      <c r="D391" s="104" t="s">
        <v>471</v>
      </c>
      <c r="E391" s="105" t="n">
        <v>1982</v>
      </c>
      <c r="F391" s="105" t="n">
        <v>2008</v>
      </c>
      <c r="G391" s="105" t="s">
        <v>68</v>
      </c>
      <c r="H391" s="105" t="n">
        <v>5</v>
      </c>
      <c r="I391" s="105" t="n">
        <v>7</v>
      </c>
      <c r="J391" s="106" t="n">
        <v>6399.1</v>
      </c>
      <c r="K391" s="106" t="n">
        <v>4849.9</v>
      </c>
      <c r="L391" s="106" t="n">
        <v>814.5</v>
      </c>
      <c r="M391" s="107" t="n">
        <v>218</v>
      </c>
      <c r="N391" s="108" t="n">
        <f aca="false" ca="false" dt2D="false" dtr="false" t="normal">SUM(P391:T391)</f>
        <v>2095365.92</v>
      </c>
      <c r="O391" s="106" t="n"/>
      <c r="P391" s="114" t="n"/>
      <c r="Q391" s="114" t="n"/>
      <c r="R391" s="9" t="n">
        <v>2095365.92</v>
      </c>
      <c r="S391" s="114" t="n"/>
      <c r="T391" s="114" t="n"/>
      <c r="U391" s="106" t="n">
        <v>2104.88432687086</v>
      </c>
      <c r="V391" s="106" t="n">
        <v>2104.88432687086</v>
      </c>
      <c r="W391" s="110" t="n">
        <v>2023</v>
      </c>
      <c r="X391" s="9" t="e">
        <f aca="false" ca="false" dt2D="false" dtr="false" t="normal">+#REF!-'[9]Приложение №1'!$P1355</f>
        <v>#REF!</v>
      </c>
      <c r="Z391" s="113" t="n">
        <f aca="false" ca="false" dt2D="false" dtr="false" t="normal">SUM(AA391:AO391)</f>
        <v>16411893.353984786</v>
      </c>
      <c r="AA391" s="106" t="n">
        <v>10225965.4266984</v>
      </c>
      <c r="AB391" s="106" t="n">
        <v>0</v>
      </c>
      <c r="AC391" s="106" t="n">
        <v>3907208.05648326</v>
      </c>
      <c r="AD391" s="106" t="n">
        <v>0</v>
      </c>
      <c r="AE391" s="106" t="n">
        <v>0</v>
      </c>
      <c r="AF391" s="106" t="n"/>
      <c r="AG391" s="106" t="n">
        <v>424568.124112911</v>
      </c>
      <c r="AH391" s="106" t="n">
        <v>0</v>
      </c>
      <c r="AI391" s="106" t="n">
        <v>0</v>
      </c>
      <c r="AJ391" s="106" t="n">
        <v>0</v>
      </c>
      <c r="AK391" s="106" t="n">
        <v>0</v>
      </c>
      <c r="AL391" s="106" t="n">
        <v>0</v>
      </c>
      <c r="AM391" s="106" t="n">
        <v>1371684.48860908</v>
      </c>
      <c r="AN391" s="114" t="n">
        <v>164118.933539848</v>
      </c>
      <c r="AO391" s="115" t="n">
        <v>318348.324541288</v>
      </c>
      <c r="AP391" s="112" t="n">
        <f aca="false" ca="false" dt2D="false" dtr="false" t="normal">+N391-'Приложение №2'!E391</f>
        <v>0</v>
      </c>
      <c r="AQ391" s="1" t="n">
        <v>2229911.9</v>
      </c>
      <c r="AR391" s="3" t="n">
        <f aca="false" ca="false" dt2D="false" dtr="false" t="normal">+(K391*10+L391*20)*12*0.85</f>
        <v>660847.7999999999</v>
      </c>
      <c r="AS391" s="3" t="n">
        <f aca="false" ca="false" dt2D="false" dtr="false" t="normal">+(K391*10+L391*20)*12*30</f>
        <v>23324040</v>
      </c>
      <c r="AT391" s="9" t="n">
        <f aca="false" ca="false" dt2D="false" dtr="false" t="normal">+S391-AS391</f>
        <v>-23324040</v>
      </c>
      <c r="AU391" s="9" t="e">
        <f aca="false" ca="false" dt2D="false" dtr="false" t="normal">+P391-'[5]Приложение №1'!$P257</f>
        <v>#REF!</v>
      </c>
      <c r="AV391" s="9" t="e">
        <f aca="false" ca="false" dt2D="false" dtr="false" t="normal">+Q391-'[5]Приложение №1'!$Q257</f>
        <v>#REF!</v>
      </c>
      <c r="AW391" s="113" t="n">
        <f aca="false" ca="true" dt2D="false" dtr="false" t="normal">SUBTOTAL(9, AX391:BL391)</f>
        <v>11922906.781127278</v>
      </c>
      <c r="AX391" s="106" t="n">
        <v>11159574.1994895</v>
      </c>
      <c r="AY391" s="106" t="n">
        <v>0</v>
      </c>
      <c r="AZ391" s="106" t="n"/>
      <c r="BA391" s="106" t="n">
        <v>0</v>
      </c>
      <c r="BB391" s="106" t="n">
        <v>0</v>
      </c>
      <c r="BC391" s="106" t="n"/>
      <c r="BD391" s="106" t="n">
        <v>424568.124112911</v>
      </c>
      <c r="BE391" s="106" t="n">
        <v>0</v>
      </c>
      <c r="BF391" s="106" t="n">
        <v>0</v>
      </c>
      <c r="BG391" s="106" t="n">
        <v>0</v>
      </c>
      <c r="BH391" s="106" t="n">
        <v>0</v>
      </c>
      <c r="BI391" s="106" t="n">
        <v>0</v>
      </c>
      <c r="BJ391" s="106" t="n"/>
      <c r="BK391" s="114" t="n"/>
      <c r="BL391" s="187" t="n">
        <v>338764.457524866</v>
      </c>
      <c r="BM391" s="113" t="n">
        <f aca="false" ca="true" dt2D="false" dtr="false" t="normal">SUBTOTAL(9, BN391:CB391)</f>
        <v>11922906.781127278</v>
      </c>
      <c r="BN391" s="106" t="n">
        <v>11159574.1994895</v>
      </c>
      <c r="BO391" s="106" t="n">
        <v>0</v>
      </c>
      <c r="BP391" s="106" t="n"/>
      <c r="BQ391" s="106" t="n">
        <v>0</v>
      </c>
      <c r="BR391" s="106" t="n">
        <v>0</v>
      </c>
      <c r="BS391" s="106" t="n"/>
      <c r="BT391" s="106" t="n">
        <v>424568.124112911</v>
      </c>
      <c r="BU391" s="106" t="n">
        <v>0</v>
      </c>
      <c r="BV391" s="106" t="n">
        <v>0</v>
      </c>
      <c r="BW391" s="106" t="n">
        <v>0</v>
      </c>
      <c r="BX391" s="106" t="n">
        <v>0</v>
      </c>
      <c r="BY391" s="106" t="n">
        <v>0</v>
      </c>
      <c r="BZ391" s="106" t="n"/>
      <c r="CA391" s="114" t="n"/>
      <c r="CB391" s="187" t="n">
        <v>338764.457524866</v>
      </c>
      <c r="CD391" s="116" t="n">
        <f aca="false" ca="false" dt2D="false" dtr="false" t="normal">+CD390+1</f>
        <v>371</v>
      </c>
      <c r="CE391" s="117" t="n">
        <f aca="false" ca="false" dt2D="false" dtr="false" t="normal">+CE390+1</f>
        <v>182</v>
      </c>
      <c r="CF391" s="104" t="s">
        <v>78</v>
      </c>
      <c r="CG391" s="117" t="s">
        <v>471</v>
      </c>
      <c r="CH391" s="118" t="n">
        <f aca="false" ca="true" dt2D="false" dtr="false" t="normal">SUBTOTAL(9, CI391:CW391)</f>
        <v>2434130.377524866</v>
      </c>
      <c r="CI391" s="114" t="n">
        <v>2095365.92</v>
      </c>
      <c r="CJ391" s="114" t="n">
        <v>0</v>
      </c>
      <c r="CK391" s="114" t="n"/>
      <c r="CL391" s="114" t="n">
        <v>0</v>
      </c>
      <c r="CM391" s="114" t="n">
        <v>0</v>
      </c>
      <c r="CN391" s="114" t="n"/>
      <c r="CO391" s="114" t="n"/>
      <c r="CP391" s="114" t="n">
        <v>0</v>
      </c>
      <c r="CQ391" s="114" t="n">
        <v>0</v>
      </c>
      <c r="CR391" s="114" t="n">
        <v>0</v>
      </c>
      <c r="CS391" s="114" t="n">
        <v>0</v>
      </c>
      <c r="CT391" s="114" t="n">
        <v>0</v>
      </c>
      <c r="CU391" s="114" t="n"/>
      <c r="CV391" s="114" t="n"/>
      <c r="CW391" s="115" t="n">
        <v>338764.457524866</v>
      </c>
      <c r="CZ391" s="117" t="s">
        <v>471</v>
      </c>
      <c r="DA391" s="119" t="n">
        <f aca="false" ca="true" dt2D="false" dtr="false" t="normal">SUBTOTAL(9, DB391:DP391)</f>
        <v>2095365.92</v>
      </c>
      <c r="DB391" s="114" t="n">
        <v>2095365.92</v>
      </c>
      <c r="DC391" s="114" t="n">
        <v>0</v>
      </c>
      <c r="DD391" s="114" t="n"/>
      <c r="DE391" s="114" t="n">
        <v>0</v>
      </c>
      <c r="DF391" s="114" t="n">
        <v>0</v>
      </c>
      <c r="DG391" s="114" t="n"/>
      <c r="DH391" s="114" t="n"/>
      <c r="DI391" s="114" t="n">
        <v>0</v>
      </c>
      <c r="DJ391" s="114" t="n">
        <v>0</v>
      </c>
      <c r="DK391" s="114" t="n">
        <v>0</v>
      </c>
      <c r="DL391" s="114" t="n">
        <v>0</v>
      </c>
      <c r="DM391" s="114" t="n">
        <v>0</v>
      </c>
      <c r="DN391" s="114" t="n"/>
      <c r="DO391" s="114" t="n"/>
      <c r="DP391" s="122" t="n"/>
      <c r="DQ391" s="3" t="n">
        <f aca="false" ca="false" dt2D="false" dtr="false" t="normal">N391-DA391</f>
        <v>0</v>
      </c>
      <c r="DS391" s="9" t="n"/>
    </row>
    <row hidden="false" ht="15" outlineLevel="0" r="392">
      <c r="A392" s="183" t="n">
        <f aca="false" ca="false" dt2D="false" dtr="false" t="normal">+A391+1</f>
        <v>372</v>
      </c>
      <c r="B392" s="184" t="n">
        <f aca="false" ca="false" dt2D="false" dtr="false" t="normal">+B391+1</f>
        <v>183</v>
      </c>
      <c r="C392" s="104" t="s">
        <v>78</v>
      </c>
      <c r="D392" s="104" t="s">
        <v>472</v>
      </c>
      <c r="E392" s="105" t="n">
        <v>1983</v>
      </c>
      <c r="F392" s="105" t="n">
        <v>2015</v>
      </c>
      <c r="G392" s="105" t="s">
        <v>68</v>
      </c>
      <c r="H392" s="105" t="n">
        <v>5</v>
      </c>
      <c r="I392" s="105" t="n">
        <v>4</v>
      </c>
      <c r="J392" s="106" t="n">
        <v>4471.9</v>
      </c>
      <c r="K392" s="106" t="n">
        <v>3791</v>
      </c>
      <c r="L392" s="106" t="n">
        <v>256.8</v>
      </c>
      <c r="M392" s="107" t="n">
        <v>156</v>
      </c>
      <c r="N392" s="108" t="n">
        <f aca="false" ca="false" dt2D="false" dtr="false" t="normal">SUM(P392:T392)</f>
        <v>10896388.01</v>
      </c>
      <c r="O392" s="106" t="n"/>
      <c r="P392" s="114" t="n">
        <v>4239342.15</v>
      </c>
      <c r="Q392" s="114" t="n"/>
      <c r="R392" s="114" t="n">
        <v>721963.92</v>
      </c>
      <c r="S392" s="114" t="n">
        <v>5338533.29796555</v>
      </c>
      <c r="T392" s="114" t="n">
        <v>596548.64203445</v>
      </c>
      <c r="U392" s="114" t="n">
        <v>7998.1943510318</v>
      </c>
      <c r="V392" s="114" t="n">
        <v>1223.283020064</v>
      </c>
      <c r="W392" s="110" t="n">
        <v>2023</v>
      </c>
      <c r="X392" s="9" t="e">
        <f aca="false" ca="false" dt2D="false" dtr="false" t="normal">+#REF!-'[9]Приложение №1'!$P369</f>
        <v>#REF!</v>
      </c>
      <c r="Z392" s="113" t="n">
        <f aca="false" ca="false" dt2D="false" dtr="false" t="normal">SUM(AA392:AO392)</f>
        <v>30449371.414761547</v>
      </c>
      <c r="AA392" s="106" t="n">
        <v>0</v>
      </c>
      <c r="AB392" s="106" t="n">
        <v>0</v>
      </c>
      <c r="AC392" s="106" t="n">
        <v>0</v>
      </c>
      <c r="AD392" s="106" t="n">
        <v>0</v>
      </c>
      <c r="AE392" s="106" t="n">
        <v>0</v>
      </c>
      <c r="AF392" s="106" t="n"/>
      <c r="AG392" s="106" t="n">
        <v>0</v>
      </c>
      <c r="AH392" s="106" t="n">
        <v>0</v>
      </c>
      <c r="AI392" s="106" t="n">
        <v>0</v>
      </c>
      <c r="AJ392" s="106" t="n">
        <v>0</v>
      </c>
      <c r="AK392" s="106" t="n">
        <v>29741216.056796</v>
      </c>
      <c r="AL392" s="106" t="n">
        <v>0</v>
      </c>
      <c r="AM392" s="106" t="n">
        <v>104216.63</v>
      </c>
      <c r="AN392" s="106" t="n">
        <v>24000</v>
      </c>
      <c r="AO392" s="115" t="n">
        <v>579938.727965549</v>
      </c>
      <c r="AP392" s="112" t="n">
        <f aca="false" ca="false" dt2D="false" dtr="false" t="normal">+N392-'Приложение №2'!E392</f>
        <v>0</v>
      </c>
      <c r="AQ392" s="9" t="n">
        <f aca="false" ca="false" dt2D="false" dtr="false" t="normal">2269636.35-R557</f>
        <v>-22069.97999999998</v>
      </c>
      <c r="AR392" s="3" t="n">
        <f aca="false" ca="false" dt2D="false" dtr="false" t="normal">+(K392*10.5+L392*21)*12*0.85</f>
        <v>461022.6600000001</v>
      </c>
      <c r="AS392" s="3" t="n">
        <f aca="false" ca="false" dt2D="false" dtr="false" t="normal">+(K392*10.5+L392*21)*12*30-S557</f>
        <v>9644023.090000004</v>
      </c>
      <c r="AT392" s="9" t="n">
        <f aca="false" ca="false" dt2D="false" dtr="false" t="normal">+S392-AS392</f>
        <v>-4305489.792034454</v>
      </c>
      <c r="AU392" s="9" t="e">
        <f aca="false" ca="false" dt2D="false" dtr="false" t="normal">+P392-'[5]Приложение №1'!$P508</f>
        <v>#REF!</v>
      </c>
      <c r="AV392" s="9" t="e">
        <f aca="false" ca="false" dt2D="false" dtr="false" t="normal">+Q392-'[5]Приложение №1'!$Q508</f>
        <v>#REF!</v>
      </c>
      <c r="AW392" s="186" t="n">
        <f aca="false" ca="true" dt2D="false" dtr="false" t="normal">SUBTOTAL(9, AX392:BL392)</f>
        <v>30321154.784761548</v>
      </c>
      <c r="AX392" s="106" t="n">
        <v>0</v>
      </c>
      <c r="AY392" s="106" t="n">
        <v>0</v>
      </c>
      <c r="AZ392" s="106" t="n">
        <v>0</v>
      </c>
      <c r="BA392" s="106" t="n">
        <v>0</v>
      </c>
      <c r="BB392" s="106" t="n">
        <v>0</v>
      </c>
      <c r="BC392" s="106" t="n"/>
      <c r="BD392" s="106" t="n"/>
      <c r="BE392" s="106" t="n">
        <v>0</v>
      </c>
      <c r="BF392" s="106" t="n">
        <v>0</v>
      </c>
      <c r="BG392" s="106" t="n">
        <v>0</v>
      </c>
      <c r="BH392" s="106" t="n">
        <v>29741216.056796</v>
      </c>
      <c r="BI392" s="106" t="n">
        <v>0</v>
      </c>
      <c r="BJ392" s="106" t="n"/>
      <c r="BK392" s="106" t="n"/>
      <c r="BL392" s="187" t="n">
        <v>579938.727965549</v>
      </c>
      <c r="BM392" s="186" t="n">
        <f aca="false" ca="true" dt2D="false" dtr="false" t="normal">SUBTOTAL(9, BN392:CB392)</f>
        <v>30321154.784761548</v>
      </c>
      <c r="BN392" s="106" t="n">
        <v>0</v>
      </c>
      <c r="BO392" s="106" t="n">
        <v>0</v>
      </c>
      <c r="BP392" s="106" t="n">
        <v>0</v>
      </c>
      <c r="BQ392" s="106" t="n">
        <v>0</v>
      </c>
      <c r="BR392" s="106" t="n">
        <v>0</v>
      </c>
      <c r="BS392" s="106" t="n"/>
      <c r="BT392" s="106" t="n"/>
      <c r="BU392" s="106" t="n">
        <v>0</v>
      </c>
      <c r="BV392" s="106" t="n">
        <v>0</v>
      </c>
      <c r="BW392" s="106" t="n">
        <v>0</v>
      </c>
      <c r="BX392" s="106" t="n">
        <v>29741216.056796</v>
      </c>
      <c r="BY392" s="106" t="n">
        <v>0</v>
      </c>
      <c r="BZ392" s="106" t="n"/>
      <c r="CA392" s="106" t="n"/>
      <c r="CB392" s="115" t="n">
        <v>579938.727965549</v>
      </c>
      <c r="CD392" s="116" t="n">
        <f aca="false" ca="false" dt2D="false" dtr="false" t="normal">+CD391+1</f>
        <v>372</v>
      </c>
      <c r="CE392" s="117" t="n">
        <f aca="false" ca="false" dt2D="false" dtr="false" t="normal">+CE391+1</f>
        <v>183</v>
      </c>
      <c r="CF392" s="104" t="s">
        <v>78</v>
      </c>
      <c r="CG392" s="117" t="s">
        <v>472</v>
      </c>
      <c r="CH392" s="188" t="n">
        <f aca="false" ca="true" dt2D="false" dtr="false" t="normal">SUBTOTAL(9, CI392:CW392)</f>
        <v>11379828.327965548</v>
      </c>
      <c r="CI392" s="114" t="n">
        <v>0</v>
      </c>
      <c r="CJ392" s="114" t="n">
        <v>0</v>
      </c>
      <c r="CK392" s="114" t="n">
        <v>0</v>
      </c>
      <c r="CL392" s="114" t="n"/>
      <c r="CM392" s="114" t="n">
        <v>0</v>
      </c>
      <c r="CN392" s="114" t="n"/>
      <c r="CO392" s="114" t="n"/>
      <c r="CP392" s="114" t="n">
        <v>0</v>
      </c>
      <c r="CQ392" s="114" t="n">
        <v>0</v>
      </c>
      <c r="CR392" s="114" t="n">
        <v>0</v>
      </c>
      <c r="CS392" s="114" t="n">
        <v>10799889.6</v>
      </c>
      <c r="CT392" s="114" t="n">
        <v>0</v>
      </c>
      <c r="CU392" s="114" t="n"/>
      <c r="CV392" s="114" t="n"/>
      <c r="CW392" s="115" t="n">
        <v>579938.727965549</v>
      </c>
      <c r="CZ392" s="117" t="s">
        <v>472</v>
      </c>
      <c r="DA392" s="189" t="n">
        <f aca="false" ca="true" dt2D="false" dtr="false" t="normal">SUBTOTAL(9, DB392:DP392)</f>
        <v>10896388.01</v>
      </c>
      <c r="DB392" s="114" t="n">
        <v>0</v>
      </c>
      <c r="DC392" s="114" t="n">
        <v>0</v>
      </c>
      <c r="DD392" s="114" t="n">
        <v>0</v>
      </c>
      <c r="DE392" s="114" t="n"/>
      <c r="DF392" s="114" t="n">
        <v>0</v>
      </c>
      <c r="DG392" s="114" t="n"/>
      <c r="DH392" s="114" t="n"/>
      <c r="DI392" s="114" t="n">
        <v>0</v>
      </c>
      <c r="DJ392" s="114" t="n">
        <v>0</v>
      </c>
      <c r="DK392" s="114" t="n">
        <v>0</v>
      </c>
      <c r="DL392" s="114" t="n">
        <v>10799889.6</v>
      </c>
      <c r="DM392" s="114" t="n">
        <v>0</v>
      </c>
      <c r="DN392" s="114" t="n"/>
      <c r="DO392" s="114" t="n"/>
      <c r="DP392" s="120" t="n">
        <v>96498.41</v>
      </c>
      <c r="DQ392" s="3" t="n">
        <f aca="false" ca="false" dt2D="false" dtr="false" t="normal">N392-DA392</f>
        <v>0</v>
      </c>
      <c r="DS392" s="9" t="n"/>
    </row>
    <row hidden="false" ht="15" outlineLevel="0" r="393">
      <c r="A393" s="183" t="n">
        <f aca="false" ca="false" dt2D="false" dtr="false" t="normal">+A392+1</f>
        <v>373</v>
      </c>
      <c r="B393" s="184" t="n">
        <f aca="false" ca="false" dt2D="false" dtr="false" t="normal">+B392+1</f>
        <v>184</v>
      </c>
      <c r="C393" s="104" t="s">
        <v>78</v>
      </c>
      <c r="D393" s="104" t="s">
        <v>473</v>
      </c>
      <c r="E393" s="105" t="n">
        <v>1992</v>
      </c>
      <c r="F393" s="105" t="n">
        <v>2012</v>
      </c>
      <c r="G393" s="105" t="s">
        <v>68</v>
      </c>
      <c r="H393" s="105" t="n">
        <v>9</v>
      </c>
      <c r="I393" s="105" t="n">
        <v>2</v>
      </c>
      <c r="J393" s="106" t="n">
        <v>6461</v>
      </c>
      <c r="K393" s="106" t="n">
        <v>5606</v>
      </c>
      <c r="L393" s="106" t="n">
        <v>127.2</v>
      </c>
      <c r="M393" s="107" t="n">
        <v>222</v>
      </c>
      <c r="N393" s="108" t="n">
        <f aca="false" ca="false" dt2D="false" dtr="false" t="normal">SUM(P393:T393)</f>
        <v>7651462.94</v>
      </c>
      <c r="O393" s="106" t="n"/>
      <c r="P393" s="114" t="n"/>
      <c r="Q393" s="114" t="n"/>
      <c r="R393" s="114" t="n">
        <v>5032110.246</v>
      </c>
      <c r="S393" s="114" t="n">
        <v>2619352.694</v>
      </c>
      <c r="T393" s="114" t="n"/>
      <c r="U393" s="114" t="n">
        <v>3111.01049196992</v>
      </c>
      <c r="V393" s="114" t="n">
        <v>1225.283020064</v>
      </c>
      <c r="W393" s="110" t="n">
        <v>2023</v>
      </c>
      <c r="X393" s="9" t="e">
        <f aca="false" ca="false" dt2D="false" dtr="false" t="normal">+#REF!-'[9]Приложение №1'!$P963</f>
        <v>#REF!</v>
      </c>
      <c r="Z393" s="113" t="n">
        <f aca="false" ca="false" dt2D="false" dtr="false" t="normal">SUM(AA393:AO393)</f>
        <v>20270690.991399106</v>
      </c>
      <c r="AA393" s="106" t="n">
        <v>13437177.9211356</v>
      </c>
      <c r="AB393" s="106" t="n">
        <v>0</v>
      </c>
      <c r="AC393" s="106" t="n">
        <v>3970815.08896037</v>
      </c>
      <c r="AD393" s="106" t="n">
        <v>0</v>
      </c>
      <c r="AE393" s="106" t="n">
        <v>0</v>
      </c>
      <c r="AF393" s="106" t="n"/>
      <c r="AG393" s="106" t="n">
        <v>596995.060263315</v>
      </c>
      <c r="AH393" s="106" t="n">
        <v>0</v>
      </c>
      <c r="AI393" s="106" t="n">
        <v>0</v>
      </c>
      <c r="AJ393" s="106" t="n">
        <v>0</v>
      </c>
      <c r="AK393" s="106" t="n">
        <v>0</v>
      </c>
      <c r="AL393" s="106" t="n">
        <v>0</v>
      </c>
      <c r="AM393" s="106" t="n">
        <v>1669263.38829149</v>
      </c>
      <c r="AN393" s="114" t="n">
        <v>202706.909913991</v>
      </c>
      <c r="AO393" s="115" t="n">
        <v>393732.622834344</v>
      </c>
      <c r="AP393" s="112" t="n">
        <f aca="false" ca="false" dt2D="false" dtr="false" t="normal">+N393-'Приложение №2'!E393</f>
        <v>0</v>
      </c>
      <c r="AQ393" s="121" t="n">
        <v>4203748.05</v>
      </c>
      <c r="AR393" s="3" t="n">
        <f aca="false" ca="false" dt2D="false" dtr="false" t="normal">+(K393*13.95+L393*23.65)*12*0.85</f>
        <v>828362.196</v>
      </c>
      <c r="AS393" s="3" t="n">
        <f aca="false" ca="false" dt2D="false" dtr="false" t="normal">+(K393*13.95+L393*23.65)*12*30</f>
        <v>29236312.8</v>
      </c>
      <c r="AT393" s="9" t="n">
        <f aca="false" ca="false" dt2D="false" dtr="false" t="normal">+S393-AS393</f>
        <v>-26616960.106</v>
      </c>
      <c r="AU393" s="9" t="e">
        <f aca="false" ca="false" dt2D="false" dtr="false" t="normal">+P393-'[5]Приложение №1'!$P509</f>
        <v>#REF!</v>
      </c>
      <c r="AV393" s="9" t="e">
        <f aca="false" ca="false" dt2D="false" dtr="false" t="normal">+Q393-'[5]Приложение №1'!$Q509</f>
        <v>#REF!</v>
      </c>
      <c r="AW393" s="186" t="n">
        <f aca="false" ca="true" dt2D="false" dtr="false" t="normal">SUBTOTAL(9, AX393:BL393)</f>
        <v>17440324.817983337</v>
      </c>
      <c r="AX393" s="106" t="n">
        <v>16337895.1458222</v>
      </c>
      <c r="AY393" s="106" t="n">
        <v>0</v>
      </c>
      <c r="AZ393" s="106" t="n">
        <v>0</v>
      </c>
      <c r="BA393" s="106" t="n">
        <v>0</v>
      </c>
      <c r="BB393" s="106" t="n">
        <v>0</v>
      </c>
      <c r="BC393" s="106" t="n"/>
      <c r="BD393" s="106" t="n">
        <v>729206.721056289</v>
      </c>
      <c r="BE393" s="106" t="n">
        <v>0</v>
      </c>
      <c r="BF393" s="106" t="n">
        <v>0</v>
      </c>
      <c r="BG393" s="106" t="n">
        <v>0</v>
      </c>
      <c r="BH393" s="106" t="n">
        <v>0</v>
      </c>
      <c r="BI393" s="106" t="n">
        <v>0</v>
      </c>
      <c r="BJ393" s="106" t="n"/>
      <c r="BK393" s="114" t="n"/>
      <c r="BL393" s="115" t="n">
        <v>373222.951104844</v>
      </c>
      <c r="BM393" s="186" t="n">
        <f aca="false" ca="true" dt2D="false" dtr="false" t="normal">SUBTOTAL(9, BN393:CB393)</f>
        <v>17440324.817983337</v>
      </c>
      <c r="BN393" s="106" t="n">
        <v>16337895.1458222</v>
      </c>
      <c r="BO393" s="106" t="n">
        <v>0</v>
      </c>
      <c r="BP393" s="106" t="n">
        <v>0</v>
      </c>
      <c r="BQ393" s="106" t="n">
        <v>0</v>
      </c>
      <c r="BR393" s="106" t="n">
        <v>0</v>
      </c>
      <c r="BS393" s="106" t="n"/>
      <c r="BT393" s="106" t="n">
        <v>729206.721056289</v>
      </c>
      <c r="BU393" s="106" t="n">
        <v>0</v>
      </c>
      <c r="BV393" s="106" t="n">
        <v>0</v>
      </c>
      <c r="BW393" s="106" t="n">
        <v>0</v>
      </c>
      <c r="BX393" s="106" t="n">
        <v>0</v>
      </c>
      <c r="BY393" s="106" t="n">
        <v>0</v>
      </c>
      <c r="BZ393" s="106" t="n"/>
      <c r="CA393" s="114" t="n"/>
      <c r="CB393" s="115" t="n">
        <v>373222.951104844</v>
      </c>
      <c r="CD393" s="116" t="n">
        <f aca="false" ca="false" dt2D="false" dtr="false" t="normal">+CD392+1</f>
        <v>373</v>
      </c>
      <c r="CE393" s="117" t="n">
        <f aca="false" ca="false" dt2D="false" dtr="false" t="normal">+CE392+1</f>
        <v>184</v>
      </c>
      <c r="CF393" s="104" t="s">
        <v>78</v>
      </c>
      <c r="CG393" s="104" t="s">
        <v>473</v>
      </c>
      <c r="CH393" s="188" t="n">
        <f aca="false" ca="true" dt2D="false" dtr="false" t="normal">SUBTOTAL(9, CI393:CW393)</f>
        <v>8024685.891104844</v>
      </c>
      <c r="CI393" s="106" t="n">
        <v>7651462.94</v>
      </c>
      <c r="CJ393" s="114" t="n">
        <v>0</v>
      </c>
      <c r="CK393" s="114" t="n">
        <v>0</v>
      </c>
      <c r="CL393" s="114" t="n">
        <v>0</v>
      </c>
      <c r="CM393" s="114" t="n">
        <v>0</v>
      </c>
      <c r="CN393" s="114" t="n"/>
      <c r="CO393" s="114" t="n"/>
      <c r="CP393" s="114" t="n">
        <v>0</v>
      </c>
      <c r="CQ393" s="114" t="n">
        <v>0</v>
      </c>
      <c r="CR393" s="114" t="n">
        <v>0</v>
      </c>
      <c r="CS393" s="114" t="n">
        <v>0</v>
      </c>
      <c r="CT393" s="114" t="n">
        <v>0</v>
      </c>
      <c r="CU393" s="114" t="n"/>
      <c r="CV393" s="114" t="n"/>
      <c r="CW393" s="115" t="n">
        <v>373222.951104844</v>
      </c>
      <c r="CZ393" s="104" t="s">
        <v>473</v>
      </c>
      <c r="DA393" s="189" t="n">
        <f aca="false" ca="true" dt2D="false" dtr="false" t="normal">SUBTOTAL(9, DB393:DP393)</f>
        <v>7651462.94</v>
      </c>
      <c r="DB393" s="106" t="n">
        <v>7651462.94</v>
      </c>
      <c r="DC393" s="114" t="n">
        <v>0</v>
      </c>
      <c r="DD393" s="114" t="n">
        <v>0</v>
      </c>
      <c r="DE393" s="114" t="n">
        <v>0</v>
      </c>
      <c r="DF393" s="114" t="n">
        <v>0</v>
      </c>
      <c r="DG393" s="114" t="n"/>
      <c r="DH393" s="114" t="n"/>
      <c r="DI393" s="114" t="n">
        <v>0</v>
      </c>
      <c r="DJ393" s="114" t="n">
        <v>0</v>
      </c>
      <c r="DK393" s="114" t="n">
        <v>0</v>
      </c>
      <c r="DL393" s="114" t="n">
        <v>0</v>
      </c>
      <c r="DM393" s="114" t="n">
        <v>0</v>
      </c>
      <c r="DN393" s="114" t="n"/>
      <c r="DO393" s="114" t="n"/>
      <c r="DP393" s="122" t="n"/>
      <c r="DQ393" s="3" t="n">
        <f aca="false" ca="false" dt2D="false" dtr="false" t="normal">N393-DA393</f>
        <v>0</v>
      </c>
      <c r="DS393" s="9" t="n"/>
    </row>
    <row hidden="false" ht="15" outlineLevel="0" r="394">
      <c r="A394" s="183" t="n">
        <f aca="false" ca="false" dt2D="false" dtr="false" t="normal">+A393+1</f>
        <v>374</v>
      </c>
      <c r="B394" s="184" t="n">
        <f aca="false" ca="false" dt2D="false" dtr="false" t="normal">+B393+1</f>
        <v>185</v>
      </c>
      <c r="C394" s="104" t="s">
        <v>78</v>
      </c>
      <c r="D394" s="104" t="s">
        <v>474</v>
      </c>
      <c r="E394" s="105" t="n">
        <v>1992</v>
      </c>
      <c r="F394" s="105" t="n">
        <v>2017</v>
      </c>
      <c r="G394" s="105" t="s">
        <v>68</v>
      </c>
      <c r="H394" s="105" t="n">
        <v>9</v>
      </c>
      <c r="I394" s="105" t="n">
        <v>2</v>
      </c>
      <c r="J394" s="106" t="n">
        <v>6450</v>
      </c>
      <c r="K394" s="106" t="n">
        <v>5551</v>
      </c>
      <c r="L394" s="106" t="n">
        <v>31</v>
      </c>
      <c r="M394" s="107" t="n">
        <v>215</v>
      </c>
      <c r="N394" s="108" t="n">
        <f aca="false" ca="false" dt2D="false" dtr="false" t="normal">SUM(P394:T394)</f>
        <v>17663014.45</v>
      </c>
      <c r="O394" s="106" t="n"/>
      <c r="P394" s="114" t="n"/>
      <c r="Q394" s="114" t="n"/>
      <c r="R394" s="114" t="n">
        <v>427549.7</v>
      </c>
      <c r="S394" s="114" t="n">
        <v>17235464.75</v>
      </c>
      <c r="T394" s="114" t="n"/>
      <c r="U394" s="114" t="n">
        <v>3354.19117293397</v>
      </c>
      <c r="V394" s="114" t="n">
        <v>1226.283020064</v>
      </c>
      <c r="W394" s="110" t="n">
        <v>2023</v>
      </c>
      <c r="X394" s="9" t="e">
        <f aca="false" ca="false" dt2D="false" dtr="false" t="normal">+#REF!-'[9]Приложение №1'!$P964</f>
        <v>#REF!</v>
      </c>
      <c r="Z394" s="113" t="n">
        <f aca="false" ca="false" dt2D="false" dtr="false" t="normal">SUM(AA394:AO394)</f>
        <v>39482783.30366697</v>
      </c>
      <c r="AA394" s="106" t="n">
        <v>0</v>
      </c>
      <c r="AB394" s="106" t="n">
        <v>0</v>
      </c>
      <c r="AC394" s="106" t="n">
        <v>0</v>
      </c>
      <c r="AD394" s="106" t="n">
        <v>0</v>
      </c>
      <c r="AE394" s="106" t="n">
        <v>0</v>
      </c>
      <c r="AF394" s="106" t="n"/>
      <c r="AG394" s="106" t="n">
        <v>0</v>
      </c>
      <c r="AH394" s="106" t="n">
        <v>0</v>
      </c>
      <c r="AI394" s="106" t="n">
        <v>0</v>
      </c>
      <c r="AJ394" s="106" t="n">
        <v>0</v>
      </c>
      <c r="AK394" s="106" t="n">
        <v>38467833.1727105</v>
      </c>
      <c r="AL394" s="106" t="n">
        <v>0</v>
      </c>
      <c r="AM394" s="106" t="n">
        <v>149736.53</v>
      </c>
      <c r="AN394" s="106" t="n">
        <v>24000</v>
      </c>
      <c r="AO394" s="115" t="n">
        <v>841213.600956473</v>
      </c>
      <c r="AP394" s="112" t="n">
        <f aca="false" ca="false" dt2D="false" dtr="false" t="normal">+N394-'Приложение №2'!E394</f>
        <v>0</v>
      </c>
      <c r="AQ394" s="1" t="e">
        <f aca="false" ca="false" dt2D="false" dtr="false" t="normal">4311391.97-'[10]Приложение №1'!$R$346</f>
        <v>#REF!</v>
      </c>
      <c r="AR394" s="3" t="n">
        <f aca="false" ca="false" dt2D="false" dtr="false" t="normal">+(K394*13.95+L394*23.65)*12*0.85</f>
        <v>797329.9199999999</v>
      </c>
      <c r="AS394" s="3" t="e">
        <f aca="false" ca="false" dt2D="false" dtr="false" t="normal">+(K394*13.95+L394*23.65)*12*30-'[10]Приложение №1'!$S$346</f>
        <v>#REF!</v>
      </c>
      <c r="AT394" s="9" t="e">
        <f aca="false" ca="false" dt2D="false" dtr="false" t="normal">+S394-AS394</f>
        <v>#REF!</v>
      </c>
      <c r="AU394" s="9" t="e">
        <f aca="false" ca="false" dt2D="false" dtr="false" t="normal">+P394-'[5]Приложение №1'!$P510</f>
        <v>#REF!</v>
      </c>
      <c r="AV394" s="9" t="e">
        <f aca="false" ca="false" dt2D="false" dtr="false" t="normal">+Q394-'[5]Приложение №1'!$Q510</f>
        <v>#REF!</v>
      </c>
      <c r="AW394" s="186" t="n">
        <f aca="false" ca="true" dt2D="false" dtr="false" t="normal">SUBTOTAL(9, AX394:BL394)</f>
        <v>18619115.200956475</v>
      </c>
      <c r="AX394" s="106" t="n">
        <v>0</v>
      </c>
      <c r="AY394" s="106" t="n">
        <v>0</v>
      </c>
      <c r="AZ394" s="106" t="n">
        <v>0</v>
      </c>
      <c r="BA394" s="106" t="n">
        <v>0</v>
      </c>
      <c r="BB394" s="106" t="n">
        <v>0</v>
      </c>
      <c r="BC394" s="106" t="n"/>
      <c r="BD394" s="106" t="n"/>
      <c r="BE394" s="106" t="n">
        <v>0</v>
      </c>
      <c r="BF394" s="106" t="n">
        <v>0</v>
      </c>
      <c r="BG394" s="106" t="n">
        <v>0</v>
      </c>
      <c r="BH394" s="106" t="n">
        <v>17777901.6</v>
      </c>
      <c r="BI394" s="106" t="n">
        <v>0</v>
      </c>
      <c r="BJ394" s="106" t="n"/>
      <c r="BK394" s="106" t="n"/>
      <c r="BL394" s="187" t="n">
        <v>841213.600956473</v>
      </c>
      <c r="BM394" s="186" t="n">
        <f aca="false" ca="true" dt2D="false" dtr="false" t="normal">SUBTOTAL(9, BN394:CB394)</f>
        <v>18332812.000956472</v>
      </c>
      <c r="BN394" s="106" t="n">
        <v>0</v>
      </c>
      <c r="BO394" s="106" t="n">
        <v>0</v>
      </c>
      <c r="BP394" s="106" t="n">
        <v>0</v>
      </c>
      <c r="BQ394" s="106" t="n">
        <v>0</v>
      </c>
      <c r="BR394" s="106" t="n">
        <v>0</v>
      </c>
      <c r="BS394" s="106" t="n"/>
      <c r="BT394" s="106" t="n"/>
      <c r="BU394" s="106" t="n">
        <v>0</v>
      </c>
      <c r="BV394" s="106" t="n">
        <v>0</v>
      </c>
      <c r="BW394" s="106" t="n">
        <v>0</v>
      </c>
      <c r="BX394" s="106" t="n">
        <v>17491598.4</v>
      </c>
      <c r="BY394" s="106" t="n">
        <v>0</v>
      </c>
      <c r="BZ394" s="106" t="n"/>
      <c r="CA394" s="106" t="n"/>
      <c r="CB394" s="115" t="n">
        <v>841213.600956473</v>
      </c>
      <c r="CD394" s="116" t="n">
        <f aca="false" ca="false" dt2D="false" dtr="false" t="normal">+CD393+1</f>
        <v>374</v>
      </c>
      <c r="CE394" s="117" t="n">
        <f aca="false" ca="false" dt2D="false" dtr="false" t="normal">+CE393+1</f>
        <v>185</v>
      </c>
      <c r="CF394" s="104" t="s">
        <v>78</v>
      </c>
      <c r="CG394" s="117" t="s">
        <v>474</v>
      </c>
      <c r="CH394" s="188" t="n">
        <f aca="false" ca="true" dt2D="false" dtr="false" t="normal">SUBTOTAL(9, CI394:CW394)</f>
        <v>18332812.000956472</v>
      </c>
      <c r="CI394" s="114" t="n">
        <v>0</v>
      </c>
      <c r="CJ394" s="114" t="n">
        <v>0</v>
      </c>
      <c r="CK394" s="114" t="n">
        <v>0</v>
      </c>
      <c r="CL394" s="114" t="n">
        <v>0</v>
      </c>
      <c r="CM394" s="114" t="n">
        <v>0</v>
      </c>
      <c r="CN394" s="114" t="n"/>
      <c r="CO394" s="114" t="n"/>
      <c r="CP394" s="114" t="n">
        <v>0</v>
      </c>
      <c r="CQ394" s="114" t="n">
        <v>0</v>
      </c>
      <c r="CR394" s="114" t="n">
        <v>0</v>
      </c>
      <c r="CS394" s="114" t="n">
        <v>17491598.4</v>
      </c>
      <c r="CT394" s="114" t="n">
        <v>0</v>
      </c>
      <c r="CU394" s="114" t="n"/>
      <c r="CV394" s="114" t="n"/>
      <c r="CW394" s="115" t="n">
        <v>841213.600956473</v>
      </c>
      <c r="CZ394" s="117" t="s">
        <v>474</v>
      </c>
      <c r="DA394" s="189" t="n">
        <f aca="false" ca="true" dt2D="false" dtr="false" t="normal">SUBTOTAL(9, DB394:DP394)</f>
        <v>17663014.45</v>
      </c>
      <c r="DB394" s="114" t="n">
        <v>0</v>
      </c>
      <c r="DC394" s="114" t="n">
        <v>0</v>
      </c>
      <c r="DD394" s="114" t="n">
        <v>0</v>
      </c>
      <c r="DE394" s="114" t="n">
        <v>0</v>
      </c>
      <c r="DF394" s="114" t="n">
        <v>0</v>
      </c>
      <c r="DG394" s="114" t="n"/>
      <c r="DH394" s="114" t="n"/>
      <c r="DI394" s="114" t="n">
        <v>0</v>
      </c>
      <c r="DJ394" s="114" t="n">
        <v>0</v>
      </c>
      <c r="DK394" s="114" t="n">
        <v>0</v>
      </c>
      <c r="DL394" s="114" t="n">
        <v>17491598.4</v>
      </c>
      <c r="DM394" s="114" t="n">
        <v>0</v>
      </c>
      <c r="DN394" s="114" t="n"/>
      <c r="DO394" s="114" t="n"/>
      <c r="DP394" s="120" t="n">
        <v>171416.05</v>
      </c>
      <c r="DQ394" s="3" t="n">
        <f aca="false" ca="false" dt2D="false" dtr="false" t="normal">N394-DA394</f>
        <v>0</v>
      </c>
      <c r="DS394" s="9" t="n"/>
    </row>
    <row hidden="false" ht="15" outlineLevel="0" r="395">
      <c r="A395" s="183" t="n">
        <f aca="false" ca="false" dt2D="false" dtr="false" t="normal">+A394+1</f>
        <v>375</v>
      </c>
      <c r="B395" s="184" t="n">
        <f aca="false" ca="false" dt2D="false" dtr="false" t="normal">+B394+1</f>
        <v>186</v>
      </c>
      <c r="C395" s="104" t="s">
        <v>78</v>
      </c>
      <c r="D395" s="104" t="s">
        <v>475</v>
      </c>
      <c r="E395" s="105" t="n">
        <v>1996</v>
      </c>
      <c r="F395" s="105" t="n">
        <v>1996</v>
      </c>
      <c r="G395" s="105" t="s">
        <v>68</v>
      </c>
      <c r="H395" s="105" t="n">
        <v>3</v>
      </c>
      <c r="I395" s="105" t="n">
        <v>2</v>
      </c>
      <c r="J395" s="106" t="n">
        <v>1212.9</v>
      </c>
      <c r="K395" s="106" t="n">
        <v>969.5</v>
      </c>
      <c r="L395" s="106" t="n">
        <v>83.1</v>
      </c>
      <c r="M395" s="107" t="n">
        <v>29</v>
      </c>
      <c r="N395" s="108" t="n">
        <f aca="false" ca="false" dt2D="false" dtr="false" t="normal">SUM(P395:T395)</f>
        <v>2848341.03</v>
      </c>
      <c r="O395" s="106" t="n"/>
      <c r="P395" s="114" t="n"/>
      <c r="Q395" s="114" t="n"/>
      <c r="R395" s="114" t="n">
        <v>794591.09</v>
      </c>
      <c r="S395" s="114" t="n">
        <v>2053749.94</v>
      </c>
      <c r="T395" s="114" t="n"/>
      <c r="U395" s="114" t="n">
        <v>3522.70696441109</v>
      </c>
      <c r="V395" s="114" t="n">
        <v>1230.283020064</v>
      </c>
      <c r="W395" s="110" t="n">
        <v>2023</v>
      </c>
      <c r="X395" s="9" t="e">
        <f aca="false" ca="false" dt2D="false" dtr="false" t="normal">+#REF!-'[9]Приложение №1'!$P299</f>
        <v>#REF!</v>
      </c>
      <c r="Z395" s="113" t="n">
        <f aca="false" ca="false" dt2D="false" dtr="false" t="normal">SUM(AA395:AO395)</f>
        <v>8757819.84</v>
      </c>
      <c r="AA395" s="106" t="n">
        <v>4004514.18214848</v>
      </c>
      <c r="AB395" s="106" t="n">
        <v>2086346.47769856</v>
      </c>
      <c r="AC395" s="106" t="n">
        <v>863302.1465376</v>
      </c>
      <c r="AD395" s="106" t="n">
        <v>448610.79529728</v>
      </c>
      <c r="AE395" s="106" t="n">
        <v>0</v>
      </c>
      <c r="AF395" s="106" t="n"/>
      <c r="AG395" s="106" t="n">
        <v>327305.36184192</v>
      </c>
      <c r="AH395" s="106" t="n">
        <v>0</v>
      </c>
      <c r="AI395" s="106" t="n">
        <v>0</v>
      </c>
      <c r="AJ395" s="106" t="n">
        <v>0</v>
      </c>
      <c r="AK395" s="106" t="n">
        <v>0</v>
      </c>
      <c r="AL395" s="106" t="n">
        <v>0</v>
      </c>
      <c r="AM395" s="106" t="n">
        <v>771121.5072</v>
      </c>
      <c r="AN395" s="114" t="n">
        <v>87578.1984</v>
      </c>
      <c r="AO395" s="115" t="n">
        <v>169041.17087616</v>
      </c>
      <c r="AP395" s="112" t="n">
        <f aca="false" ca="false" dt2D="false" dtr="false" t="normal">+N395-'Приложение №2'!E395</f>
        <v>0</v>
      </c>
      <c r="AQ395" s="121" t="n">
        <v>672957.62</v>
      </c>
      <c r="AR395" s="3" t="n">
        <f aca="false" ca="false" dt2D="false" dtr="false" t="normal">+(K395*10.5+L395*21)*12*0.85</f>
        <v>121633.47</v>
      </c>
      <c r="AS395" s="3" t="n">
        <f aca="false" ca="false" dt2D="false" dtr="false" t="normal">+(K395*10.5+L395*21)*12*30</f>
        <v>4292946</v>
      </c>
      <c r="AT395" s="9" t="n">
        <f aca="false" ca="false" dt2D="false" dtr="false" t="normal">+S395-AS395</f>
        <v>-2239196.06</v>
      </c>
      <c r="AU395" s="9" t="e">
        <f aca="false" ca="false" dt2D="false" dtr="false" t="normal">+P395-'[5]Приложение №1'!$P217</f>
        <v>#REF!</v>
      </c>
      <c r="AV395" s="9" t="e">
        <f aca="false" ca="false" dt2D="false" dtr="false" t="normal">+Q395-'[5]Приложение №1'!$Q217</f>
        <v>#REF!</v>
      </c>
      <c r="AW395" s="186" t="n">
        <f aca="false" ca="true" dt2D="false" dtr="false" t="normal">SUBTOTAL(9, AX395:BL395)</f>
        <v>3415264.401996547</v>
      </c>
      <c r="AX395" s="106" t="n">
        <v>2105749.07</v>
      </c>
      <c r="AY395" s="106" t="n"/>
      <c r="AZ395" s="106" t="n"/>
      <c r="BA395" s="106" t="n">
        <v>888374.4</v>
      </c>
      <c r="BB395" s="106" t="n">
        <v>0</v>
      </c>
      <c r="BC395" s="106" t="n"/>
      <c r="BD395" s="106" t="n">
        <v>327305.36184192</v>
      </c>
      <c r="BE395" s="106" t="n">
        <v>0</v>
      </c>
      <c r="BF395" s="106" t="n">
        <v>0</v>
      </c>
      <c r="BG395" s="106" t="n"/>
      <c r="BH395" s="106" t="n">
        <v>0</v>
      </c>
      <c r="BI395" s="106" t="n">
        <v>0</v>
      </c>
      <c r="BJ395" s="106" t="n"/>
      <c r="BK395" s="114" t="n"/>
      <c r="BL395" s="187" t="n">
        <v>93835.5701546273</v>
      </c>
      <c r="BM395" s="186" t="n">
        <f aca="false" ca="true" dt2D="false" dtr="false" t="normal">SUBTOTAL(9, BN395:CB395)</f>
        <v>3415264.401996547</v>
      </c>
      <c r="BN395" s="106" t="n">
        <v>2105749.07</v>
      </c>
      <c r="BO395" s="106" t="n"/>
      <c r="BP395" s="106" t="n"/>
      <c r="BQ395" s="106" t="n">
        <v>888374.4</v>
      </c>
      <c r="BR395" s="106" t="n">
        <v>0</v>
      </c>
      <c r="BS395" s="106" t="n"/>
      <c r="BT395" s="106" t="n">
        <v>327305.36184192</v>
      </c>
      <c r="BU395" s="106" t="n">
        <v>0</v>
      </c>
      <c r="BV395" s="106" t="n">
        <v>0</v>
      </c>
      <c r="BW395" s="106" t="n"/>
      <c r="BX395" s="106" t="n">
        <v>0</v>
      </c>
      <c r="BY395" s="106" t="n">
        <v>0</v>
      </c>
      <c r="BZ395" s="106" t="n"/>
      <c r="CA395" s="114" t="n"/>
      <c r="CB395" s="115" t="n">
        <v>93835.5701546273</v>
      </c>
      <c r="CD395" s="116" t="n">
        <f aca="false" ca="false" dt2D="false" dtr="false" t="normal">+CD394+1</f>
        <v>375</v>
      </c>
      <c r="CE395" s="117" t="n">
        <f aca="false" ca="false" dt2D="false" dtr="false" t="normal">+CE394+1</f>
        <v>186</v>
      </c>
      <c r="CF395" s="104" t="s">
        <v>78</v>
      </c>
      <c r="CG395" s="117" t="s">
        <v>475</v>
      </c>
      <c r="CH395" s="188" t="n">
        <f aca="false" ca="true" dt2D="false" dtr="false" t="normal">SUBTOTAL(9, CI395:CW395)</f>
        <v>2908357.470154627</v>
      </c>
      <c r="CI395" s="114" t="n">
        <v>1926147.5</v>
      </c>
      <c r="CJ395" s="114" t="n"/>
      <c r="CK395" s="114" t="n"/>
      <c r="CL395" s="114" t="n">
        <v>888374.4</v>
      </c>
      <c r="CM395" s="114" t="n">
        <v>0</v>
      </c>
      <c r="CN395" s="114" t="n"/>
      <c r="CO395" s="114" t="n"/>
      <c r="CP395" s="114" t="n">
        <v>0</v>
      </c>
      <c r="CQ395" s="114" t="n">
        <v>0</v>
      </c>
      <c r="CR395" s="114" t="n"/>
      <c r="CS395" s="114" t="n">
        <v>0</v>
      </c>
      <c r="CT395" s="114" t="n">
        <v>0</v>
      </c>
      <c r="CU395" s="114" t="n"/>
      <c r="CV395" s="114" t="n"/>
      <c r="CW395" s="115" t="n">
        <v>93835.5701546273</v>
      </c>
      <c r="CZ395" s="117" t="s">
        <v>475</v>
      </c>
      <c r="DA395" s="189" t="n">
        <f aca="false" ca="true" dt2D="false" dtr="false" t="normal">SUBTOTAL(9, DB395:DP395)</f>
        <v>2848341.03</v>
      </c>
      <c r="DB395" s="114" t="n">
        <v>1926147.5</v>
      </c>
      <c r="DC395" s="114" t="n"/>
      <c r="DD395" s="114" t="n"/>
      <c r="DE395" s="114" t="n">
        <v>888374.4</v>
      </c>
      <c r="DF395" s="114" t="n">
        <v>0</v>
      </c>
      <c r="DG395" s="114" t="n"/>
      <c r="DH395" s="114" t="n"/>
      <c r="DI395" s="114" t="n">
        <v>0</v>
      </c>
      <c r="DJ395" s="114" t="n">
        <v>0</v>
      </c>
      <c r="DK395" s="114" t="n"/>
      <c r="DL395" s="114" t="n">
        <v>0</v>
      </c>
      <c r="DM395" s="114" t="n">
        <v>0</v>
      </c>
      <c r="DN395" s="114" t="n"/>
      <c r="DO395" s="114" t="n"/>
      <c r="DP395" s="120" t="n">
        <f aca="false" ca="false" dt2D="false" dtr="false" t="normal">25466.07+8353.06</f>
        <v>33819.13</v>
      </c>
      <c r="DQ395" s="3" t="n">
        <f aca="false" ca="false" dt2D="false" dtr="false" t="normal">N395-DA395</f>
        <v>0</v>
      </c>
      <c r="DS395" s="9" t="n"/>
    </row>
    <row hidden="false" ht="15" outlineLevel="0" r="396">
      <c r="A396" s="183" t="n">
        <f aca="false" ca="false" dt2D="false" dtr="false" t="normal">+A395+1</f>
        <v>376</v>
      </c>
      <c r="B396" s="184" t="n">
        <f aca="false" ca="false" dt2D="false" dtr="false" t="normal">+B395+1</f>
        <v>187</v>
      </c>
      <c r="C396" s="104" t="s">
        <v>78</v>
      </c>
      <c r="D396" s="104" t="s">
        <v>476</v>
      </c>
      <c r="E396" s="105" t="n">
        <v>1988</v>
      </c>
      <c r="F396" s="105" t="n">
        <v>2017</v>
      </c>
      <c r="G396" s="105" t="s">
        <v>68</v>
      </c>
      <c r="H396" s="105" t="n">
        <v>9</v>
      </c>
      <c r="I396" s="105" t="n">
        <v>3</v>
      </c>
      <c r="J396" s="106" t="n">
        <v>8927</v>
      </c>
      <c r="K396" s="106" t="n">
        <v>7116.5</v>
      </c>
      <c r="L396" s="106" t="n">
        <v>0</v>
      </c>
      <c r="M396" s="107" t="n">
        <v>291</v>
      </c>
      <c r="N396" s="108" t="n">
        <f aca="false" ca="false" dt2D="false" dtr="false" t="normal">SUM(P396:T396)</f>
        <v>7976366.14</v>
      </c>
      <c r="O396" s="106" t="n"/>
      <c r="P396" s="114" t="n"/>
      <c r="Q396" s="114" t="n"/>
      <c r="R396" s="114" t="n">
        <v>6657296.795</v>
      </c>
      <c r="S396" s="114" t="n">
        <v>1319069.345</v>
      </c>
      <c r="T396" s="114" t="n"/>
      <c r="U396" s="114" t="n">
        <v>1176.18185640141</v>
      </c>
      <c r="V396" s="114" t="n">
        <v>1229.283020064</v>
      </c>
      <c r="W396" s="110" t="n">
        <v>2023</v>
      </c>
      <c r="X396" s="9" t="e">
        <f aca="false" ca="false" dt2D="false" dtr="false" t="normal">+#REF!-'[9]Приложение №1'!$P968</f>
        <v>#REF!</v>
      </c>
      <c r="Z396" s="113" t="n">
        <f aca="false" ca="false" dt2D="false" dtr="false" t="normal">SUM(AA396:AO396)</f>
        <v>8403162.23587464</v>
      </c>
      <c r="AA396" s="106" t="n">
        <v>0</v>
      </c>
      <c r="AB396" s="106" t="n">
        <v>0</v>
      </c>
      <c r="AC396" s="106" t="n">
        <v>0</v>
      </c>
      <c r="AD396" s="106" t="n">
        <v>0</v>
      </c>
      <c r="AE396" s="106" t="n">
        <v>0</v>
      </c>
      <c r="AF396" s="106" t="n"/>
      <c r="AG396" s="106" t="n">
        <v>0</v>
      </c>
      <c r="AH396" s="106" t="n">
        <v>0</v>
      </c>
      <c r="AI396" s="106" t="n">
        <v>7401001.10762423</v>
      </c>
      <c r="AJ396" s="106" t="n">
        <v>0</v>
      </c>
      <c r="AK396" s="106" t="n">
        <v>0</v>
      </c>
      <c r="AL396" s="106" t="n">
        <v>0</v>
      </c>
      <c r="AM396" s="106" t="n">
        <v>756284.601228718</v>
      </c>
      <c r="AN396" s="114" t="n">
        <v>84031.6223587464</v>
      </c>
      <c r="AO396" s="115" t="n">
        <v>161844.904662946</v>
      </c>
      <c r="AP396" s="112" t="n">
        <f aca="false" ca="false" dt2D="false" dtr="false" t="normal">+N396-'Приложение №2'!E396</f>
        <v>0</v>
      </c>
      <c r="AQ396" s="121" t="n">
        <v>5644690.01</v>
      </c>
      <c r="AR396" s="3" t="n">
        <f aca="false" ca="false" dt2D="false" dtr="false" t="normal">+(K396*13.95+L396*23.65)*12*0.85</f>
        <v>1012606.7849999998</v>
      </c>
      <c r="AS396" s="3" t="n">
        <f aca="false" ca="false" dt2D="false" dtr="false" t="normal">+(K396*13.95+L396*23.65)*12*30</f>
        <v>35739062.99999999</v>
      </c>
      <c r="AT396" s="9" t="n">
        <f aca="false" ca="false" dt2D="false" dtr="false" t="normal">+S396-AS396</f>
        <v>-34419993.654999994</v>
      </c>
      <c r="AU396" s="9" t="e">
        <f aca="false" ca="false" dt2D="false" dtr="false" t="normal">+P396-'[5]Приложение №1'!$P513</f>
        <v>#REF!</v>
      </c>
      <c r="AV396" s="9" t="e">
        <f aca="false" ca="false" dt2D="false" dtr="false" t="normal">+Q396-'[5]Приложение №1'!$Q513</f>
        <v>#REF!</v>
      </c>
      <c r="AW396" s="186" t="n">
        <f aca="false" ca="true" dt2D="false" dtr="false" t="normal">SUBTOTAL(9, AX396:BL396)</f>
        <v>8370298.181080628</v>
      </c>
      <c r="AX396" s="106" t="n">
        <v>0</v>
      </c>
      <c r="AY396" s="106" t="n">
        <v>0</v>
      </c>
      <c r="AZ396" s="106" t="n">
        <v>0</v>
      </c>
      <c r="BA396" s="106" t="n">
        <v>0</v>
      </c>
      <c r="BB396" s="106" t="n">
        <v>0</v>
      </c>
      <c r="BC396" s="106" t="n"/>
      <c r="BD396" s="106" t="n"/>
      <c r="BE396" s="106" t="n">
        <v>0</v>
      </c>
      <c r="BF396" s="106" t="n">
        <v>8193337.41</v>
      </c>
      <c r="BG396" s="106" t="n">
        <v>0</v>
      </c>
      <c r="BH396" s="106" t="n">
        <v>0</v>
      </c>
      <c r="BI396" s="106" t="n">
        <v>0</v>
      </c>
      <c r="BJ396" s="106" t="n"/>
      <c r="BK396" s="114" t="n"/>
      <c r="BL396" s="187" t="n">
        <v>176960.771080628</v>
      </c>
      <c r="BM396" s="186" t="n">
        <f aca="false" ca="true" dt2D="false" dtr="false" t="normal">SUBTOTAL(9, BN396:CB396)</f>
        <v>8370298.181080628</v>
      </c>
      <c r="BN396" s="106" t="n">
        <v>0</v>
      </c>
      <c r="BO396" s="106" t="n">
        <v>0</v>
      </c>
      <c r="BP396" s="106" t="n">
        <v>0</v>
      </c>
      <c r="BQ396" s="106" t="n">
        <v>0</v>
      </c>
      <c r="BR396" s="106" t="n">
        <v>0</v>
      </c>
      <c r="BS396" s="106" t="n"/>
      <c r="BT396" s="106" t="n"/>
      <c r="BU396" s="106" t="n">
        <v>0</v>
      </c>
      <c r="BV396" s="106" t="n">
        <v>8193337.41</v>
      </c>
      <c r="BW396" s="106" t="n">
        <v>0</v>
      </c>
      <c r="BX396" s="106" t="n">
        <v>0</v>
      </c>
      <c r="BY396" s="106" t="n">
        <v>0</v>
      </c>
      <c r="BZ396" s="106" t="n"/>
      <c r="CA396" s="114" t="n"/>
      <c r="CB396" s="115" t="n">
        <v>176960.771080628</v>
      </c>
      <c r="CD396" s="116" t="n">
        <f aca="false" ca="false" dt2D="false" dtr="false" t="normal">+CD395+1</f>
        <v>376</v>
      </c>
      <c r="CE396" s="117" t="n">
        <f aca="false" ca="false" dt2D="false" dtr="false" t="normal">+CE395+1</f>
        <v>187</v>
      </c>
      <c r="CF396" s="104" t="s">
        <v>78</v>
      </c>
      <c r="CG396" s="117" t="s">
        <v>476</v>
      </c>
      <c r="CH396" s="188" t="n">
        <f aca="false" ca="true" dt2D="false" dtr="false" t="normal">SUBTOTAL(9, CI396:CW396)</f>
        <v>8091643.861080628</v>
      </c>
      <c r="CI396" s="114" t="n">
        <v>0</v>
      </c>
      <c r="CJ396" s="114" t="n">
        <v>0</v>
      </c>
      <c r="CK396" s="114" t="n">
        <v>0</v>
      </c>
      <c r="CL396" s="114" t="n">
        <v>0</v>
      </c>
      <c r="CM396" s="114" t="n">
        <v>0</v>
      </c>
      <c r="CN396" s="114" t="n"/>
      <c r="CO396" s="114" t="n"/>
      <c r="CP396" s="114" t="n">
        <v>0</v>
      </c>
      <c r="CQ396" s="114" t="n">
        <v>7914683.09</v>
      </c>
      <c r="CR396" s="114" t="n">
        <v>0</v>
      </c>
      <c r="CS396" s="114" t="n">
        <v>0</v>
      </c>
      <c r="CT396" s="114" t="n">
        <v>0</v>
      </c>
      <c r="CU396" s="114" t="n"/>
      <c r="CV396" s="114" t="n"/>
      <c r="CW396" s="115" t="n">
        <v>176960.771080628</v>
      </c>
      <c r="CZ396" s="117" t="s">
        <v>476</v>
      </c>
      <c r="DA396" s="189" t="n">
        <f aca="false" ca="true" dt2D="false" dtr="false" t="normal">SUBTOTAL(9, DB396:DP396)</f>
        <v>7976366.14</v>
      </c>
      <c r="DB396" s="114" t="n">
        <v>0</v>
      </c>
      <c r="DC396" s="114" t="n">
        <v>0</v>
      </c>
      <c r="DD396" s="114" t="n">
        <v>0</v>
      </c>
      <c r="DE396" s="114" t="n">
        <v>0</v>
      </c>
      <c r="DF396" s="114" t="n">
        <v>0</v>
      </c>
      <c r="DG396" s="114" t="n"/>
      <c r="DH396" s="114" t="n"/>
      <c r="DI396" s="114" t="n">
        <v>0</v>
      </c>
      <c r="DJ396" s="114" t="n">
        <v>7914683.09</v>
      </c>
      <c r="DK396" s="114" t="n">
        <v>0</v>
      </c>
      <c r="DL396" s="114" t="n">
        <v>0</v>
      </c>
      <c r="DM396" s="114" t="n">
        <v>0</v>
      </c>
      <c r="DN396" s="114" t="n"/>
      <c r="DO396" s="114" t="n"/>
      <c r="DP396" s="120" t="n">
        <v>61683.05</v>
      </c>
      <c r="DQ396" s="3" t="n">
        <f aca="false" ca="false" dt2D="false" dtr="false" t="normal">N396-DA396</f>
        <v>0</v>
      </c>
      <c r="DS396" s="9" t="n"/>
    </row>
    <row hidden="false" ht="15" outlineLevel="0" r="397">
      <c r="A397" s="183" t="n">
        <f aca="false" ca="false" dt2D="false" dtr="false" t="normal">+A396+1</f>
        <v>377</v>
      </c>
      <c r="B397" s="184" t="n">
        <f aca="false" ca="false" dt2D="false" dtr="false" t="normal">+B396+1</f>
        <v>188</v>
      </c>
      <c r="C397" s="104" t="s">
        <v>78</v>
      </c>
      <c r="D397" s="104" t="s">
        <v>108</v>
      </c>
      <c r="E397" s="105" t="n">
        <v>1987</v>
      </c>
      <c r="F397" s="105" t="n">
        <v>2017</v>
      </c>
      <c r="G397" s="105" t="s">
        <v>68</v>
      </c>
      <c r="H397" s="105" t="n">
        <v>9</v>
      </c>
      <c r="I397" s="105" t="n">
        <v>1</v>
      </c>
      <c r="J397" s="106" t="n">
        <v>2767.8</v>
      </c>
      <c r="K397" s="106" t="n">
        <v>2150.8</v>
      </c>
      <c r="L397" s="106" t="n">
        <v>66.8</v>
      </c>
      <c r="M397" s="107" t="n">
        <v>94</v>
      </c>
      <c r="N397" s="108" t="n">
        <f aca="false" ca="false" dt2D="false" dtr="false" t="normal">SUM(P397:T397)</f>
        <v>2391153.64</v>
      </c>
      <c r="O397" s="106" t="n"/>
      <c r="P397" s="114" t="n"/>
      <c r="Q397" s="114" t="n"/>
      <c r="R397" s="114" t="n">
        <v>1519991.27443842</v>
      </c>
      <c r="S397" s="114" t="n">
        <v>871162.36556158</v>
      </c>
      <c r="T397" s="114" t="n"/>
      <c r="U397" s="106" t="n">
        <v>2676.72321472355</v>
      </c>
      <c r="V397" s="106" t="n">
        <v>2676.72321472355</v>
      </c>
      <c r="W397" s="110" t="n">
        <v>2023</v>
      </c>
      <c r="X397" s="9" t="e">
        <f aca="false" ca="false" dt2D="false" dtr="false" t="normal">+#REF!-'[9]Приложение №1'!$P969</f>
        <v>#REF!</v>
      </c>
      <c r="Z397" s="113" t="n">
        <f aca="false" ca="false" dt2D="false" dtr="false" t="normal">SUM(AA397:AO397)</f>
        <v>24358296.10656354</v>
      </c>
      <c r="AA397" s="106" t="n">
        <v>5322442.28443506</v>
      </c>
      <c r="AB397" s="106" t="n">
        <v>2129484.5377049</v>
      </c>
      <c r="AC397" s="106" t="n">
        <v>0</v>
      </c>
      <c r="AD397" s="106" t="n">
        <v>0</v>
      </c>
      <c r="AE397" s="106" t="n">
        <v>0</v>
      </c>
      <c r="AF397" s="106" t="n"/>
      <c r="AG397" s="106" t="n">
        <v>236468.681965311</v>
      </c>
      <c r="AH397" s="106" t="n">
        <v>0</v>
      </c>
      <c r="AI397" s="106" t="n">
        <v>0</v>
      </c>
      <c r="AJ397" s="106" t="n">
        <v>0</v>
      </c>
      <c r="AK397" s="106" t="n">
        <v>13665253.1882038</v>
      </c>
      <c r="AL397" s="106" t="n">
        <v>0</v>
      </c>
      <c r="AM397" s="106" t="n">
        <v>2294103.40473654</v>
      </c>
      <c r="AN397" s="114" t="n">
        <v>243582.961065635</v>
      </c>
      <c r="AO397" s="115" t="n">
        <v>466961.048452292</v>
      </c>
      <c r="AP397" s="112" t="n">
        <f aca="false" ca="false" dt2D="false" dtr="false" t="normal">+N397-'Приложение №2'!E397</f>
        <v>0</v>
      </c>
      <c r="AQ397" s="1" t="n">
        <v>1394329.46</v>
      </c>
      <c r="AR397" s="3" t="n">
        <f aca="false" ca="false" dt2D="false" dtr="false" t="normal">+(K397*13.29+L397*22.52)*12*0.85</f>
        <v>306902.37360000005</v>
      </c>
      <c r="AS397" s="3" t="n">
        <f aca="false" ca="false" dt2D="false" dtr="false" t="normal">+(K397*13.29+L397*22.52)*12*30</f>
        <v>10831848.48</v>
      </c>
      <c r="AT397" s="9" t="n">
        <f aca="false" ca="false" dt2D="false" dtr="false" t="normal">+S397-AS397</f>
        <v>-9960686.11443842</v>
      </c>
      <c r="AU397" s="9" t="e">
        <f aca="false" ca="false" dt2D="false" dtr="false" t="normal">+P397-'[5]Приложение №1'!$P241</f>
        <v>#REF!</v>
      </c>
      <c r="AV397" s="9" t="e">
        <f aca="false" ca="false" dt2D="false" dtr="false" t="normal">+Q397-'[5]Приложение №1'!$Q241</f>
        <v>#REF!</v>
      </c>
      <c r="AW397" s="113" t="n">
        <f aca="false" ca="true" dt2D="false" dtr="false" t="normal">SUBTOTAL(9, AX397:BL397)</f>
        <v>5935901.4009709405</v>
      </c>
      <c r="AX397" s="106" t="n">
        <v>5754660.84180936</v>
      </c>
      <c r="AY397" s="106" t="n"/>
      <c r="AZ397" s="106" t="n">
        <v>0</v>
      </c>
      <c r="BA397" s="106" t="n">
        <v>0</v>
      </c>
      <c r="BB397" s="106" t="n">
        <v>0</v>
      </c>
      <c r="BC397" s="106" t="n"/>
      <c r="BD397" s="106" t="n"/>
      <c r="BE397" s="106" t="n"/>
      <c r="BF397" s="106" t="n"/>
      <c r="BG397" s="106" t="n"/>
      <c r="BH397" s="106" t="n"/>
      <c r="BI397" s="106" t="n">
        <v>0</v>
      </c>
      <c r="BJ397" s="106" t="n"/>
      <c r="BK397" s="114" t="n"/>
      <c r="BL397" s="187" t="n">
        <v>181240.55916158</v>
      </c>
      <c r="BM397" s="113" t="n">
        <f aca="false" ca="true" dt2D="false" dtr="false" t="normal">SUBTOTAL(9, BN397:CB397)</f>
        <v>5935901.4009709405</v>
      </c>
      <c r="BN397" s="106" t="n">
        <v>5754660.84180936</v>
      </c>
      <c r="BO397" s="106" t="n"/>
      <c r="BP397" s="106" t="n">
        <v>0</v>
      </c>
      <c r="BQ397" s="106" t="n">
        <v>0</v>
      </c>
      <c r="BR397" s="106" t="n">
        <v>0</v>
      </c>
      <c r="BS397" s="106" t="n"/>
      <c r="BT397" s="106" t="n"/>
      <c r="BU397" s="106" t="n"/>
      <c r="BV397" s="106" t="n"/>
      <c r="BW397" s="106" t="n"/>
      <c r="BX397" s="106" t="n"/>
      <c r="BY397" s="106" t="n">
        <v>0</v>
      </c>
      <c r="BZ397" s="106" t="n"/>
      <c r="CA397" s="114" t="n"/>
      <c r="CB397" s="115" t="n">
        <v>181240.55916158</v>
      </c>
      <c r="CD397" s="116" t="n">
        <f aca="false" ca="false" dt2D="false" dtr="false" t="normal">+CD396+1</f>
        <v>377</v>
      </c>
      <c r="CE397" s="117" t="n">
        <f aca="false" ca="false" dt2D="false" dtr="false" t="normal">+CE396+1</f>
        <v>188</v>
      </c>
      <c r="CF397" s="104" t="s">
        <v>78</v>
      </c>
      <c r="CG397" s="117" t="s">
        <v>108</v>
      </c>
      <c r="CH397" s="118" t="n">
        <f aca="false" ca="true" dt2D="false" dtr="false" t="normal">SUBTOTAL(9, CI397:CW397)</f>
        <v>2572394.1991615803</v>
      </c>
      <c r="CI397" s="114" t="n">
        <v>2391153.64</v>
      </c>
      <c r="CJ397" s="114" t="n"/>
      <c r="CK397" s="114" t="n">
        <v>0</v>
      </c>
      <c r="CL397" s="114" t="n">
        <v>0</v>
      </c>
      <c r="CM397" s="114" t="n">
        <v>0</v>
      </c>
      <c r="CN397" s="114" t="n"/>
      <c r="CO397" s="114" t="n"/>
      <c r="CP397" s="114" t="n"/>
      <c r="CQ397" s="114" t="n"/>
      <c r="CR397" s="114" t="n"/>
      <c r="CS397" s="114" t="n"/>
      <c r="CT397" s="114" t="n">
        <v>0</v>
      </c>
      <c r="CU397" s="114" t="n"/>
      <c r="CV397" s="114" t="n"/>
      <c r="CW397" s="115" t="n">
        <v>181240.55916158</v>
      </c>
      <c r="CZ397" s="117" t="s">
        <v>108</v>
      </c>
      <c r="DA397" s="119" t="n">
        <f aca="false" ca="true" dt2D="false" dtr="false" t="normal">SUBTOTAL(9, DB397:DP397)</f>
        <v>2391153.64</v>
      </c>
      <c r="DB397" s="114" t="n">
        <v>2391153.64</v>
      </c>
      <c r="DC397" s="114" t="n"/>
      <c r="DD397" s="114" t="n">
        <v>0</v>
      </c>
      <c r="DE397" s="114" t="n">
        <v>0</v>
      </c>
      <c r="DF397" s="114" t="n">
        <v>0</v>
      </c>
      <c r="DG397" s="114" t="n"/>
      <c r="DH397" s="114" t="n"/>
      <c r="DI397" s="114" t="n"/>
      <c r="DJ397" s="114" t="n"/>
      <c r="DK397" s="114" t="n"/>
      <c r="DL397" s="114" t="n"/>
      <c r="DM397" s="114" t="n">
        <v>0</v>
      </c>
      <c r="DN397" s="114" t="n"/>
      <c r="DO397" s="114" t="n"/>
      <c r="DP397" s="122" t="n"/>
      <c r="DQ397" s="3" t="n">
        <f aca="false" ca="false" dt2D="false" dtr="false" t="normal">N397-DA397</f>
        <v>0</v>
      </c>
      <c r="DS397" s="9" t="n"/>
    </row>
    <row hidden="false" ht="15" outlineLevel="0" r="398">
      <c r="A398" s="183" t="n">
        <f aca="false" ca="false" dt2D="false" dtr="false" t="normal">+A397+1</f>
        <v>378</v>
      </c>
      <c r="B398" s="184" t="s">
        <v>463</v>
      </c>
      <c r="C398" s="104" t="s">
        <v>78</v>
      </c>
      <c r="D398" s="104" t="s">
        <v>315</v>
      </c>
      <c r="E398" s="105" t="n">
        <v>1987</v>
      </c>
      <c r="F398" s="105" t="n">
        <v>2016</v>
      </c>
      <c r="G398" s="105" t="s">
        <v>68</v>
      </c>
      <c r="H398" s="105" t="n">
        <v>5</v>
      </c>
      <c r="I398" s="105" t="n">
        <v>5</v>
      </c>
      <c r="J398" s="106" t="n">
        <v>7155.6</v>
      </c>
      <c r="K398" s="106" t="n">
        <v>5789.5</v>
      </c>
      <c r="L398" s="106" t="n">
        <v>194.7</v>
      </c>
      <c r="M398" s="107" t="n">
        <v>243</v>
      </c>
      <c r="N398" s="108" t="n">
        <f aca="false" ca="false" dt2D="false" dtr="false" t="normal">SUM(P398:T398)</f>
        <v>7614332.9399999995</v>
      </c>
      <c r="O398" s="106" t="n"/>
      <c r="P398" s="114" t="n"/>
      <c r="Q398" s="114" t="n"/>
      <c r="R398" s="114" t="n">
        <v>2710502.18</v>
      </c>
      <c r="S398" s="114" t="n">
        <v>4903830.76</v>
      </c>
      <c r="T398" s="114" t="n"/>
      <c r="U398" s="114" t="n">
        <v>3248.37212020894</v>
      </c>
      <c r="V398" s="114" t="n">
        <v>1235.283020064</v>
      </c>
      <c r="W398" s="110" t="n">
        <v>2023</v>
      </c>
      <c r="X398" s="9" t="e">
        <f aca="false" ca="false" dt2D="false" dtr="false" t="normal">+#REF!-'[9]Приложение №1'!$P799</f>
        <v>#REF!</v>
      </c>
      <c r="Z398" s="113" t="n">
        <f aca="false" ca="false" dt2D="false" dtr="false" t="normal">SUM(AA398:AO398)</f>
        <v>41277450.38367226</v>
      </c>
      <c r="AA398" s="106" t="n">
        <v>11858561.0386538</v>
      </c>
      <c r="AB398" s="106" t="n">
        <v>0</v>
      </c>
      <c r="AC398" s="106" t="n">
        <v>0</v>
      </c>
      <c r="AD398" s="106" t="n">
        <v>4785667.37036476</v>
      </c>
      <c r="AE398" s="106" t="n">
        <v>0</v>
      </c>
      <c r="AF398" s="106" t="n"/>
      <c r="AG398" s="106" t="n">
        <v>0</v>
      </c>
      <c r="AH398" s="106" t="n">
        <v>0</v>
      </c>
      <c r="AI398" s="106" t="n">
        <v>19618197.9194476</v>
      </c>
      <c r="AJ398" s="106" t="n">
        <v>0</v>
      </c>
      <c r="AK398" s="106" t="n">
        <v>0</v>
      </c>
      <c r="AL398" s="106" t="n">
        <v>0</v>
      </c>
      <c r="AM398" s="106" t="n">
        <v>3809263.7313927</v>
      </c>
      <c r="AN398" s="114" t="n">
        <v>412774.503836723</v>
      </c>
      <c r="AO398" s="115" t="n">
        <v>792985.819976677</v>
      </c>
      <c r="AP398" s="112" t="n">
        <f aca="false" ca="false" dt2D="false" dtr="false" t="normal">+N398-'Приложение №2'!E398</f>
        <v>0</v>
      </c>
      <c r="AQ398" s="121" t="n">
        <f aca="false" ca="false" dt2D="false" dtr="false" t="normal">3643194.21-R51</f>
        <v>2456189.57062592</v>
      </c>
      <c r="AR398" s="3" t="n">
        <f aca="false" ca="false" dt2D="false" dtr="false" t="normal">+(K398*10.5+L398*21)*12*0.85</f>
        <v>661760.19</v>
      </c>
      <c r="AS398" s="3" t="n">
        <f aca="false" ca="false" dt2D="false" dtr="false" t="normal">+(K398*10.5+L398*21)*12*30-S51</f>
        <v>16883749.089374077</v>
      </c>
      <c r="AT398" s="9" t="n">
        <f aca="false" ca="false" dt2D="false" dtr="false" t="normal">+S398-AS398</f>
        <v>-11979918.329374077</v>
      </c>
      <c r="AU398" s="9" t="e">
        <f aca="false" ca="false" dt2D="false" dtr="false" t="normal">+P398-'[5]Приложение №1'!$P347</f>
        <v>#REF!</v>
      </c>
      <c r="AV398" s="9" t="e">
        <f aca="false" ca="false" dt2D="false" dtr="false" t="normal">+Q398-'[5]Приложение №1'!$Q347</f>
        <v>#REF!</v>
      </c>
      <c r="AW398" s="186" t="n">
        <f aca="false" ca="true" dt2D="false" dtr="false" t="normal">SUBTOTAL(9, AX398:BL398)</f>
        <v>18806450.38994966</v>
      </c>
      <c r="AX398" s="106" t="n"/>
      <c r="AY398" s="106" t="n">
        <v>0</v>
      </c>
      <c r="AZ398" s="106" t="n">
        <v>0</v>
      </c>
      <c r="BA398" s="106" t="n">
        <v>5691095.75059166</v>
      </c>
      <c r="BB398" s="106" t="n">
        <v>0</v>
      </c>
      <c r="BC398" s="106" t="n"/>
      <c r="BD398" s="106" t="n"/>
      <c r="BE398" s="106" t="n">
        <v>0</v>
      </c>
      <c r="BF398" s="106" t="n"/>
      <c r="BG398" s="106" t="n">
        <v>12028791.937781</v>
      </c>
      <c r="BH398" s="106" t="n">
        <v>0</v>
      </c>
      <c r="BI398" s="106" t="n">
        <v>0</v>
      </c>
      <c r="BJ398" s="106" t="n"/>
      <c r="BK398" s="114" t="n"/>
      <c r="BL398" s="115" t="n">
        <v>1086562.701577</v>
      </c>
      <c r="BM398" s="186" t="n">
        <f aca="false" ca="true" dt2D="false" dtr="false" t="normal">SUBTOTAL(9, BN398:CB398)</f>
        <v>18806450.38994966</v>
      </c>
      <c r="BN398" s="106" t="n"/>
      <c r="BO398" s="106" t="n">
        <v>0</v>
      </c>
      <c r="BP398" s="106" t="n">
        <v>0</v>
      </c>
      <c r="BQ398" s="106" t="n">
        <v>5691095.75059166</v>
      </c>
      <c r="BR398" s="106" t="n">
        <v>0</v>
      </c>
      <c r="BS398" s="106" t="n"/>
      <c r="BT398" s="106" t="n"/>
      <c r="BU398" s="106" t="n">
        <v>0</v>
      </c>
      <c r="BV398" s="106" t="n"/>
      <c r="BW398" s="106" t="n">
        <v>12028791.937781</v>
      </c>
      <c r="BX398" s="106" t="n">
        <v>0</v>
      </c>
      <c r="BY398" s="106" t="n">
        <v>0</v>
      </c>
      <c r="BZ398" s="106" t="n"/>
      <c r="CA398" s="114" t="n"/>
      <c r="CB398" s="115" t="n">
        <v>1086562.701577</v>
      </c>
      <c r="CD398" s="116" t="n">
        <f aca="false" ca="false" dt2D="false" dtr="false" t="normal">+CD397+1</f>
        <v>378</v>
      </c>
      <c r="CE398" s="117" t="s">
        <v>463</v>
      </c>
      <c r="CF398" s="104" t="s">
        <v>78</v>
      </c>
      <c r="CG398" s="104" t="s">
        <v>315</v>
      </c>
      <c r="CH398" s="188" t="n">
        <f aca="false" ca="true" dt2D="false" dtr="false" t="normal">SUBTOTAL(9, CI398:CW398)</f>
        <v>8700895.641577</v>
      </c>
      <c r="CI398" s="114" t="n">
        <v>7614332.94</v>
      </c>
      <c r="CJ398" s="114" t="n">
        <v>0</v>
      </c>
      <c r="CK398" s="114" t="n">
        <v>0</v>
      </c>
      <c r="CL398" s="114" t="n"/>
      <c r="CM398" s="114" t="n">
        <v>0</v>
      </c>
      <c r="CN398" s="114" t="n"/>
      <c r="CO398" s="114" t="n"/>
      <c r="CP398" s="114" t="n">
        <v>0</v>
      </c>
      <c r="CQ398" s="114" t="n"/>
      <c r="CR398" s="114" t="n"/>
      <c r="CS398" s="114" t="n">
        <v>0</v>
      </c>
      <c r="CT398" s="114" t="n">
        <v>0</v>
      </c>
      <c r="CU398" s="114" t="n"/>
      <c r="CV398" s="114" t="n"/>
      <c r="CW398" s="115" t="n">
        <v>1086562.701577</v>
      </c>
      <c r="CZ398" s="104" t="s">
        <v>315</v>
      </c>
      <c r="DA398" s="189" t="n">
        <f aca="false" ca="true" dt2D="false" dtr="false" t="normal">SUBTOTAL(9, DB398:DP398)</f>
        <v>7614332.94</v>
      </c>
      <c r="DB398" s="114" t="n">
        <v>7614332.94</v>
      </c>
      <c r="DC398" s="114" t="n">
        <v>0</v>
      </c>
      <c r="DD398" s="114" t="n">
        <v>0</v>
      </c>
      <c r="DE398" s="114" t="n"/>
      <c r="DF398" s="114" t="n">
        <v>0</v>
      </c>
      <c r="DG398" s="114" t="n"/>
      <c r="DH398" s="114" t="n"/>
      <c r="DI398" s="114" t="n">
        <v>0</v>
      </c>
      <c r="DJ398" s="114" t="n"/>
      <c r="DK398" s="114" t="n"/>
      <c r="DL398" s="114" t="n">
        <v>0</v>
      </c>
      <c r="DM398" s="114" t="n">
        <v>0</v>
      </c>
      <c r="DN398" s="114" t="n"/>
      <c r="DO398" s="114" t="n"/>
      <c r="DP398" s="122" t="n"/>
      <c r="DQ398" s="3" t="n">
        <f aca="false" ca="false" dt2D="false" dtr="false" t="normal">N398-DA398</f>
        <v>0</v>
      </c>
      <c r="DS398" s="9" t="n"/>
    </row>
    <row hidden="false" ht="15" outlineLevel="0" r="399">
      <c r="A399" s="183" t="n">
        <f aca="false" ca="false" dt2D="false" dtr="false" t="normal">+A398+1</f>
        <v>379</v>
      </c>
      <c r="B399" s="117" t="n">
        <v>189</v>
      </c>
      <c r="C399" s="104" t="s">
        <v>78</v>
      </c>
      <c r="D399" s="104" t="s">
        <v>477</v>
      </c>
      <c r="E399" s="105" t="n">
        <v>1993</v>
      </c>
      <c r="F399" s="105" t="n">
        <v>2017</v>
      </c>
      <c r="G399" s="105" t="s">
        <v>68</v>
      </c>
      <c r="H399" s="105" t="n">
        <v>9</v>
      </c>
      <c r="I399" s="105" t="n">
        <v>2</v>
      </c>
      <c r="J399" s="106" t="n">
        <v>6530.5</v>
      </c>
      <c r="K399" s="106" t="n">
        <v>5640.1</v>
      </c>
      <c r="L399" s="106" t="n">
        <v>180</v>
      </c>
      <c r="M399" s="107" t="n">
        <v>226</v>
      </c>
      <c r="N399" s="108" t="n">
        <f aca="false" ca="false" dt2D="false" dtr="false" t="normal">SUM(P399:T399)</f>
        <v>21876387</v>
      </c>
      <c r="O399" s="106" t="n"/>
      <c r="P399" s="114" t="n"/>
      <c r="Q399" s="114" t="n"/>
      <c r="R399" s="114" t="n">
        <v>5156055.449</v>
      </c>
      <c r="S399" s="114" t="n">
        <v>16720331.551</v>
      </c>
      <c r="T399" s="190" t="n"/>
      <c r="U399" s="114" t="n">
        <v>7036.01518397128</v>
      </c>
      <c r="V399" s="114" t="n">
        <v>1237.283020064</v>
      </c>
      <c r="W399" s="110" t="n">
        <v>2023</v>
      </c>
      <c r="X399" s="9" t="e">
        <f aca="false" ca="false" dt2D="false" dtr="false" t="normal">+#REF!-'[9]Приложение №1'!$P975</f>
        <v>#REF!</v>
      </c>
      <c r="Z399" s="113" t="n">
        <f aca="false" ca="false" dt2D="false" dtr="false" t="normal">SUM(AA399:AO399)</f>
        <v>39857867.97911639</v>
      </c>
      <c r="AA399" s="106" t="n">
        <v>0</v>
      </c>
      <c r="AB399" s="106" t="n">
        <v>0</v>
      </c>
      <c r="AC399" s="106" t="n">
        <v>0</v>
      </c>
      <c r="AD399" s="106" t="n">
        <v>0</v>
      </c>
      <c r="AE399" s="106" t="n">
        <v>0</v>
      </c>
      <c r="AF399" s="106" t="n"/>
      <c r="AG399" s="106" t="n">
        <v>0</v>
      </c>
      <c r="AH399" s="106" t="n">
        <v>0</v>
      </c>
      <c r="AI399" s="106" t="n">
        <v>0</v>
      </c>
      <c r="AJ399" s="106" t="n">
        <v>0</v>
      </c>
      <c r="AK399" s="106" t="n">
        <v>38834595.2933993</v>
      </c>
      <c r="AL399" s="106" t="n">
        <v>0</v>
      </c>
      <c r="AM399" s="106" t="n">
        <v>150038.74</v>
      </c>
      <c r="AN399" s="106" t="n">
        <v>24000</v>
      </c>
      <c r="AO399" s="115" t="n">
        <v>849233.945717092</v>
      </c>
      <c r="AP399" s="112" t="n">
        <f aca="false" ca="false" dt2D="false" dtr="false" t="normal">+N399-'Приложение №2'!E399</f>
        <v>0</v>
      </c>
      <c r="AQ399" s="121" t="n">
        <v>4310104.22</v>
      </c>
      <c r="AR399" s="3" t="n">
        <f aca="false" ca="false" dt2D="false" dtr="false" t="normal">+(K399*13.95+L399*23.65)*12*0.85</f>
        <v>845951.2289999999</v>
      </c>
      <c r="AS399" s="3" t="n">
        <f aca="false" ca="false" dt2D="false" dtr="false" t="normal">+(K399*13.95+L399*23.65)*12*30</f>
        <v>29857102.2</v>
      </c>
      <c r="AT399" s="9" t="n">
        <f aca="false" ca="false" dt2D="false" dtr="false" t="normal">+S399-AS399</f>
        <v>-13136770.648999998</v>
      </c>
      <c r="AU399" s="9" t="e">
        <f aca="false" ca="false" dt2D="false" dtr="false" t="normal">+P399-'[5]Приложение №1'!$P521</f>
        <v>#REF!</v>
      </c>
      <c r="AV399" s="9" t="e">
        <f aca="false" ca="false" dt2D="false" dtr="false" t="normal">+Q399-'[5]Приложение №1'!$Q521</f>
        <v>#REF!</v>
      </c>
      <c r="AW399" s="186" t="n">
        <f aca="false" ca="true" dt2D="false" dtr="false" t="normal">SUBTOTAL(9, AX399:BL399)</f>
        <v>39683829.239116386</v>
      </c>
      <c r="AX399" s="106" t="n">
        <v>0</v>
      </c>
      <c r="AY399" s="106" t="n">
        <v>0</v>
      </c>
      <c r="AZ399" s="106" t="n">
        <v>0</v>
      </c>
      <c r="BA399" s="106" t="n">
        <v>0</v>
      </c>
      <c r="BB399" s="106" t="n">
        <v>0</v>
      </c>
      <c r="BC399" s="106" t="n"/>
      <c r="BD399" s="106" t="n"/>
      <c r="BE399" s="106" t="n">
        <v>0</v>
      </c>
      <c r="BF399" s="106" t="n">
        <v>0</v>
      </c>
      <c r="BG399" s="106" t="n">
        <v>0</v>
      </c>
      <c r="BH399" s="106" t="n">
        <v>38834595.2933993</v>
      </c>
      <c r="BI399" s="106" t="n">
        <v>0</v>
      </c>
      <c r="BJ399" s="106" t="n"/>
      <c r="BK399" s="106" t="n"/>
      <c r="BL399" s="187" t="n">
        <v>849233.945717092</v>
      </c>
      <c r="BM399" s="186" t="n">
        <f aca="false" ca="true" dt2D="false" dtr="false" t="normal">SUBTOTAL(9, BN399:CB399)</f>
        <v>39683829.239116386</v>
      </c>
      <c r="BN399" s="106" t="n">
        <v>0</v>
      </c>
      <c r="BO399" s="106" t="n">
        <v>0</v>
      </c>
      <c r="BP399" s="106" t="n">
        <v>0</v>
      </c>
      <c r="BQ399" s="106" t="n">
        <v>0</v>
      </c>
      <c r="BR399" s="106" t="n">
        <v>0</v>
      </c>
      <c r="BS399" s="106" t="n"/>
      <c r="BT399" s="106" t="n"/>
      <c r="BU399" s="106" t="n">
        <v>0</v>
      </c>
      <c r="BV399" s="106" t="n">
        <v>0</v>
      </c>
      <c r="BW399" s="106" t="n">
        <v>0</v>
      </c>
      <c r="BX399" s="106" t="n">
        <v>38834595.2933993</v>
      </c>
      <c r="BY399" s="106" t="n">
        <v>0</v>
      </c>
      <c r="BZ399" s="106" t="n"/>
      <c r="CA399" s="106" t="n"/>
      <c r="CB399" s="115" t="n">
        <v>849233.945717092</v>
      </c>
      <c r="CD399" s="116" t="n">
        <f aca="false" ca="false" dt2D="false" dtr="false" t="normal">+CD398+1</f>
        <v>379</v>
      </c>
      <c r="CE399" s="117" t="n">
        <v>189</v>
      </c>
      <c r="CF399" s="104" t="s">
        <v>78</v>
      </c>
      <c r="CG399" s="117" t="s">
        <v>477</v>
      </c>
      <c r="CH399" s="188" t="n">
        <f aca="false" ca="true" dt2D="false" dtr="false" t="normal">SUBTOTAL(9, CI399:CW399)</f>
        <v>22725620.945717093</v>
      </c>
      <c r="CI399" s="114" t="n">
        <v>0</v>
      </c>
      <c r="CJ399" s="114" t="n">
        <v>0</v>
      </c>
      <c r="CK399" s="114" t="n">
        <v>0</v>
      </c>
      <c r="CL399" s="114" t="n">
        <v>0</v>
      </c>
      <c r="CM399" s="114" t="n">
        <v>0</v>
      </c>
      <c r="CN399" s="114" t="n"/>
      <c r="CO399" s="114" t="n"/>
      <c r="CP399" s="114" t="n">
        <v>0</v>
      </c>
      <c r="CQ399" s="114" t="n">
        <v>0</v>
      </c>
      <c r="CR399" s="114" t="n">
        <v>0</v>
      </c>
      <c r="CS399" s="114" t="n">
        <v>21876387</v>
      </c>
      <c r="CT399" s="114" t="n">
        <v>0</v>
      </c>
      <c r="CU399" s="114" t="n"/>
      <c r="CV399" s="114" t="n"/>
      <c r="CW399" s="115" t="n">
        <v>849233.945717092</v>
      </c>
      <c r="CZ399" s="117" t="s">
        <v>477</v>
      </c>
      <c r="DA399" s="189" t="n">
        <f aca="false" ca="true" dt2D="false" dtr="false" t="normal">SUBTOTAL(9, DB399:DP399)</f>
        <v>21876387</v>
      </c>
      <c r="DB399" s="114" t="n">
        <v>0</v>
      </c>
      <c r="DC399" s="114" t="n">
        <v>0</v>
      </c>
      <c r="DD399" s="114" t="n">
        <v>0</v>
      </c>
      <c r="DE399" s="114" t="n">
        <v>0</v>
      </c>
      <c r="DF399" s="114" t="n">
        <v>0</v>
      </c>
      <c r="DG399" s="114" t="n"/>
      <c r="DH399" s="114" t="n"/>
      <c r="DI399" s="114" t="n">
        <v>0</v>
      </c>
      <c r="DJ399" s="114" t="n">
        <v>0</v>
      </c>
      <c r="DK399" s="114" t="n">
        <v>0</v>
      </c>
      <c r="DL399" s="114" t="n">
        <v>21876387</v>
      </c>
      <c r="DM399" s="114" t="n">
        <v>0</v>
      </c>
      <c r="DN399" s="114" t="n"/>
      <c r="DO399" s="114" t="n"/>
      <c r="DP399" s="122" t="n"/>
      <c r="DQ399" s="3" t="n">
        <f aca="false" ca="false" dt2D="false" dtr="false" t="normal">N399-DA399</f>
        <v>0</v>
      </c>
      <c r="DS399" s="9" t="n"/>
    </row>
    <row hidden="false" ht="15" outlineLevel="0" r="400">
      <c r="A400" s="183" t="n">
        <f aca="false" ca="false" dt2D="false" dtr="false" t="normal">+A399+1</f>
        <v>380</v>
      </c>
      <c r="B400" s="117" t="s">
        <v>463</v>
      </c>
      <c r="C400" s="104" t="s">
        <v>78</v>
      </c>
      <c r="D400" s="104" t="s">
        <v>322</v>
      </c>
      <c r="E400" s="105" t="n">
        <v>1991</v>
      </c>
      <c r="F400" s="105" t="n">
        <v>2017</v>
      </c>
      <c r="G400" s="105" t="s">
        <v>68</v>
      </c>
      <c r="H400" s="105" t="n">
        <v>9</v>
      </c>
      <c r="I400" s="105" t="n">
        <v>1</v>
      </c>
      <c r="J400" s="106" t="n">
        <v>3271</v>
      </c>
      <c r="K400" s="106" t="n">
        <v>2814.6</v>
      </c>
      <c r="L400" s="106" t="n">
        <v>0</v>
      </c>
      <c r="M400" s="107" t="n">
        <v>93</v>
      </c>
      <c r="N400" s="108" t="n">
        <f aca="false" ca="false" dt2D="false" dtr="false" t="normal">SUM(P400:T400)</f>
        <v>2107839.74</v>
      </c>
      <c r="O400" s="106" t="n"/>
      <c r="P400" s="114" t="n"/>
      <c r="Q400" s="114" t="n"/>
      <c r="R400" s="114" t="n">
        <v>1120876</v>
      </c>
      <c r="S400" s="114" t="n">
        <v>986963.74</v>
      </c>
      <c r="T400" s="114" t="n"/>
      <c r="U400" s="114" t="n">
        <v>3490.9418391756</v>
      </c>
      <c r="V400" s="114" t="n">
        <v>1243.283020064</v>
      </c>
      <c r="W400" s="110" t="n">
        <v>2023</v>
      </c>
      <c r="X400" s="9" t="e">
        <f aca="false" ca="false" dt2D="false" dtr="false" t="normal">+#REF!-'[9]Приложение №1'!$P1171</f>
        <v>#REF!</v>
      </c>
      <c r="Z400" s="113" t="n">
        <f aca="false" ca="false" dt2D="false" dtr="false" t="normal">SUM(AA400:AO400)</f>
        <v>12536948.214155668</v>
      </c>
      <c r="AA400" s="106" t="n">
        <v>6765674.31573131</v>
      </c>
      <c r="AB400" s="106" t="n">
        <v>2706914.9973932</v>
      </c>
      <c r="AC400" s="106" t="n">
        <v>0</v>
      </c>
      <c r="AD400" s="106" t="n">
        <v>1277658.235625</v>
      </c>
      <c r="AE400" s="106" t="n">
        <v>0</v>
      </c>
      <c r="AF400" s="106" t="n"/>
      <c r="AG400" s="106" t="n">
        <v>300589.466742777</v>
      </c>
      <c r="AH400" s="106" t="n">
        <v>0</v>
      </c>
      <c r="AI400" s="106" t="n">
        <v>0</v>
      </c>
      <c r="AJ400" s="106" t="n">
        <v>0</v>
      </c>
      <c r="AK400" s="106" t="n">
        <v>0</v>
      </c>
      <c r="AL400" s="106" t="n">
        <v>0</v>
      </c>
      <c r="AM400" s="106" t="n">
        <v>1119082.29272095</v>
      </c>
      <c r="AN400" s="114" t="n">
        <v>125369.482141557</v>
      </c>
      <c r="AO400" s="115" t="n">
        <v>241659.423800874</v>
      </c>
      <c r="AP400" s="112" t="n">
        <f aca="false" ca="false" dt2D="false" dtr="false" t="normal">+N400-'Приложение №2'!E400</f>
        <v>0</v>
      </c>
      <c r="AQ400" s="121" t="n">
        <v>2237132.42</v>
      </c>
      <c r="AR400" s="3" t="n">
        <f aca="false" ca="false" dt2D="false" dtr="false" t="normal">+(K400*13.95+L400*23.65)*12*0.85</f>
        <v>400489.43399999995</v>
      </c>
      <c r="AS400" s="3" t="n">
        <f aca="false" ca="false" dt2D="false" dtr="false" t="normal">+(K400*13.95+L400*23.65)*12*30</f>
        <v>14134921.2</v>
      </c>
      <c r="AT400" s="9" t="n">
        <f aca="false" ca="false" dt2D="false" dtr="false" t="normal">+S400-AS400</f>
        <v>-13147957.459999999</v>
      </c>
      <c r="AU400" s="9" t="e">
        <f aca="false" ca="false" dt2D="false" dtr="false" t="normal">+P400-'[5]Приложение №1'!$P717</f>
        <v>#REF!</v>
      </c>
      <c r="AV400" s="9" t="e">
        <f aca="false" ca="false" dt2D="false" dtr="false" t="normal">+Q400-'[5]Приложение №1'!$Q717</f>
        <v>#REF!</v>
      </c>
      <c r="AW400" s="186" t="n">
        <f aca="false" ca="true" dt2D="false" dtr="false" t="normal">SUBTOTAL(9, AX400:BL400)</f>
        <v>9825604.90054365</v>
      </c>
      <c r="AX400" s="106" t="n">
        <v>4922338.54</v>
      </c>
      <c r="AY400" s="106" t="n">
        <v>2955743</v>
      </c>
      <c r="AZ400" s="106" t="n">
        <v>0</v>
      </c>
      <c r="BA400" s="106" t="n">
        <v>1405274.47</v>
      </c>
      <c r="BB400" s="106" t="n">
        <v>0</v>
      </c>
      <c r="BC400" s="106" t="n"/>
      <c r="BD400" s="106" t="n">
        <v>300589.466742777</v>
      </c>
      <c r="BE400" s="106" t="n">
        <v>0</v>
      </c>
      <c r="BF400" s="106" t="n">
        <v>0</v>
      </c>
      <c r="BG400" s="106" t="n">
        <v>0</v>
      </c>
      <c r="BH400" s="106" t="n">
        <v>0</v>
      </c>
      <c r="BI400" s="106" t="n">
        <v>0</v>
      </c>
      <c r="BJ400" s="106" t="n"/>
      <c r="BK400" s="114" t="n"/>
      <c r="BL400" s="187" t="n">
        <v>241659.423800874</v>
      </c>
      <c r="BM400" s="186" t="n">
        <f aca="false" ca="true" dt2D="false" dtr="false" t="normal">SUBTOTAL(9, BN400:CB400)</f>
        <v>9478497.200543651</v>
      </c>
      <c r="BN400" s="106" t="n">
        <v>4922338.54</v>
      </c>
      <c r="BO400" s="106" t="n">
        <v>2639754.41</v>
      </c>
      <c r="BP400" s="106" t="n">
        <v>0</v>
      </c>
      <c r="BQ400" s="106" t="n">
        <v>1374155.36</v>
      </c>
      <c r="BR400" s="106" t="n">
        <v>0</v>
      </c>
      <c r="BS400" s="106" t="n"/>
      <c r="BT400" s="106" t="n">
        <v>300589.466742777</v>
      </c>
      <c r="BU400" s="106" t="n">
        <v>0</v>
      </c>
      <c r="BV400" s="106" t="n">
        <v>0</v>
      </c>
      <c r="BW400" s="106" t="n">
        <v>0</v>
      </c>
      <c r="BX400" s="106" t="n">
        <v>0</v>
      </c>
      <c r="BY400" s="106" t="n">
        <v>0</v>
      </c>
      <c r="BZ400" s="106" t="n"/>
      <c r="CA400" s="114" t="n"/>
      <c r="CB400" s="115" t="n">
        <v>241659.423800874</v>
      </c>
      <c r="CD400" s="116" t="n">
        <f aca="false" ca="false" dt2D="false" dtr="false" t="normal">+CD399+1</f>
        <v>380</v>
      </c>
      <c r="CE400" s="117" t="s">
        <v>463</v>
      </c>
      <c r="CF400" s="104" t="s">
        <v>78</v>
      </c>
      <c r="CG400" s="117" t="s">
        <v>322</v>
      </c>
      <c r="CH400" s="188" t="n">
        <f aca="false" ca="true" dt2D="false" dtr="false" t="normal">SUBTOTAL(9, CI400:CW400)</f>
        <v>2349499.1638008743</v>
      </c>
      <c r="CI400" s="114" t="n">
        <v>2107839.74</v>
      </c>
      <c r="CJ400" s="114" t="n"/>
      <c r="CK400" s="114" t="n">
        <v>0</v>
      </c>
      <c r="CL400" s="114" t="n"/>
      <c r="CM400" s="114" t="n">
        <v>0</v>
      </c>
      <c r="CN400" s="114" t="n"/>
      <c r="CO400" s="114" t="n"/>
      <c r="CP400" s="114" t="n">
        <v>0</v>
      </c>
      <c r="CQ400" s="114" t="n">
        <v>0</v>
      </c>
      <c r="CR400" s="114" t="n">
        <v>0</v>
      </c>
      <c r="CS400" s="114" t="n">
        <v>0</v>
      </c>
      <c r="CT400" s="114" t="n">
        <v>0</v>
      </c>
      <c r="CU400" s="114" t="n"/>
      <c r="CV400" s="114" t="n"/>
      <c r="CW400" s="115" t="n">
        <v>241659.423800874</v>
      </c>
      <c r="CZ400" s="117" t="s">
        <v>322</v>
      </c>
      <c r="DA400" s="189" t="n">
        <f aca="false" ca="true" dt2D="false" dtr="false" t="normal">SUBTOTAL(9, DB400:DP400)</f>
        <v>2107839.74</v>
      </c>
      <c r="DB400" s="114" t="n">
        <v>2107839.74</v>
      </c>
      <c r="DC400" s="114" t="n"/>
      <c r="DD400" s="114" t="n">
        <v>0</v>
      </c>
      <c r="DE400" s="114" t="n"/>
      <c r="DF400" s="114" t="n">
        <v>0</v>
      </c>
      <c r="DG400" s="114" t="n"/>
      <c r="DH400" s="114" t="n"/>
      <c r="DI400" s="114" t="n">
        <v>0</v>
      </c>
      <c r="DJ400" s="114" t="n">
        <v>0</v>
      </c>
      <c r="DK400" s="114" t="n">
        <v>0</v>
      </c>
      <c r="DL400" s="114" t="n">
        <v>0</v>
      </c>
      <c r="DM400" s="114" t="n">
        <v>0</v>
      </c>
      <c r="DN400" s="114" t="n"/>
      <c r="DO400" s="114" t="n"/>
      <c r="DP400" s="122" t="n"/>
      <c r="DQ400" s="3" t="n">
        <f aca="false" ca="false" dt2D="false" dtr="false" t="normal">N400-DA400</f>
        <v>0</v>
      </c>
      <c r="DS400" s="9" t="n"/>
    </row>
    <row customFormat="true" hidden="false" ht="15" outlineLevel="0" r="401" s="129">
      <c r="A401" s="183" t="n">
        <f aca="false" ca="false" dt2D="false" dtr="false" t="normal">+A400+1</f>
        <v>381</v>
      </c>
      <c r="B401" s="117" t="n">
        <v>190</v>
      </c>
      <c r="C401" s="104" t="s">
        <v>78</v>
      </c>
      <c r="D401" s="104" t="s">
        <v>478</v>
      </c>
      <c r="E401" s="105" t="s">
        <v>267</v>
      </c>
      <c r="F401" s="105" t="n"/>
      <c r="G401" s="105" t="s">
        <v>68</v>
      </c>
      <c r="H401" s="105" t="s">
        <v>126</v>
      </c>
      <c r="I401" s="105" t="s">
        <v>232</v>
      </c>
      <c r="J401" s="106" t="n">
        <v>3182.4</v>
      </c>
      <c r="K401" s="106" t="n">
        <v>2718.2</v>
      </c>
      <c r="L401" s="106" t="n">
        <v>0</v>
      </c>
      <c r="M401" s="107" t="n">
        <v>99</v>
      </c>
      <c r="N401" s="108" t="n">
        <f aca="false" ca="false" dt2D="false" dtr="false" t="normal">SUM(P401:T401)</f>
        <v>2097595.92</v>
      </c>
      <c r="O401" s="106" t="n">
        <v>0</v>
      </c>
      <c r="P401" s="114" t="n"/>
      <c r="Q401" s="114" t="n">
        <v>0</v>
      </c>
      <c r="R401" s="114" t="n">
        <v>771389.31</v>
      </c>
      <c r="S401" s="114" t="n">
        <v>1326206.61</v>
      </c>
      <c r="T401" s="114" t="n"/>
      <c r="U401" s="106" t="n">
        <v>4870.98769327849</v>
      </c>
      <c r="V401" s="106" t="n">
        <v>4870.98769327849</v>
      </c>
      <c r="W401" s="110" t="n">
        <v>2023</v>
      </c>
      <c r="X401" s="129" t="n">
        <v>1300878.49</v>
      </c>
      <c r="Y401" s="129" t="n">
        <f aca="false" ca="false" dt2D="false" dtr="false" t="normal">+(K401*12.08+L401*20.47)*12</f>
        <v>394030.272</v>
      </c>
      <c r="AA401" s="130" t="e">
        <f aca="false" ca="false" dt2D="false" dtr="false" t="normal">+N401-#REF!</f>
        <v>#REF!</v>
      </c>
      <c r="AD401" s="130" t="e">
        <f aca="false" ca="false" dt2D="false" dtr="false" t="normal">+N401-#REF!</f>
        <v>#REF!</v>
      </c>
      <c r="AP401" s="112" t="n">
        <f aca="false" ca="false" dt2D="false" dtr="false" t="normal">+N401-'Приложение №2'!E232</f>
        <v>-2678952.96</v>
      </c>
      <c r="AQ401" s="129" t="n">
        <v>1686354.74</v>
      </c>
      <c r="AR401" s="3" t="n">
        <f aca="false" ca="false" dt2D="false" dtr="false" t="normal">+(K401*13.29+L401*22.52)*12*0.85</f>
        <v>368473.7556</v>
      </c>
      <c r="AS401" s="3" t="n">
        <f aca="false" ca="false" dt2D="false" dtr="false" t="normal">+(K401*13.29+L401*22.52)*12*30</f>
        <v>13004956.079999998</v>
      </c>
      <c r="AT401" s="9" t="n">
        <f aca="false" ca="false" dt2D="false" dtr="false" t="normal">+S401-AS401</f>
        <v>-11678749.469999999</v>
      </c>
      <c r="AU401" s="9" t="e">
        <f aca="false" ca="false" dt2D="false" dtr="false" t="normal">+P401-#REF!</f>
        <v>#REF!</v>
      </c>
      <c r="AV401" s="9" t="e">
        <f aca="false" ca="false" dt2D="false" dtr="false" t="normal">+Q401-#REF!</f>
        <v>#REF!</v>
      </c>
      <c r="AW401" s="113" t="n">
        <f aca="false" ca="true" dt2D="false" dtr="false" t="normal">SUBTOTAL(9, AX401:BL401)</f>
        <v>13240318.7478696</v>
      </c>
      <c r="AX401" s="106" t="n">
        <v>8101220.32634613</v>
      </c>
      <c r="AY401" s="106" t="n">
        <v>0</v>
      </c>
      <c r="AZ401" s="106" t="n">
        <v>2455002.51496745</v>
      </c>
      <c r="BA401" s="106" t="n">
        <v>1423274.54159961</v>
      </c>
      <c r="BB401" s="106" t="n"/>
      <c r="BC401" s="106" t="n"/>
      <c r="BD401" s="106" t="n">
        <v>295198.034328078</v>
      </c>
      <c r="BE401" s="106" t="n"/>
      <c r="BF401" s="106" t="n"/>
      <c r="BG401" s="106" t="n"/>
      <c r="BH401" s="106" t="n"/>
      <c r="BI401" s="106" t="n"/>
      <c r="BJ401" s="106" t="n">
        <v>696095.606906596</v>
      </c>
      <c r="BK401" s="114" t="n"/>
      <c r="BL401" s="115" t="n">
        <v>269527.723721733</v>
      </c>
      <c r="BM401" s="113" t="n">
        <f aca="false" ca="true" dt2D="false" dtr="false" t="normal">SUBTOTAL(9, BN401:CB401)</f>
        <v>13240318.7478696</v>
      </c>
      <c r="BN401" s="106" t="n">
        <v>8101220.32634613</v>
      </c>
      <c r="BO401" s="106" t="n">
        <v>0</v>
      </c>
      <c r="BP401" s="106" t="n">
        <v>2455002.51496745</v>
      </c>
      <c r="BQ401" s="106" t="n">
        <v>1423274.54159961</v>
      </c>
      <c r="BR401" s="106" t="n"/>
      <c r="BS401" s="106" t="n"/>
      <c r="BT401" s="106" t="n">
        <v>295198.034328078</v>
      </c>
      <c r="BU401" s="106" t="n"/>
      <c r="BV401" s="106" t="n"/>
      <c r="BW401" s="106" t="n"/>
      <c r="BX401" s="106" t="n"/>
      <c r="BY401" s="106" t="n"/>
      <c r="BZ401" s="106" t="n">
        <v>696095.606906596</v>
      </c>
      <c r="CA401" s="114" t="n"/>
      <c r="CB401" s="115" t="n">
        <v>269527.723721733</v>
      </c>
      <c r="CD401" s="116" t="n">
        <f aca="false" ca="false" dt2D="false" dtr="false" t="normal">+CD400+1</f>
        <v>381</v>
      </c>
      <c r="CE401" s="117" t="n">
        <v>190</v>
      </c>
      <c r="CF401" s="104" t="s">
        <v>78</v>
      </c>
      <c r="CG401" s="104" t="s">
        <v>478</v>
      </c>
      <c r="CH401" s="118" t="n">
        <f aca="false" ca="true" dt2D="false" dtr="false" t="normal">SUBTOTAL(9, CI401:CW401)</f>
        <v>2367123.643721733</v>
      </c>
      <c r="CI401" s="106" t="n"/>
      <c r="CJ401" s="114" t="n">
        <v>0</v>
      </c>
      <c r="CK401" s="114" t="n">
        <v>1240683.24</v>
      </c>
      <c r="CL401" s="114" t="n">
        <v>452701.66</v>
      </c>
      <c r="CM401" s="114" t="n"/>
      <c r="CN401" s="114" t="n"/>
      <c r="CO401" s="114" t="n"/>
      <c r="CP401" s="114" t="n"/>
      <c r="CQ401" s="114" t="n"/>
      <c r="CR401" s="114" t="n"/>
      <c r="CS401" s="114" t="n"/>
      <c r="CT401" s="114" t="n"/>
      <c r="CU401" s="114" t="n">
        <v>388211.02</v>
      </c>
      <c r="CV401" s="114" t="n">
        <v>16000</v>
      </c>
      <c r="CW401" s="115" t="n">
        <v>269527.723721733</v>
      </c>
      <c r="CZ401" s="104" t="s">
        <v>478</v>
      </c>
      <c r="DA401" s="119" t="n">
        <f aca="false" ca="true" dt2D="false" dtr="false" t="normal">SUBTOTAL(9, DB401:DP401)</f>
        <v>2097595.92</v>
      </c>
      <c r="DB401" s="106" t="n"/>
      <c r="DC401" s="114" t="n">
        <v>0</v>
      </c>
      <c r="DD401" s="114" t="n">
        <v>1240683.24</v>
      </c>
      <c r="DE401" s="114" t="n">
        <v>452701.66</v>
      </c>
      <c r="DF401" s="114" t="n"/>
      <c r="DG401" s="114" t="n"/>
      <c r="DH401" s="114" t="n"/>
      <c r="DI401" s="114" t="n"/>
      <c r="DJ401" s="114" t="n"/>
      <c r="DK401" s="114" t="n"/>
      <c r="DL401" s="114" t="n"/>
      <c r="DM401" s="114" t="n"/>
      <c r="DN401" s="114" t="n">
        <v>388211.02</v>
      </c>
      <c r="DO401" s="114" t="n">
        <v>16000</v>
      </c>
      <c r="DP401" s="122" t="n"/>
      <c r="DQ401" s="3" t="n">
        <f aca="false" ca="false" dt2D="false" dtr="false" t="normal">N401-DA401</f>
        <v>0</v>
      </c>
      <c r="DS401" s="9" t="n"/>
    </row>
    <row hidden="false" ht="15" outlineLevel="0" r="402">
      <c r="A402" s="183" t="n">
        <f aca="false" ca="false" dt2D="false" dtr="false" t="normal">+A401+1</f>
        <v>382</v>
      </c>
      <c r="B402" s="117" t="n">
        <f aca="false" ca="false" dt2D="false" dtr="false" t="normal">+B401+1</f>
        <v>191</v>
      </c>
      <c r="C402" s="104" t="s">
        <v>111</v>
      </c>
      <c r="D402" s="104" t="s">
        <v>479</v>
      </c>
      <c r="E402" s="105" t="n">
        <v>1979</v>
      </c>
      <c r="F402" s="105" t="n">
        <v>2013</v>
      </c>
      <c r="G402" s="105" t="s">
        <v>68</v>
      </c>
      <c r="H402" s="105" t="n">
        <v>5</v>
      </c>
      <c r="I402" s="105" t="n">
        <v>4</v>
      </c>
      <c r="J402" s="106" t="n">
        <v>2793.1</v>
      </c>
      <c r="K402" s="106" t="n">
        <v>2468.5</v>
      </c>
      <c r="L402" s="106" t="n">
        <v>86.9</v>
      </c>
      <c r="M402" s="107" t="n">
        <v>97</v>
      </c>
      <c r="N402" s="108" t="n">
        <f aca="false" ca="false" dt2D="false" dtr="false" t="normal">SUM(P402:T402)</f>
        <v>1696026.8</v>
      </c>
      <c r="O402" s="106" t="n"/>
      <c r="P402" s="114" t="n"/>
      <c r="Q402" s="114" t="n"/>
      <c r="R402" s="114" t="n">
        <v>1302890.54</v>
      </c>
      <c r="S402" s="114" t="n">
        <v>393136.26</v>
      </c>
      <c r="T402" s="114" t="n"/>
      <c r="U402" s="106" t="n">
        <v>881.080120059482</v>
      </c>
      <c r="V402" s="106" t="n">
        <v>881.080120059482</v>
      </c>
      <c r="W402" s="110" t="n">
        <v>2023</v>
      </c>
      <c r="X402" s="9" t="e">
        <f aca="false" ca="false" dt2D="false" dtr="false" t="normal">+#REF!-'[9]Приложение №1'!$P617</f>
        <v>#REF!</v>
      </c>
      <c r="Z402" s="113" t="n">
        <f aca="false" ca="false" dt2D="false" dtr="false" t="normal">SUM(AA402:AO402)</f>
        <v>2529788.92</v>
      </c>
      <c r="AA402" s="106" t="n">
        <v>0</v>
      </c>
      <c r="AB402" s="106" t="n">
        <v>0</v>
      </c>
      <c r="AC402" s="106" t="n">
        <v>2203329.77902968</v>
      </c>
      <c r="AD402" s="106" t="n">
        <v>0</v>
      </c>
      <c r="AE402" s="106" t="n">
        <v>0</v>
      </c>
      <c r="AF402" s="106" t="n"/>
      <c r="AG402" s="106" t="n">
        <v>0</v>
      </c>
      <c r="AH402" s="106" t="n">
        <v>0</v>
      </c>
      <c r="AI402" s="106" t="n">
        <v>0</v>
      </c>
      <c r="AJ402" s="106" t="n">
        <v>0</v>
      </c>
      <c r="AK402" s="106" t="n">
        <v>0</v>
      </c>
      <c r="AL402" s="106" t="n">
        <v>0</v>
      </c>
      <c r="AM402" s="106" t="n">
        <v>252978.892</v>
      </c>
      <c r="AN402" s="114" t="n">
        <v>25297.8892</v>
      </c>
      <c r="AO402" s="115" t="n">
        <v>48182.35977032</v>
      </c>
      <c r="AP402" s="112" t="n">
        <f aca="false" ca="false" dt2D="false" dtr="false" t="normal">+N402-'Приложение №2'!E402</f>
        <v>0</v>
      </c>
      <c r="AQ402" s="1" t="n">
        <v>1033375.94</v>
      </c>
      <c r="AR402" s="3" t="n">
        <f aca="false" ca="false" dt2D="false" dtr="false" t="normal">+(K402*10+L402*20)*12*0.85</f>
        <v>269514.6</v>
      </c>
      <c r="AS402" s="3" t="n">
        <f aca="false" ca="false" dt2D="false" dtr="false" t="normal">+(K402*10+L402*20)*12*30</f>
        <v>9512280</v>
      </c>
      <c r="AT402" s="9" t="n">
        <f aca="false" ca="false" dt2D="false" dtr="false" t="normal">+S402-AS402</f>
        <v>-9119143.74</v>
      </c>
      <c r="AU402" s="9" t="e">
        <f aca="false" ca="false" dt2D="false" dtr="false" t="normal">+P402-'[5]Приложение №1'!$P258</f>
        <v>#REF!</v>
      </c>
      <c r="AV402" s="9" t="e">
        <f aca="false" ca="false" dt2D="false" dtr="false" t="normal">+Q402-'[5]Приложение №1'!$Q258</f>
        <v>#REF!</v>
      </c>
      <c r="AW402" s="113" t="n">
        <f aca="false" ca="true" dt2D="false" dtr="false" t="normal">SUBTOTAL(9, AX402:BL402)</f>
        <v>2251512.1388</v>
      </c>
      <c r="AX402" s="106" t="n">
        <v>0</v>
      </c>
      <c r="AY402" s="106" t="n">
        <v>0</v>
      </c>
      <c r="AZ402" s="106" t="n">
        <v>2203329.77902968</v>
      </c>
      <c r="BA402" s="106" t="n">
        <v>0</v>
      </c>
      <c r="BB402" s="106" t="n">
        <v>0</v>
      </c>
      <c r="BC402" s="106" t="n"/>
      <c r="BD402" s="106" t="n"/>
      <c r="BE402" s="106" t="n">
        <v>0</v>
      </c>
      <c r="BF402" s="106" t="n">
        <v>0</v>
      </c>
      <c r="BG402" s="106" t="n">
        <v>0</v>
      </c>
      <c r="BH402" s="106" t="n">
        <v>0</v>
      </c>
      <c r="BI402" s="106" t="n">
        <v>0</v>
      </c>
      <c r="BJ402" s="106" t="n"/>
      <c r="BK402" s="114" t="n"/>
      <c r="BL402" s="187" t="n">
        <v>48182.35977032</v>
      </c>
      <c r="BM402" s="113" t="n">
        <f aca="false" ca="true" dt2D="false" dtr="false" t="normal">SUBTOTAL(9, BN402:CB402)</f>
        <v>2251512.1388</v>
      </c>
      <c r="BN402" s="106" t="n">
        <v>0</v>
      </c>
      <c r="BO402" s="106" t="n">
        <v>0</v>
      </c>
      <c r="BP402" s="106" t="n">
        <v>2203329.77902968</v>
      </c>
      <c r="BQ402" s="106" t="n">
        <v>0</v>
      </c>
      <c r="BR402" s="106" t="n">
        <v>0</v>
      </c>
      <c r="BS402" s="106" t="n"/>
      <c r="BT402" s="106" t="n"/>
      <c r="BU402" s="106" t="n">
        <v>0</v>
      </c>
      <c r="BV402" s="106" t="n">
        <v>0</v>
      </c>
      <c r="BW402" s="106" t="n">
        <v>0</v>
      </c>
      <c r="BX402" s="106" t="n">
        <v>0</v>
      </c>
      <c r="BY402" s="106" t="n">
        <v>0</v>
      </c>
      <c r="BZ402" s="106" t="n"/>
      <c r="CA402" s="114" t="n"/>
      <c r="CB402" s="115" t="n">
        <v>48182.35977032</v>
      </c>
      <c r="CD402" s="116" t="n">
        <f aca="false" ca="false" dt2D="false" dtr="false" t="normal">+CD401+1</f>
        <v>382</v>
      </c>
      <c r="CE402" s="117" t="n">
        <f aca="false" ca="false" dt2D="false" dtr="false" t="normal">+CE401+1</f>
        <v>191</v>
      </c>
      <c r="CF402" s="104" t="s">
        <v>111</v>
      </c>
      <c r="CG402" s="117" t="s">
        <v>479</v>
      </c>
      <c r="CH402" s="118" t="n">
        <f aca="false" ca="true" dt2D="false" dtr="false" t="normal">SUBTOTAL(9, CI402:CW402)</f>
        <v>1744209.15977032</v>
      </c>
      <c r="CI402" s="114" t="n">
        <v>0</v>
      </c>
      <c r="CJ402" s="114" t="n">
        <v>0</v>
      </c>
      <c r="CK402" s="114" t="n">
        <v>1696026.8</v>
      </c>
      <c r="CL402" s="114" t="n">
        <v>0</v>
      </c>
      <c r="CM402" s="114" t="n">
        <v>0</v>
      </c>
      <c r="CN402" s="114" t="n"/>
      <c r="CO402" s="114" t="n"/>
      <c r="CP402" s="114" t="n">
        <v>0</v>
      </c>
      <c r="CQ402" s="114" t="n">
        <v>0</v>
      </c>
      <c r="CR402" s="114" t="n">
        <v>0</v>
      </c>
      <c r="CS402" s="114" t="n">
        <v>0</v>
      </c>
      <c r="CT402" s="114" t="n">
        <v>0</v>
      </c>
      <c r="CU402" s="114" t="n"/>
      <c r="CV402" s="114" t="n"/>
      <c r="CW402" s="115" t="n">
        <v>48182.35977032</v>
      </c>
      <c r="CZ402" s="117" t="s">
        <v>479</v>
      </c>
      <c r="DA402" s="119" t="n">
        <f aca="false" ca="true" dt2D="false" dtr="false" t="normal">SUBTOTAL(9, DB402:DP402)</f>
        <v>1696026.8</v>
      </c>
      <c r="DB402" s="114" t="n">
        <v>0</v>
      </c>
      <c r="DC402" s="114" t="n">
        <v>0</v>
      </c>
      <c r="DD402" s="114" t="n">
        <v>1696026.8</v>
      </c>
      <c r="DE402" s="114" t="n">
        <v>0</v>
      </c>
      <c r="DF402" s="114" t="n">
        <v>0</v>
      </c>
      <c r="DG402" s="114" t="n"/>
      <c r="DH402" s="114" t="n"/>
      <c r="DI402" s="114" t="n">
        <v>0</v>
      </c>
      <c r="DJ402" s="114" t="n">
        <v>0</v>
      </c>
      <c r="DK402" s="114" t="n">
        <v>0</v>
      </c>
      <c r="DL402" s="114" t="n">
        <v>0</v>
      </c>
      <c r="DM402" s="114" t="n">
        <v>0</v>
      </c>
      <c r="DN402" s="114" t="n"/>
      <c r="DO402" s="114" t="n"/>
      <c r="DP402" s="122" t="n"/>
      <c r="DQ402" s="3" t="n">
        <f aca="false" ca="false" dt2D="false" dtr="false" t="normal">N402-DA402</f>
        <v>0</v>
      </c>
      <c r="DS402" s="9" t="n"/>
    </row>
    <row hidden="false" ht="15" outlineLevel="0" r="403">
      <c r="A403" s="183" t="n">
        <f aca="false" ca="false" dt2D="false" dtr="false" t="normal">+A402+1</f>
        <v>383</v>
      </c>
      <c r="B403" s="117" t="n">
        <f aca="false" ca="false" dt2D="false" dtr="false" t="normal">+B402+1</f>
        <v>192</v>
      </c>
      <c r="C403" s="104" t="s">
        <v>111</v>
      </c>
      <c r="D403" s="104" t="s">
        <v>117</v>
      </c>
      <c r="E403" s="105" t="n">
        <v>1986</v>
      </c>
      <c r="F403" s="105" t="n">
        <v>2013</v>
      </c>
      <c r="G403" s="105" t="s">
        <v>68</v>
      </c>
      <c r="H403" s="105" t="n">
        <v>4</v>
      </c>
      <c r="I403" s="105" t="n">
        <v>2</v>
      </c>
      <c r="J403" s="106" t="n">
        <v>3830.7</v>
      </c>
      <c r="K403" s="106" t="n">
        <v>3476.2</v>
      </c>
      <c r="L403" s="106" t="n">
        <v>0</v>
      </c>
      <c r="M403" s="107" t="n">
        <v>146</v>
      </c>
      <c r="N403" s="108" t="n">
        <f aca="false" ca="false" dt2D="false" dtr="false" t="normal">SUM(P403:T403)</f>
        <v>4507647.88</v>
      </c>
      <c r="O403" s="106" t="n"/>
      <c r="P403" s="114" t="n">
        <v>2857212.57</v>
      </c>
      <c r="Q403" s="114" t="n"/>
      <c r="R403" s="114" t="n">
        <v>121962.54</v>
      </c>
      <c r="S403" s="114" t="n">
        <v>1528472.77</v>
      </c>
      <c r="T403" s="106" t="n"/>
      <c r="U403" s="114" t="n">
        <v>1833.87856826966</v>
      </c>
      <c r="V403" s="114" t="n">
        <v>1833.87856826966</v>
      </c>
      <c r="W403" s="110" t="n">
        <v>2023</v>
      </c>
      <c r="X403" s="9" t="e">
        <f aca="false" ca="false" dt2D="false" dtr="false" t="normal">+#REF!-'[9]Приложение №1'!$P1017</f>
        <v>#REF!</v>
      </c>
      <c r="Z403" s="113" t="n">
        <f aca="false" ca="false" dt2D="false" dtr="false" t="normal">SUM(AA403:AO403)</f>
        <v>63545858.420000024</v>
      </c>
      <c r="AA403" s="106" t="n">
        <v>5818965.56459946</v>
      </c>
      <c r="AB403" s="106" t="n">
        <v>3365266.86272952</v>
      </c>
      <c r="AC403" s="106" t="n">
        <v>3557336.24935038</v>
      </c>
      <c r="AD403" s="106" t="n">
        <v>2712499.1287926</v>
      </c>
      <c r="AE403" s="106" t="n">
        <v>1083587.87912004</v>
      </c>
      <c r="AF403" s="106" t="n"/>
      <c r="AG403" s="106" t="n">
        <v>289142.866131</v>
      </c>
      <c r="AH403" s="106" t="n">
        <v>0</v>
      </c>
      <c r="AI403" s="106" t="n">
        <v>10358644.6581282</v>
      </c>
      <c r="AJ403" s="106" t="n">
        <v>0</v>
      </c>
      <c r="AK403" s="106" t="n">
        <v>20111367.3610181</v>
      </c>
      <c r="AL403" s="106" t="n">
        <v>7909542.8401185</v>
      </c>
      <c r="AM403" s="106" t="n">
        <v>6496795.2885</v>
      </c>
      <c r="AN403" s="114" t="n">
        <v>635458.5842</v>
      </c>
      <c r="AO403" s="115" t="n">
        <v>1207251.13731222</v>
      </c>
      <c r="AP403" s="112" t="n">
        <f aca="false" ca="false" dt2D="false" dtr="false" t="normal">+N403-'Приложение №2'!E403</f>
        <v>0</v>
      </c>
      <c r="AQ403" s="9" t="n">
        <f aca="false" ca="false" dt2D="false" dtr="false" t="normal">1393126.98-102965.87-R60</f>
        <v>-448445.6100000001</v>
      </c>
      <c r="AR403" s="3" t="n">
        <f aca="false" ca="false" dt2D="false" dtr="false" t="normal">+(K403*10+L403*20)*12*0.85</f>
        <v>354572.39999999997</v>
      </c>
      <c r="AS403" s="3" t="n">
        <f aca="false" ca="false" dt2D="false" dtr="false" t="normal">+(K403*10+L403*20)*12*30-S60</f>
        <v>-858925.4800000004</v>
      </c>
      <c r="AT403" s="9" t="n">
        <f aca="false" ca="false" dt2D="false" dtr="false" t="normal">+S403-AS403</f>
        <v>2387398.2500000005</v>
      </c>
      <c r="AU403" s="9" t="e">
        <f aca="false" ca="false" dt2D="false" dtr="false" t="normal">+P403-'[5]Приложение №1'!$P261</f>
        <v>#REF!</v>
      </c>
      <c r="AV403" s="9" t="e">
        <f aca="false" ca="false" dt2D="false" dtr="false" t="normal">+Q403-'[5]Приложение №1'!$Q261</f>
        <v>#REF!</v>
      </c>
      <c r="AW403" s="113" t="n">
        <f aca="false" ca="true" dt2D="false" dtr="false" t="normal">SUBTOTAL(9, AX403:BL403)</f>
        <v>6374928.679018999</v>
      </c>
      <c r="AY403" s="106" t="n">
        <v>3744858.18609</v>
      </c>
      <c r="AZ403" s="106" t="n"/>
      <c r="BA403" s="106" t="n"/>
      <c r="BB403" s="106" t="n"/>
      <c r="BC403" s="106" t="n"/>
      <c r="BD403" s="106" t="n">
        <v>1311406.8</v>
      </c>
      <c r="BE403" s="106" t="n">
        <v>0</v>
      </c>
      <c r="BF403" s="106" t="n"/>
      <c r="BG403" s="106" t="n"/>
      <c r="BH403" s="106" t="n"/>
      <c r="BI403" s="106" t="n"/>
      <c r="BJ403" s="106" t="n"/>
      <c r="BK403" s="114" t="n"/>
      <c r="BL403" s="187" t="n">
        <v>1318663.692929</v>
      </c>
      <c r="BM403" s="113" t="n">
        <f aca="false" ca="true" dt2D="false" dtr="false" t="normal">SUBTOTAL(9, BN403:CB403)</f>
        <v>6374928.679018999</v>
      </c>
      <c r="BO403" s="106" t="n">
        <v>3744858.18609</v>
      </c>
      <c r="BP403" s="106" t="n"/>
      <c r="BQ403" s="106" t="n"/>
      <c r="BR403" s="106" t="n"/>
      <c r="BS403" s="106" t="n"/>
      <c r="BT403" s="106" t="n">
        <v>1311406.8</v>
      </c>
      <c r="BU403" s="106" t="n">
        <v>0</v>
      </c>
      <c r="BV403" s="106" t="n"/>
      <c r="BW403" s="106" t="n"/>
      <c r="BX403" s="106" t="n"/>
      <c r="BY403" s="106" t="n"/>
      <c r="BZ403" s="106" t="n"/>
      <c r="CA403" s="114" t="n"/>
      <c r="CB403" s="115" t="n">
        <v>1318663.692929</v>
      </c>
      <c r="CD403" s="116" t="n">
        <f aca="false" ca="false" dt2D="false" dtr="false" t="normal">+CD402+1</f>
        <v>383</v>
      </c>
      <c r="CE403" s="117" t="n">
        <f aca="false" ca="false" dt2D="false" dtr="false" t="normal">+CE402+1</f>
        <v>192</v>
      </c>
      <c r="CF403" s="104" t="s">
        <v>111</v>
      </c>
      <c r="CG403" s="117" t="s">
        <v>117</v>
      </c>
      <c r="CH403" s="118" t="n">
        <f aca="false" ca="true" dt2D="false" dtr="false" t="normal">SUBTOTAL(9, CI403:CW403)</f>
        <v>5792816.632929</v>
      </c>
      <c r="CI403" s="191" t="n"/>
      <c r="CJ403" s="114" t="n">
        <v>2958323.74</v>
      </c>
      <c r="CK403" s="114" t="n"/>
      <c r="CL403" s="114" t="n"/>
      <c r="CM403" s="114" t="n"/>
      <c r="CN403" s="114" t="n"/>
      <c r="CO403" s="114" t="n">
        <v>1515829.2</v>
      </c>
      <c r="CP403" s="114" t="n">
        <v>0</v>
      </c>
      <c r="CQ403" s="114" t="n"/>
      <c r="CR403" s="114" t="n"/>
      <c r="CS403" s="114" t="n"/>
      <c r="CT403" s="114" t="n"/>
      <c r="CU403" s="114" t="n"/>
      <c r="CV403" s="114" t="n"/>
      <c r="CW403" s="115" t="n">
        <v>1318663.692929</v>
      </c>
      <c r="CZ403" s="117" t="s">
        <v>117</v>
      </c>
      <c r="DA403" s="119" t="n">
        <f aca="false" ca="true" dt2D="false" dtr="false" t="normal">SUBTOTAL(9, DB403:DP403)</f>
        <v>4507647.880000001</v>
      </c>
      <c r="DB403" s="191" t="n"/>
      <c r="DC403" s="114" t="n">
        <v>2958323.74</v>
      </c>
      <c r="DD403" s="114" t="n"/>
      <c r="DE403" s="114" t="n"/>
      <c r="DF403" s="114" t="n"/>
      <c r="DG403" s="114" t="n"/>
      <c r="DH403" s="114" t="n">
        <v>1515829.2</v>
      </c>
      <c r="DI403" s="114" t="n">
        <v>0</v>
      </c>
      <c r="DJ403" s="114" t="n"/>
      <c r="DK403" s="114" t="n"/>
      <c r="DL403" s="114" t="n"/>
      <c r="DM403" s="114" t="n"/>
      <c r="DN403" s="114" t="n"/>
      <c r="DO403" s="114" t="n"/>
      <c r="DP403" s="120" t="n">
        <v>33494.94</v>
      </c>
      <c r="DQ403" s="3" t="n">
        <f aca="false" ca="false" dt2D="false" dtr="false" t="normal">N403-DA403</f>
        <v>0</v>
      </c>
      <c r="DS403" s="9" t="n"/>
    </row>
    <row hidden="false" ht="15" outlineLevel="0" r="404">
      <c r="A404" s="183" t="n">
        <f aca="false" ca="false" dt2D="false" dtr="false" t="normal">+A403+1</f>
        <v>384</v>
      </c>
      <c r="B404" s="117" t="n">
        <f aca="false" ca="false" dt2D="false" dtr="false" t="normal">+B403+1</f>
        <v>193</v>
      </c>
      <c r="C404" s="104" t="s">
        <v>111</v>
      </c>
      <c r="D404" s="104" t="s">
        <v>114</v>
      </c>
      <c r="E404" s="105" t="n">
        <v>1995</v>
      </c>
      <c r="F404" s="105" t="n">
        <v>2013</v>
      </c>
      <c r="G404" s="105" t="s">
        <v>68</v>
      </c>
      <c r="H404" s="105" t="n">
        <v>5</v>
      </c>
      <c r="I404" s="105" t="n">
        <v>4</v>
      </c>
      <c r="J404" s="106" t="n">
        <v>4929.5</v>
      </c>
      <c r="K404" s="106" t="n">
        <v>4328.9</v>
      </c>
      <c r="L404" s="106" t="n">
        <v>0</v>
      </c>
      <c r="M404" s="107" t="n">
        <v>159</v>
      </c>
      <c r="N404" s="108" t="n">
        <f aca="false" ca="false" dt2D="false" dtr="false" t="normal">SUM(P404:T404)</f>
        <v>2457074</v>
      </c>
      <c r="O404" s="106" t="n"/>
      <c r="P404" s="114" t="n"/>
      <c r="Q404" s="114" t="n"/>
      <c r="R404" s="114" t="n">
        <v>1488007.09</v>
      </c>
      <c r="S404" s="114" t="n">
        <v>969066.91</v>
      </c>
      <c r="T404" s="114" t="n"/>
      <c r="U404" s="106" t="n">
        <v>1045.55475263924</v>
      </c>
      <c r="V404" s="106" t="n">
        <v>1045.55475263924</v>
      </c>
      <c r="W404" s="110" t="n">
        <v>2023</v>
      </c>
      <c r="X404" s="9" t="e">
        <f aca="false" ca="false" dt2D="false" dtr="false" t="normal">+#REF!-'[9]Приложение №1'!$P1236</f>
        <v>#REF!</v>
      </c>
      <c r="Z404" s="113" t="n">
        <f aca="false" ca="false" dt2D="false" dtr="false" t="normal">SUM(AA404:AO404)</f>
        <v>77122932.97999996</v>
      </c>
      <c r="AA404" s="106" t="n">
        <v>7245200.61515796</v>
      </c>
      <c r="AB404" s="106" t="n">
        <v>4190097.58627026</v>
      </c>
      <c r="AC404" s="106" t="n">
        <v>4429243.38656982</v>
      </c>
      <c r="AD404" s="106" t="n">
        <v>3377335.73924376</v>
      </c>
      <c r="AE404" s="106" t="n">
        <v>0</v>
      </c>
      <c r="AF404" s="106" t="n"/>
      <c r="AG404" s="106" t="n">
        <v>360012.1102956</v>
      </c>
      <c r="AH404" s="106" t="n">
        <v>0</v>
      </c>
      <c r="AI404" s="106" t="n">
        <v>12897560.1974562</v>
      </c>
      <c r="AJ404" s="106" t="n">
        <v>0</v>
      </c>
      <c r="AK404" s="106" t="n">
        <v>25040686.2838343</v>
      </c>
      <c r="AL404" s="106" t="n">
        <v>9848180.7538506</v>
      </c>
      <c r="AM404" s="106" t="n">
        <v>7489740.9763</v>
      </c>
      <c r="AN404" s="114" t="n">
        <v>771229.3298</v>
      </c>
      <c r="AO404" s="115" t="n">
        <v>1473646.00122146</v>
      </c>
      <c r="AP404" s="112" t="n">
        <f aca="false" ca="false" dt2D="false" dtr="false" t="normal">+N404-'Приложение №2'!E404</f>
        <v>0</v>
      </c>
      <c r="AQ404" s="9" t="n">
        <f aca="false" ca="false" dt2D="false" dtr="false" t="normal">1948762.98-R57</f>
        <v>1046459.29</v>
      </c>
      <c r="AR404" s="3" t="n">
        <f aca="false" ca="false" dt2D="false" dtr="false" t="normal">+(K404*10+L404*20)*12*0.85</f>
        <v>441547.8</v>
      </c>
      <c r="AS404" s="3" t="n">
        <f aca="false" ca="false" dt2D="false" dtr="false" t="normal">+(K404*10+L404*20)*12*30-S57</f>
        <v>9030711.870000001</v>
      </c>
      <c r="AT404" s="9" t="n">
        <f aca="false" ca="false" dt2D="false" dtr="false" t="normal">+S404-AS404</f>
        <v>-8061644.960000001</v>
      </c>
      <c r="AU404" s="9" t="e">
        <f aca="false" ca="false" dt2D="false" dtr="false" t="normal">+P404-'[5]Приложение №1'!$P262</f>
        <v>#REF!</v>
      </c>
      <c r="AV404" s="9" t="e">
        <f aca="false" ca="false" dt2D="false" dtr="false" t="normal">+Q404-'[5]Приложение №1'!$Q262</f>
        <v>#REF!</v>
      </c>
      <c r="AW404" s="113" t="n">
        <f aca="false" ca="true" dt2D="false" dtr="false" t="normal">SUBTOTAL(9, AX404:BL404)</f>
        <v>4526101.9687</v>
      </c>
      <c r="AX404" s="106" t="n"/>
      <c r="AY404" s="106" t="n"/>
      <c r="AZ404" s="106" t="n">
        <v>4429243.38656982</v>
      </c>
      <c r="BA404" s="106" t="n"/>
      <c r="BB404" s="106" t="n"/>
      <c r="BC404" s="106" t="n"/>
      <c r="BD404" s="106" t="n"/>
      <c r="BE404" s="106" t="n"/>
      <c r="BF404" s="106" t="n"/>
      <c r="BG404" s="106" t="n"/>
      <c r="BH404" s="106" t="n"/>
      <c r="BI404" s="106" t="n"/>
      <c r="BJ404" s="106" t="n"/>
      <c r="BK404" s="114" t="n"/>
      <c r="BL404" s="187" t="n">
        <v>96858.58213018</v>
      </c>
      <c r="BM404" s="113" t="n">
        <f aca="false" ca="true" dt2D="false" dtr="false" t="normal">SUBTOTAL(9, BN404:CB404)</f>
        <v>4526101.9687</v>
      </c>
      <c r="BN404" s="106" t="n"/>
      <c r="BO404" s="106" t="n"/>
      <c r="BP404" s="106" t="n">
        <v>4429243.38656982</v>
      </c>
      <c r="BQ404" s="106" t="n"/>
      <c r="BR404" s="106" t="n"/>
      <c r="BS404" s="106" t="n"/>
      <c r="BT404" s="106" t="n"/>
      <c r="BU404" s="106" t="n"/>
      <c r="BV404" s="106" t="n"/>
      <c r="BW404" s="106" t="n"/>
      <c r="BX404" s="106" t="n"/>
      <c r="BY404" s="106" t="n"/>
      <c r="BZ404" s="106" t="n"/>
      <c r="CA404" s="114" t="n"/>
      <c r="CB404" s="115" t="n">
        <v>96858.58213018</v>
      </c>
      <c r="CD404" s="116" t="n">
        <f aca="false" ca="false" dt2D="false" dtr="false" t="normal">+CD403+1</f>
        <v>384</v>
      </c>
      <c r="CE404" s="117" t="n">
        <f aca="false" ca="false" dt2D="false" dtr="false" t="normal">+CE403+1</f>
        <v>193</v>
      </c>
      <c r="CF404" s="104" t="s">
        <v>111</v>
      </c>
      <c r="CG404" s="117" t="s">
        <v>114</v>
      </c>
      <c r="CH404" s="118" t="n">
        <f aca="false" ca="true" dt2D="false" dtr="false" t="normal">SUBTOTAL(9, CI404:CW404)</f>
        <v>2553932.58213018</v>
      </c>
      <c r="CI404" s="114" t="n"/>
      <c r="CJ404" s="114" t="n"/>
      <c r="CK404" s="114" t="n">
        <v>2457074</v>
      </c>
      <c r="CL404" s="114" t="n"/>
      <c r="CM404" s="114" t="n"/>
      <c r="CN404" s="114" t="n"/>
      <c r="CO404" s="114" t="n"/>
      <c r="CP404" s="114" t="n"/>
      <c r="CQ404" s="114" t="n"/>
      <c r="CR404" s="114" t="n"/>
      <c r="CS404" s="114" t="n"/>
      <c r="CT404" s="114" t="n"/>
      <c r="CU404" s="114" t="n"/>
      <c r="CV404" s="114" t="n"/>
      <c r="CW404" s="115" t="n">
        <v>96858.58213018</v>
      </c>
      <c r="CZ404" s="117" t="s">
        <v>114</v>
      </c>
      <c r="DA404" s="119" t="n">
        <f aca="false" ca="true" dt2D="false" dtr="false" t="normal">SUBTOTAL(9, DB404:DP404)</f>
        <v>2457074</v>
      </c>
      <c r="DB404" s="114" t="n"/>
      <c r="DC404" s="114" t="n"/>
      <c r="DD404" s="114" t="n">
        <v>2457074</v>
      </c>
      <c r="DE404" s="114" t="n"/>
      <c r="DF404" s="114" t="n"/>
      <c r="DG404" s="114" t="n"/>
      <c r="DH404" s="114" t="n"/>
      <c r="DI404" s="114" t="n"/>
      <c r="DJ404" s="114" t="n"/>
      <c r="DK404" s="114" t="n"/>
      <c r="DL404" s="114" t="n"/>
      <c r="DM404" s="114" t="n"/>
      <c r="DN404" s="114" t="n"/>
      <c r="DO404" s="114" t="n"/>
      <c r="DP404" s="122" t="n"/>
      <c r="DQ404" s="3" t="n">
        <f aca="false" ca="false" dt2D="false" dtr="false" t="normal">N404-DA404</f>
        <v>0</v>
      </c>
      <c r="DS404" s="9" t="n"/>
    </row>
    <row hidden="false" ht="15" outlineLevel="0" r="405">
      <c r="A405" s="183" t="n">
        <f aca="false" ca="false" dt2D="false" dtr="false" t="normal">+A404+1</f>
        <v>385</v>
      </c>
      <c r="B405" s="117" t="s">
        <v>463</v>
      </c>
      <c r="C405" s="104" t="s">
        <v>111</v>
      </c>
      <c r="D405" s="104" t="s">
        <v>333</v>
      </c>
      <c r="E405" s="105" t="n">
        <v>1964</v>
      </c>
      <c r="F405" s="105" t="n">
        <v>2013</v>
      </c>
      <c r="G405" s="105" t="s">
        <v>68</v>
      </c>
      <c r="H405" s="105" t="n">
        <v>5</v>
      </c>
      <c r="I405" s="105" t="n">
        <v>7</v>
      </c>
      <c r="J405" s="106" t="n">
        <v>6384.4</v>
      </c>
      <c r="K405" s="106" t="n">
        <v>5253.8</v>
      </c>
      <c r="L405" s="106" t="n">
        <v>1130.6</v>
      </c>
      <c r="M405" s="107" t="n">
        <v>210</v>
      </c>
      <c r="N405" s="108" t="n">
        <f aca="false" ca="false" dt2D="false" dtr="false" t="normal">SUM(P405:T405)</f>
        <v>8262278.14</v>
      </c>
      <c r="O405" s="106" t="n"/>
      <c r="P405" s="114" t="n"/>
      <c r="Q405" s="114" t="n"/>
      <c r="R405" s="114" t="n">
        <v>1316115.21</v>
      </c>
      <c r="S405" s="114" t="n">
        <v>6946162.93</v>
      </c>
      <c r="T405" s="114" t="n"/>
      <c r="U405" s="114" t="n">
        <v>2836.90352690011</v>
      </c>
      <c r="V405" s="114" t="n">
        <v>1258.283020064</v>
      </c>
      <c r="W405" s="110" t="n">
        <v>2023</v>
      </c>
      <c r="X405" s="9" t="e">
        <f aca="false" ca="false" dt2D="false" dtr="false" t="normal">+#REF!-'[9]Приложение №1'!$P1405</f>
        <v>#REF!</v>
      </c>
      <c r="Z405" s="113" t="n">
        <f aca="false" ca="false" dt2D="false" dtr="false" t="normal">SUM(AA405:AO405)</f>
        <v>31039639.368981637</v>
      </c>
      <c r="AA405" s="106" t="n">
        <v>13616559.511674</v>
      </c>
      <c r="AB405" s="106" t="n">
        <v>4892953.08851434</v>
      </c>
      <c r="AC405" s="106" t="n">
        <v>5159278.85636512</v>
      </c>
      <c r="AD405" s="106" t="n">
        <v>3303637.31360418</v>
      </c>
      <c r="AE405" s="106" t="n">
        <v>2454070.459386</v>
      </c>
      <c r="AF405" s="106" t="n"/>
      <c r="AG405" s="106" t="n">
        <v>488558.85729</v>
      </c>
      <c r="AH405" s="106" t="n">
        <v>0</v>
      </c>
      <c r="AI405" s="106" t="n">
        <v>0</v>
      </c>
      <c r="AJ405" s="106" t="n">
        <v>0</v>
      </c>
      <c r="AK405" s="106" t="n">
        <v>0</v>
      </c>
      <c r="AL405" s="106" t="n">
        <v>0</v>
      </c>
      <c r="AM405" s="106" t="n">
        <v>425297.73</v>
      </c>
      <c r="AN405" s="106" t="n">
        <v>45101.82</v>
      </c>
      <c r="AO405" s="115" t="n">
        <v>654181.732148</v>
      </c>
      <c r="AP405" s="112" t="e">
        <f aca="false" ca="false" dt2D="false" dtr="false" t="normal">+N405-#REF!</f>
        <v>#REF!</v>
      </c>
      <c r="AQ405" s="121" t="n">
        <f aca="false" ca="false" dt2D="false" dtr="false" t="normal">4163182.7-R241</f>
        <v>2294759.7600000002</v>
      </c>
      <c r="AR405" s="3" t="n">
        <f aca="false" ca="false" dt2D="false" dtr="false" t="normal">+(K405*10.5+L405*21)*12*0.85</f>
        <v>804856.5</v>
      </c>
      <c r="AS405" s="3" t="n">
        <f aca="false" ca="false" dt2D="false" dtr="false" t="normal">+(K405*10.5+L405*21)*12*30-S241</f>
        <v>13379807.64</v>
      </c>
      <c r="AT405" s="9" t="n">
        <f aca="false" ca="false" dt2D="false" dtr="false" t="normal">+S405-AS405</f>
        <v>-6433644.710000001</v>
      </c>
      <c r="AU405" s="9" t="e">
        <f aca="false" ca="false" dt2D="false" dtr="false" t="normal">+P405-'[5]Приложение №1'!$P541</f>
        <v>#REF!</v>
      </c>
      <c r="AV405" s="9" t="e">
        <f aca="false" ca="false" dt2D="false" dtr="false" t="normal">+Q405-'[5]Приложение №1'!$Q541</f>
        <v>#REF!</v>
      </c>
      <c r="AW405" s="186" t="n">
        <f aca="false" ca="true" dt2D="false" dtr="false" t="normal">SUBTOTAL(9, AX405:BL405)</f>
        <v>14904523.749627799</v>
      </c>
      <c r="AX405" s="106" t="n">
        <v>13616559.511674</v>
      </c>
      <c r="AY405" s="106" t="n"/>
      <c r="AZ405" s="106" t="n"/>
      <c r="BA405" s="106" t="n"/>
      <c r="BB405" s="106" t="n"/>
      <c r="BC405" s="106" t="n"/>
      <c r="BD405" s="106" t="n">
        <v>488558.85729</v>
      </c>
      <c r="BE405" s="106" t="n">
        <v>0</v>
      </c>
      <c r="BF405" s="106" t="n"/>
      <c r="BG405" s="106" t="n">
        <v>0</v>
      </c>
      <c r="BH405" s="106" t="n">
        <v>0</v>
      </c>
      <c r="BI405" s="106" t="n">
        <v>0</v>
      </c>
      <c r="BJ405" s="106" t="n">
        <v>596430.7065</v>
      </c>
      <c r="BK405" s="106" t="n">
        <v>24992.4265</v>
      </c>
      <c r="BL405" s="115" t="n">
        <v>177982.2476638</v>
      </c>
      <c r="BM405" s="186" t="n">
        <f aca="false" ca="true" dt2D="false" dtr="false" t="normal">SUBTOTAL(9, BN405:CB405)</f>
        <v>14904523.749627799</v>
      </c>
      <c r="BN405" s="106" t="n">
        <v>13616559.511674</v>
      </c>
      <c r="BO405" s="106" t="n"/>
      <c r="BP405" s="106" t="n"/>
      <c r="BQ405" s="106" t="n"/>
      <c r="BR405" s="106" t="n"/>
      <c r="BS405" s="106" t="n"/>
      <c r="BT405" s="106" t="n">
        <v>488558.85729</v>
      </c>
      <c r="BU405" s="106" t="n">
        <v>0</v>
      </c>
      <c r="BV405" s="106" t="n"/>
      <c r="BW405" s="106" t="n">
        <v>0</v>
      </c>
      <c r="BX405" s="106" t="n">
        <v>0</v>
      </c>
      <c r="BY405" s="106" t="n">
        <v>0</v>
      </c>
      <c r="BZ405" s="106" t="n">
        <v>596430.7065</v>
      </c>
      <c r="CA405" s="106" t="n">
        <v>24992.4265</v>
      </c>
      <c r="CB405" s="115" t="n">
        <v>177982.2476638</v>
      </c>
      <c r="CD405" s="116" t="n">
        <f aca="false" ca="false" dt2D="false" dtr="false" t="normal">+CD404+1</f>
        <v>385</v>
      </c>
      <c r="CE405" s="117" t="s">
        <v>463</v>
      </c>
      <c r="CF405" s="104" t="s">
        <v>111</v>
      </c>
      <c r="CG405" s="117" t="s">
        <v>333</v>
      </c>
      <c r="CH405" s="188" t="n">
        <f aca="false" ca="true" dt2D="false" dtr="false" t="normal">SUBTOTAL(9, CI405:CW405)</f>
        <v>8333177.4176638</v>
      </c>
      <c r="CI405" s="106" t="n">
        <v>8063310.05</v>
      </c>
      <c r="CJ405" s="114" t="n"/>
      <c r="CK405" s="114" t="n"/>
      <c r="CL405" s="114" t="n"/>
      <c r="CM405" s="114" t="n"/>
      <c r="CN405" s="114" t="n"/>
      <c r="CO405" s="114" t="n"/>
      <c r="CP405" s="114" t="n">
        <v>0</v>
      </c>
      <c r="CQ405" s="114" t="n"/>
      <c r="CR405" s="114" t="n">
        <v>0</v>
      </c>
      <c r="CS405" s="114" t="n">
        <v>0</v>
      </c>
      <c r="CT405" s="114" t="n">
        <v>0</v>
      </c>
      <c r="CU405" s="114" t="n">
        <v>87085.12</v>
      </c>
      <c r="CV405" s="114" t="n">
        <v>4800</v>
      </c>
      <c r="CW405" s="115" t="n">
        <v>177982.2476638</v>
      </c>
      <c r="CZ405" s="117" t="s">
        <v>333</v>
      </c>
      <c r="DA405" s="189" t="n">
        <f aca="false" ca="true" dt2D="false" dtr="false" t="normal">SUBTOTAL(9, DB405:DP405)</f>
        <v>8262278.14</v>
      </c>
      <c r="DB405" s="106" t="n">
        <v>8063310.05</v>
      </c>
      <c r="DC405" s="114" t="n"/>
      <c r="DD405" s="114" t="n"/>
      <c r="DE405" s="114" t="n"/>
      <c r="DF405" s="114" t="n"/>
      <c r="DG405" s="114" t="n"/>
      <c r="DH405" s="114" t="n"/>
      <c r="DI405" s="114" t="n">
        <v>0</v>
      </c>
      <c r="DJ405" s="114" t="n"/>
      <c r="DK405" s="114" t="n">
        <v>0</v>
      </c>
      <c r="DL405" s="114" t="n">
        <v>0</v>
      </c>
      <c r="DM405" s="114" t="n">
        <v>0</v>
      </c>
      <c r="DN405" s="114" t="n">
        <v>87085.12</v>
      </c>
      <c r="DO405" s="114" t="n">
        <v>4800</v>
      </c>
      <c r="DP405" s="120" t="n">
        <v>107082.97</v>
      </c>
      <c r="DQ405" s="3" t="n">
        <f aca="false" ca="false" dt2D="false" dtr="false" t="normal">N405-DA405</f>
        <v>0</v>
      </c>
      <c r="DS405" s="9" t="n"/>
    </row>
    <row hidden="false" ht="15" outlineLevel="0" r="406">
      <c r="A406" s="183" t="n">
        <f aca="false" ca="false" dt2D="false" dtr="false" t="normal">+A405+1</f>
        <v>386</v>
      </c>
      <c r="B406" s="117" t="n">
        <v>194</v>
      </c>
      <c r="C406" s="104" t="s">
        <v>111</v>
      </c>
      <c r="D406" s="104" t="s">
        <v>130</v>
      </c>
      <c r="E406" s="105" t="n">
        <v>1965</v>
      </c>
      <c r="F406" s="105" t="n">
        <v>2005</v>
      </c>
      <c r="G406" s="105" t="s">
        <v>68</v>
      </c>
      <c r="H406" s="105" t="n">
        <v>4</v>
      </c>
      <c r="I406" s="105" t="n">
        <v>2</v>
      </c>
      <c r="J406" s="106" t="n">
        <v>1948.5</v>
      </c>
      <c r="K406" s="106" t="n">
        <v>1410</v>
      </c>
      <c r="L406" s="106" t="n">
        <v>537.7</v>
      </c>
      <c r="M406" s="107" t="n">
        <v>38</v>
      </c>
      <c r="N406" s="108" t="n">
        <f aca="false" ca="false" dt2D="false" dtr="false" t="normal">SUM(P406:T406)</f>
        <v>2906929.13</v>
      </c>
      <c r="O406" s="106" t="n"/>
      <c r="P406" s="114" t="n">
        <v>2075421.35</v>
      </c>
      <c r="Q406" s="114" t="n"/>
      <c r="R406" s="114" t="n"/>
      <c r="S406" s="114" t="n">
        <v>831507.78</v>
      </c>
      <c r="T406" s="114" t="n"/>
      <c r="U406" s="106" t="n">
        <v>1684.52307191858</v>
      </c>
      <c r="V406" s="106" t="n">
        <v>1684.52307191858</v>
      </c>
      <c r="W406" s="110" t="n">
        <v>2023</v>
      </c>
      <c r="X406" s="9" t="e">
        <f aca="false" ca="false" dt2D="false" dtr="false" t="normal">+#REF!-'[9]Приложение №1'!$P1526</f>
        <v>#REF!</v>
      </c>
      <c r="Z406" s="113" t="n">
        <f aca="false" ca="false" dt2D="false" dtr="false" t="normal">SUM(AA406:AO406)</f>
        <v>10380935.740000002</v>
      </c>
      <c r="AA406" s="106" t="n">
        <v>4172919.55032498</v>
      </c>
      <c r="AB406" s="106" t="n">
        <v>1486982.78641038</v>
      </c>
      <c r="AC406" s="106" t="n">
        <v>1553566.1571465</v>
      </c>
      <c r="AD406" s="106" t="n">
        <v>972630.63727284</v>
      </c>
      <c r="AE406" s="106" t="n">
        <v>595090.92894678</v>
      </c>
      <c r="AF406" s="106" t="n"/>
      <c r="AG406" s="106" t="n">
        <v>160126.34455524</v>
      </c>
      <c r="AH406" s="106" t="n">
        <v>0</v>
      </c>
      <c r="AI406" s="106" t="n">
        <v>0</v>
      </c>
      <c r="AJ406" s="106" t="n">
        <v>0</v>
      </c>
      <c r="AK406" s="106" t="n">
        <v>0</v>
      </c>
      <c r="AL406" s="106" t="n">
        <v>0</v>
      </c>
      <c r="AM406" s="106" t="n">
        <v>1140281.4974</v>
      </c>
      <c r="AN406" s="114" t="n">
        <v>103809.3574</v>
      </c>
      <c r="AO406" s="115" t="n">
        <v>195528.48054328</v>
      </c>
      <c r="AP406" s="112" t="n">
        <f aca="false" ca="false" dt2D="false" dtr="false" t="normal">+N406-'Приложение №2'!E406</f>
        <v>0</v>
      </c>
      <c r="AQ406" s="9" t="n">
        <f aca="false" ca="false" dt2D="false" dtr="false" t="normal">945052.78-R70</f>
        <v>209930.79000000004</v>
      </c>
      <c r="AR406" s="3" t="n">
        <f aca="false" ca="false" dt2D="false" dtr="false" t="normal">+(K406*10+L406*20)*12*0.85</f>
        <v>253510.8</v>
      </c>
      <c r="AS406" s="3" t="n">
        <f aca="false" ca="false" dt2D="false" dtr="false" t="normal">+(K406*10+L406*20)*12*30-S70</f>
        <v>8947440</v>
      </c>
      <c r="AT406" s="9" t="n">
        <f aca="false" ca="false" dt2D="false" dtr="false" t="normal">+S406-AS406</f>
        <v>-8115932.22</v>
      </c>
      <c r="AU406" s="9" t="e">
        <f aca="false" ca="false" dt2D="false" dtr="false" t="normal">+P406-'[5]Приложение №1'!$P265</f>
        <v>#REF!</v>
      </c>
      <c r="AV406" s="9" t="e">
        <f aca="false" ca="false" dt2D="false" dtr="false" t="normal">+Q406-'[5]Приложение №1'!$Q265</f>
        <v>#REF!</v>
      </c>
      <c r="AW406" s="113" t="n">
        <f aca="false" ca="true" dt2D="false" dtr="false" t="normal">SUBTOTAL(9, AX406:BL406)</f>
        <v>3280945.587175813</v>
      </c>
      <c r="AX406" s="106" t="n">
        <v>3199919.31</v>
      </c>
      <c r="AY406" s="106" t="n"/>
      <c r="AZ406" s="106" t="n"/>
      <c r="BA406" s="106" t="n"/>
      <c r="BB406" s="106" t="n"/>
      <c r="BC406" s="106" t="n"/>
      <c r="BD406" s="106" t="n"/>
      <c r="BE406" s="106" t="n"/>
      <c r="BF406" s="106" t="n"/>
      <c r="BG406" s="106" t="n">
        <v>0</v>
      </c>
      <c r="BH406" s="106" t="n">
        <v>0</v>
      </c>
      <c r="BI406" s="106" t="n">
        <v>0</v>
      </c>
      <c r="BJ406" s="106" t="n"/>
      <c r="BK406" s="114" t="n"/>
      <c r="BL406" s="187" t="n">
        <v>81026.2771758132</v>
      </c>
      <c r="BM406" s="113" t="n">
        <f aca="false" ca="true" dt2D="false" dtr="false" t="normal">SUBTOTAL(9, BN406:CB406)</f>
        <v>3280945.587175813</v>
      </c>
      <c r="BN406" s="106" t="n">
        <v>3199919.31</v>
      </c>
      <c r="BO406" s="106" t="n"/>
      <c r="BP406" s="106" t="n"/>
      <c r="BQ406" s="106" t="n"/>
      <c r="BR406" s="106" t="n"/>
      <c r="BS406" s="106" t="n"/>
      <c r="BT406" s="106" t="n"/>
      <c r="BU406" s="106" t="n"/>
      <c r="BV406" s="106" t="n"/>
      <c r="BW406" s="106" t="n">
        <v>0</v>
      </c>
      <c r="BX406" s="106" t="n">
        <v>0</v>
      </c>
      <c r="BY406" s="106" t="n">
        <v>0</v>
      </c>
      <c r="BZ406" s="106" t="n"/>
      <c r="CA406" s="114" t="n"/>
      <c r="CB406" s="115" t="n">
        <v>81026.2771758132</v>
      </c>
      <c r="CD406" s="116" t="n">
        <f aca="false" ca="false" dt2D="false" dtr="false" t="normal">+CD405+1</f>
        <v>386</v>
      </c>
      <c r="CE406" s="117" t="n">
        <v>194</v>
      </c>
      <c r="CF406" s="104" t="s">
        <v>111</v>
      </c>
      <c r="CG406" s="117" t="s">
        <v>130</v>
      </c>
      <c r="CH406" s="118" t="n">
        <f aca="false" ca="true" dt2D="false" dtr="false" t="normal">SUBTOTAL(9, CI406:CW406)</f>
        <v>2957363.097175813</v>
      </c>
      <c r="CI406" s="114" t="n">
        <v>2876336.82</v>
      </c>
      <c r="CJ406" s="114" t="n"/>
      <c r="CK406" s="114" t="n"/>
      <c r="CL406" s="114" t="n"/>
      <c r="CM406" s="114" t="n"/>
      <c r="CN406" s="114" t="n"/>
      <c r="CO406" s="114" t="n"/>
      <c r="CP406" s="114" t="n"/>
      <c r="CQ406" s="114" t="n"/>
      <c r="CR406" s="114" t="n">
        <v>0</v>
      </c>
      <c r="CS406" s="114" t="n">
        <v>0</v>
      </c>
      <c r="CT406" s="114" t="n">
        <v>0</v>
      </c>
      <c r="CU406" s="114" t="n"/>
      <c r="CV406" s="114" t="n"/>
      <c r="CW406" s="115" t="n">
        <v>81026.2771758132</v>
      </c>
      <c r="CZ406" s="117" t="s">
        <v>130</v>
      </c>
      <c r="DA406" s="119" t="n">
        <f aca="false" ca="true" dt2D="false" dtr="false" t="normal">SUBTOTAL(9, DB406:DP406)</f>
        <v>2906929.13</v>
      </c>
      <c r="DB406" s="114" t="n">
        <v>2876336.82</v>
      </c>
      <c r="DC406" s="114" t="n"/>
      <c r="DD406" s="114" t="n"/>
      <c r="DE406" s="114" t="n"/>
      <c r="DF406" s="114" t="n"/>
      <c r="DG406" s="114" t="n"/>
      <c r="DH406" s="114" t="n"/>
      <c r="DI406" s="114" t="n"/>
      <c r="DJ406" s="114" t="n"/>
      <c r="DK406" s="114" t="n">
        <v>0</v>
      </c>
      <c r="DL406" s="114" t="n">
        <v>0</v>
      </c>
      <c r="DM406" s="114" t="n">
        <v>0</v>
      </c>
      <c r="DN406" s="114" t="n"/>
      <c r="DO406" s="114" t="n"/>
      <c r="DP406" s="120" t="n">
        <v>30592.31</v>
      </c>
      <c r="DQ406" s="3" t="n">
        <f aca="false" ca="false" dt2D="false" dtr="false" t="normal">N406-DA406</f>
        <v>0</v>
      </c>
      <c r="DS406" s="9" t="n"/>
    </row>
    <row hidden="false" ht="15" outlineLevel="0" r="407">
      <c r="A407" s="183" t="n">
        <f aca="false" ca="false" dt2D="false" dtr="false" t="normal">+A406+1</f>
        <v>387</v>
      </c>
      <c r="B407" s="117" t="n">
        <v>195</v>
      </c>
      <c r="C407" s="104" t="s">
        <v>111</v>
      </c>
      <c r="D407" s="104" t="s">
        <v>480</v>
      </c>
      <c r="E407" s="105" t="n">
        <v>1973</v>
      </c>
      <c r="F407" s="105" t="n">
        <v>2017</v>
      </c>
      <c r="G407" s="105" t="s">
        <v>68</v>
      </c>
      <c r="H407" s="105" t="n">
        <v>5</v>
      </c>
      <c r="I407" s="105" t="n">
        <v>2</v>
      </c>
      <c r="J407" s="106" t="n">
        <v>2354.6</v>
      </c>
      <c r="K407" s="106" t="n">
        <v>2141.8</v>
      </c>
      <c r="L407" s="106" t="n">
        <v>0</v>
      </c>
      <c r="M407" s="107" t="n">
        <v>96</v>
      </c>
      <c r="N407" s="108" t="n">
        <f aca="false" ca="false" dt2D="false" dtr="false" t="normal">SUM(P407:T407)</f>
        <v>7597723.99</v>
      </c>
      <c r="O407" s="106" t="n"/>
      <c r="P407" s="114" t="n">
        <v>2812203.54</v>
      </c>
      <c r="Q407" s="114" t="n"/>
      <c r="R407" s="114" t="n">
        <v>1112787.02</v>
      </c>
      <c r="S407" s="114" t="n">
        <v>3672733.43</v>
      </c>
      <c r="T407" s="114" t="n"/>
      <c r="U407" s="114" t="n">
        <v>2419.65256272879</v>
      </c>
      <c r="V407" s="114" t="n">
        <v>1263.283020064</v>
      </c>
      <c r="W407" s="110" t="n">
        <v>2023</v>
      </c>
      <c r="X407" s="9" t="e">
        <f aca="false" ca="false" dt2D="false" dtr="false" t="normal">+#REF!-'[9]Приложение №1'!$P397</f>
        <v>#REF!</v>
      </c>
      <c r="Z407" s="113" t="n">
        <f aca="false" ca="false" dt2D="false" dtr="false" t="normal">SUM(AA407:AO407)</f>
        <v>5617414.62</v>
      </c>
      <c r="AA407" s="106" t="n">
        <v>0</v>
      </c>
      <c r="AB407" s="106" t="n">
        <v>0</v>
      </c>
      <c r="AC407" s="106" t="n">
        <v>0</v>
      </c>
      <c r="AD407" s="106" t="n">
        <v>0</v>
      </c>
      <c r="AE407" s="106" t="n">
        <v>0</v>
      </c>
      <c r="AF407" s="106" t="n"/>
      <c r="AG407" s="106" t="n">
        <v>0</v>
      </c>
      <c r="AH407" s="106" t="n">
        <v>0</v>
      </c>
      <c r="AI407" s="106" t="n">
        <v>0</v>
      </c>
      <c r="AJ407" s="106" t="n">
        <v>0</v>
      </c>
      <c r="AK407" s="106" t="n">
        <v>4892509.73294748</v>
      </c>
      <c r="AL407" s="106" t="n">
        <v>0</v>
      </c>
      <c r="AM407" s="106" t="n">
        <v>561741.462</v>
      </c>
      <c r="AN407" s="114" t="n">
        <v>56174.1462</v>
      </c>
      <c r="AO407" s="115" t="n">
        <v>106989.27885252</v>
      </c>
      <c r="AP407" s="112" t="n">
        <f aca="false" ca="false" dt2D="false" dtr="false" t="normal">+N407-'Приложение №2'!E407</f>
        <v>0</v>
      </c>
      <c r="AQ407" s="121" t="n">
        <v>1148972.82</v>
      </c>
      <c r="AR407" s="3" t="n">
        <f aca="false" ca="false" dt2D="false" dtr="false" t="normal">+(K407*10.5+L407*21)*12*0.85</f>
        <v>229386.78000000003</v>
      </c>
      <c r="AS407" s="3" t="n">
        <f aca="false" ca="false" dt2D="false" dtr="false" t="normal">+(K407*10.5+L407*21)*12*30</f>
        <v>8096004.000000002</v>
      </c>
      <c r="AT407" s="9" t="n">
        <f aca="false" ca="false" dt2D="false" dtr="false" t="normal">+S407-AS407</f>
        <v>-4423270.570000002</v>
      </c>
      <c r="AU407" s="9" t="e">
        <f aca="false" ca="false" dt2D="false" dtr="false" t="normal">+P407-'[5]Приложение №1'!$P546</f>
        <v>#REF!</v>
      </c>
      <c r="AV407" s="9" t="e">
        <f aca="false" ca="false" dt2D="false" dtr="false" t="normal">+Q407-'[5]Приложение №1'!$Q546</f>
        <v>#REF!</v>
      </c>
      <c r="AW407" s="186" t="n">
        <f aca="false" ca="true" dt2D="false" dtr="false" t="normal">SUBTOTAL(9, AX407:BL407)</f>
        <v>5182411.85885252</v>
      </c>
      <c r="AX407" s="106" t="n">
        <v>0</v>
      </c>
      <c r="AY407" s="106" t="n">
        <v>0</v>
      </c>
      <c r="AZ407" s="106" t="n">
        <v>0</v>
      </c>
      <c r="BA407" s="106" t="n">
        <v>0</v>
      </c>
      <c r="BB407" s="106" t="n">
        <v>0</v>
      </c>
      <c r="BC407" s="106" t="n"/>
      <c r="BD407" s="106" t="n"/>
      <c r="BE407" s="106" t="n">
        <v>0</v>
      </c>
      <c r="BF407" s="106" t="n">
        <v>0</v>
      </c>
      <c r="BG407" s="106" t="n">
        <v>0</v>
      </c>
      <c r="BH407" s="106" t="n">
        <v>5075422.58</v>
      </c>
      <c r="BI407" s="106" t="n">
        <v>0</v>
      </c>
      <c r="BJ407" s="106" t="n"/>
      <c r="BK407" s="114" t="n"/>
      <c r="BL407" s="115" t="n">
        <v>106989.27885252</v>
      </c>
      <c r="BM407" s="186" t="n">
        <f aca="false" ca="true" dt2D="false" dtr="false" t="normal">SUBTOTAL(9, BN407:CB407)</f>
        <v>5182411.85885252</v>
      </c>
      <c r="BN407" s="106" t="n">
        <v>0</v>
      </c>
      <c r="BO407" s="106" t="n">
        <v>0</v>
      </c>
      <c r="BP407" s="106" t="n">
        <v>0</v>
      </c>
      <c r="BQ407" s="106" t="n">
        <v>0</v>
      </c>
      <c r="BR407" s="106" t="n">
        <v>0</v>
      </c>
      <c r="BS407" s="106" t="n"/>
      <c r="BT407" s="106" t="n"/>
      <c r="BU407" s="106" t="n">
        <v>0</v>
      </c>
      <c r="BV407" s="106" t="n">
        <v>0</v>
      </c>
      <c r="BW407" s="106" t="n">
        <v>0</v>
      </c>
      <c r="BX407" s="106" t="n">
        <v>5075422.58</v>
      </c>
      <c r="BY407" s="106" t="n">
        <v>0</v>
      </c>
      <c r="BZ407" s="106" t="n"/>
      <c r="CA407" s="114" t="n"/>
      <c r="CB407" s="115" t="n">
        <v>106989.27885252</v>
      </c>
      <c r="CD407" s="116" t="n">
        <f aca="false" ca="false" dt2D="false" dtr="false" t="normal">+CD406+1</f>
        <v>387</v>
      </c>
      <c r="CE407" s="117" t="n">
        <v>195</v>
      </c>
      <c r="CF407" s="104" t="s">
        <v>111</v>
      </c>
      <c r="CG407" s="104" t="s">
        <v>480</v>
      </c>
      <c r="CH407" s="188" t="n">
        <f aca="false" ca="true" dt2D="false" dtr="false" t="normal">SUBTOTAL(9, CI407:CW407)</f>
        <v>7704713.26885252</v>
      </c>
      <c r="CI407" s="106" t="n">
        <v>0</v>
      </c>
      <c r="CJ407" s="114" t="n">
        <v>0</v>
      </c>
      <c r="CK407" s="114" t="n">
        <v>0</v>
      </c>
      <c r="CL407" s="114" t="n">
        <v>0</v>
      </c>
      <c r="CM407" s="114" t="n">
        <v>0</v>
      </c>
      <c r="CN407" s="114" t="n"/>
      <c r="CO407" s="114" t="n"/>
      <c r="CP407" s="114" t="n">
        <v>0</v>
      </c>
      <c r="CQ407" s="114" t="n">
        <v>0</v>
      </c>
      <c r="CR407" s="114" t="n">
        <v>0</v>
      </c>
      <c r="CS407" s="114" t="n">
        <v>7597723.99</v>
      </c>
      <c r="CT407" s="114" t="n">
        <v>0</v>
      </c>
      <c r="CU407" s="114" t="n"/>
      <c r="CV407" s="114" t="n"/>
      <c r="CW407" s="115" t="n">
        <v>106989.27885252</v>
      </c>
      <c r="CZ407" s="104" t="s">
        <v>480</v>
      </c>
      <c r="DA407" s="189" t="n">
        <f aca="false" ca="true" dt2D="false" dtr="false" t="normal">SUBTOTAL(9, DB407:DP407)</f>
        <v>7597723.99</v>
      </c>
      <c r="DB407" s="106" t="n">
        <v>0</v>
      </c>
      <c r="DC407" s="114" t="n">
        <v>0</v>
      </c>
      <c r="DD407" s="114" t="n">
        <v>0</v>
      </c>
      <c r="DE407" s="114" t="n">
        <v>0</v>
      </c>
      <c r="DF407" s="114" t="n">
        <v>0</v>
      </c>
      <c r="DG407" s="114" t="n"/>
      <c r="DH407" s="114" t="n"/>
      <c r="DI407" s="114" t="n">
        <v>0</v>
      </c>
      <c r="DJ407" s="114" t="n">
        <v>0</v>
      </c>
      <c r="DK407" s="114" t="n">
        <v>0</v>
      </c>
      <c r="DL407" s="114" t="n">
        <v>7597723.99</v>
      </c>
      <c r="DM407" s="114" t="n">
        <v>0</v>
      </c>
      <c r="DN407" s="114" t="n"/>
      <c r="DO407" s="114" t="n"/>
      <c r="DP407" s="122" t="n"/>
      <c r="DQ407" s="3" t="n">
        <f aca="false" ca="false" dt2D="false" dtr="false" t="normal">N407-DA407</f>
        <v>0</v>
      </c>
      <c r="DS407" s="9" t="n"/>
    </row>
    <row hidden="false" ht="15" outlineLevel="0" r="408">
      <c r="A408" s="183" t="n">
        <f aca="false" ca="false" dt2D="false" dtr="false" t="normal">+A407+1</f>
        <v>388</v>
      </c>
      <c r="B408" s="117" t="n">
        <f aca="false" ca="false" dt2D="false" dtr="false" t="normal">+B407+1</f>
        <v>196</v>
      </c>
      <c r="C408" s="117" t="s">
        <v>111</v>
      </c>
      <c r="D408" s="117" t="s">
        <v>481</v>
      </c>
      <c r="E408" s="201" t="n">
        <v>1972</v>
      </c>
      <c r="F408" s="201" t="n">
        <v>2013</v>
      </c>
      <c r="G408" s="201" t="s">
        <v>68</v>
      </c>
      <c r="H408" s="201" t="n">
        <v>5</v>
      </c>
      <c r="I408" s="201" t="n">
        <v>2</v>
      </c>
      <c r="J408" s="114" t="n">
        <v>3331.95</v>
      </c>
      <c r="K408" s="114" t="n">
        <v>2549.45</v>
      </c>
      <c r="L408" s="114" t="n">
        <v>780.8</v>
      </c>
      <c r="M408" s="202" t="n">
        <v>190</v>
      </c>
      <c r="N408" s="108" t="n">
        <f aca="false" ca="false" dt2D="false" dtr="false" t="normal">SUM(P408:T408)</f>
        <v>2328308.53</v>
      </c>
      <c r="O408" s="114" t="n"/>
      <c r="P408" s="114" t="n">
        <v>65202.28</v>
      </c>
      <c r="Q408" s="114" t="n"/>
      <c r="R408" s="114" t="n">
        <v>2221077.79</v>
      </c>
      <c r="S408" s="114" t="n">
        <v>42028.46</v>
      </c>
      <c r="T408" s="114" t="n"/>
      <c r="U408" s="114" t="n">
        <v>1277.03816124007</v>
      </c>
      <c r="V408" s="114" t="n">
        <v>1264.283020064</v>
      </c>
      <c r="W408" s="110" t="n">
        <v>2023</v>
      </c>
      <c r="X408" s="9" t="e">
        <f aca="false" ca="false" dt2D="false" dtr="false" t="normal">+#REF!-'[9]Приложение №1'!$P399</f>
        <v>#REF!</v>
      </c>
      <c r="Z408" s="113" t="n">
        <f aca="false" ca="false" dt2D="false" dtr="false" t="normal">SUM(AA408:AO408)</f>
        <v>34440876.64</v>
      </c>
      <c r="AA408" s="106" t="n">
        <v>0</v>
      </c>
      <c r="AB408" s="106" t="n">
        <v>2166113.13075108</v>
      </c>
      <c r="AC408" s="106" t="n">
        <v>2263106.2523265</v>
      </c>
      <c r="AD408" s="106" t="n">
        <v>1416847.60292544</v>
      </c>
      <c r="AE408" s="106" t="n">
        <v>866879.0826885</v>
      </c>
      <c r="AF408" s="106" t="n"/>
      <c r="AG408" s="106" t="n">
        <v>0</v>
      </c>
      <c r="AH408" s="106" t="n">
        <v>0</v>
      </c>
      <c r="AI408" s="106" t="n">
        <v>11112903.5243562</v>
      </c>
      <c r="AJ408" s="106" t="n">
        <v>0</v>
      </c>
      <c r="AK408" s="106" t="n">
        <v>5769870.95830572</v>
      </c>
      <c r="AL408" s="106" t="n">
        <v>6223481.21187618</v>
      </c>
      <c r="AM408" s="106" t="n">
        <v>3625180.5619</v>
      </c>
      <c r="AN408" s="114" t="n">
        <v>344408.7664</v>
      </c>
      <c r="AO408" s="115" t="n">
        <v>652085.54847038</v>
      </c>
      <c r="AP408" s="112" t="n">
        <f aca="false" ca="false" dt2D="false" dtr="false" t="normal">+N408-'Приложение №2'!E408</f>
        <v>0</v>
      </c>
      <c r="AQ408" s="121" t="n">
        <v>2364830.67</v>
      </c>
      <c r="AR408" s="3" t="n">
        <f aca="false" ca="false" dt2D="false" dtr="false" t="normal">+(K408*10.5+L408*21)*12*0.85</f>
        <v>440293.45499999996</v>
      </c>
      <c r="AS408" s="3" t="n">
        <f aca="false" ca="false" dt2D="false" dtr="false" t="normal">+(K408*10.5+L408*21)*12*30</f>
        <v>15539768.999999998</v>
      </c>
      <c r="AT408" s="9" t="n">
        <f aca="false" ca="false" dt2D="false" dtr="false" t="normal">+S408-AS408</f>
        <v>-15497740.539999997</v>
      </c>
      <c r="AU408" s="9" t="e">
        <f aca="false" ca="false" dt2D="false" dtr="false" t="normal">+P408-'[5]Приложение №1'!$P547</f>
        <v>#REF!</v>
      </c>
      <c r="AV408" s="9" t="e">
        <f aca="false" ca="false" dt2D="false" dtr="false" t="normal">+Q408-'[5]Приложение №1'!$Q547</f>
        <v>#REF!</v>
      </c>
      <c r="AW408" s="186" t="n">
        <f aca="false" ca="true" dt2D="false" dtr="false" t="normal">SUBTOTAL(9, AX408:BL408)</f>
        <v>3255744.9401735</v>
      </c>
      <c r="AX408" s="106" t="n">
        <v>0</v>
      </c>
      <c r="AY408" s="106" t="n"/>
      <c r="AZ408" s="106" t="n">
        <v>3206255.39</v>
      </c>
      <c r="BA408" s="106" t="n"/>
      <c r="BB408" s="106" t="n"/>
      <c r="BC408" s="106" t="n"/>
      <c r="BD408" s="106" t="n"/>
      <c r="BE408" s="106" t="n"/>
      <c r="BF408" s="106" t="n"/>
      <c r="BG408" s="106" t="n"/>
      <c r="BH408" s="106" t="n"/>
      <c r="BI408" s="106" t="n"/>
      <c r="BJ408" s="106" t="n"/>
      <c r="BK408" s="114" t="n"/>
      <c r="BL408" s="187" t="n">
        <v>49489.5501735</v>
      </c>
      <c r="BM408" s="186" t="n">
        <f aca="false" ca="true" dt2D="false" dtr="false" t="normal">SUBTOTAL(9, BN408:CB408)</f>
        <v>3255744.9401735</v>
      </c>
      <c r="BN408" s="106" t="n">
        <v>0</v>
      </c>
      <c r="BO408" s="106" t="n"/>
      <c r="BP408" s="106" t="n">
        <v>3206255.39</v>
      </c>
      <c r="BQ408" s="106" t="n"/>
      <c r="BR408" s="106" t="n"/>
      <c r="BS408" s="106" t="n"/>
      <c r="BT408" s="106" t="n"/>
      <c r="BU408" s="106" t="n"/>
      <c r="BV408" s="106" t="n"/>
      <c r="BW408" s="106" t="n"/>
      <c r="BX408" s="106" t="n"/>
      <c r="BY408" s="106" t="n"/>
      <c r="BZ408" s="106" t="n"/>
      <c r="CA408" s="114" t="n"/>
      <c r="CB408" s="115" t="n">
        <v>49489.5501735</v>
      </c>
      <c r="CD408" s="116" t="n">
        <f aca="false" ca="false" dt2D="false" dtr="false" t="normal">+CD407+1</f>
        <v>388</v>
      </c>
      <c r="CE408" s="117" t="n">
        <f aca="false" ca="false" dt2D="false" dtr="false" t="normal">+CE407+1</f>
        <v>196</v>
      </c>
      <c r="CF408" s="104" t="s">
        <v>111</v>
      </c>
      <c r="CG408" s="117" t="s">
        <v>481</v>
      </c>
      <c r="CH408" s="188" t="n">
        <f aca="false" ca="true" dt2D="false" dtr="false" t="normal">SUBTOTAL(9, CI408:CW408)</f>
        <v>2377798.0801735</v>
      </c>
      <c r="CI408" s="114" t="n">
        <v>0</v>
      </c>
      <c r="CJ408" s="114" t="n"/>
      <c r="CK408" s="114" t="n">
        <v>2328308.53</v>
      </c>
      <c r="CL408" s="114" t="n"/>
      <c r="CM408" s="114" t="n"/>
      <c r="CN408" s="114" t="n"/>
      <c r="CO408" s="114" t="n"/>
      <c r="CP408" s="114" t="n"/>
      <c r="CQ408" s="114" t="n"/>
      <c r="CR408" s="114" t="n"/>
      <c r="CS408" s="114" t="n"/>
      <c r="CT408" s="114" t="n"/>
      <c r="CU408" s="114" t="n"/>
      <c r="CV408" s="114" t="n"/>
      <c r="CW408" s="115" t="n">
        <v>49489.5501735</v>
      </c>
      <c r="CZ408" s="117" t="s">
        <v>481</v>
      </c>
      <c r="DA408" s="189" t="n">
        <f aca="false" ca="true" dt2D="false" dtr="false" t="normal">SUBTOTAL(9, DB408:DP408)</f>
        <v>2328308.53</v>
      </c>
      <c r="DB408" s="114" t="n">
        <v>0</v>
      </c>
      <c r="DC408" s="114" t="n"/>
      <c r="DD408" s="114" t="n">
        <v>2328308.53</v>
      </c>
      <c r="DE408" s="114" t="n"/>
      <c r="DF408" s="114" t="n"/>
      <c r="DG408" s="114" t="n"/>
      <c r="DH408" s="114" t="n"/>
      <c r="DI408" s="114" t="n"/>
      <c r="DJ408" s="114" t="n"/>
      <c r="DK408" s="114" t="n"/>
      <c r="DL408" s="114" t="n"/>
      <c r="DM408" s="114" t="n"/>
      <c r="DN408" s="114" t="n"/>
      <c r="DO408" s="114" t="n"/>
      <c r="DP408" s="122" t="n"/>
      <c r="DQ408" s="3" t="n">
        <f aca="false" ca="false" dt2D="false" dtr="false" t="normal">N408-DA408</f>
        <v>0</v>
      </c>
      <c r="DS408" s="9" t="n"/>
    </row>
    <row customFormat="true" hidden="false" ht="15" outlineLevel="0" r="409" s="129">
      <c r="A409" s="183" t="n">
        <f aca="false" ca="false" dt2D="false" dtr="false" t="normal">+A408+1</f>
        <v>389</v>
      </c>
      <c r="B409" s="117" t="s">
        <v>463</v>
      </c>
      <c r="C409" s="117" t="s">
        <v>111</v>
      </c>
      <c r="D409" s="117" t="s">
        <v>344</v>
      </c>
      <c r="E409" s="105" t="s">
        <v>345</v>
      </c>
      <c r="F409" s="105" t="n"/>
      <c r="G409" s="105" t="s">
        <v>68</v>
      </c>
      <c r="H409" s="105" t="s">
        <v>187</v>
      </c>
      <c r="I409" s="105" t="s">
        <v>187</v>
      </c>
      <c r="J409" s="106" t="n">
        <v>3893.1</v>
      </c>
      <c r="K409" s="106" t="n">
        <v>3553.5</v>
      </c>
      <c r="L409" s="106" t="n">
        <v>0</v>
      </c>
      <c r="M409" s="107" t="n">
        <v>150</v>
      </c>
      <c r="N409" s="108" t="n">
        <f aca="false" ca="false" dt2D="false" dtr="false" t="normal">SUM(P409:T409)</f>
        <v>29075533.090000004</v>
      </c>
      <c r="O409" s="114" t="n">
        <v>0</v>
      </c>
      <c r="P409" s="114" t="n">
        <v>17544458.69</v>
      </c>
      <c r="Q409" s="114" t="n">
        <v>0</v>
      </c>
      <c r="R409" s="114" t="n">
        <v>678038.57</v>
      </c>
      <c r="S409" s="114" t="n">
        <v>9297987.9046337</v>
      </c>
      <c r="T409" s="114" t="n">
        <v>1555047.9253663</v>
      </c>
      <c r="U409" s="114" t="n">
        <v>17913.0210460528</v>
      </c>
      <c r="V409" s="114" t="n">
        <v>1273.283020064</v>
      </c>
      <c r="W409" s="110" t="n">
        <v>2023</v>
      </c>
      <c r="X409" s="129" t="n">
        <v>609180.45</v>
      </c>
      <c r="Y409" s="129" t="n">
        <f aca="false" ca="false" dt2D="false" dtr="false" t="normal">+(K409*9.1+L409*18.19)*12</f>
        <v>388042.19999999995</v>
      </c>
      <c r="AA409" s="130" t="e">
        <f aca="false" ca="false" dt2D="false" dtr="false" t="normal">+N409-'[8]Приложение № 2'!E379</f>
        <v>#REF!</v>
      </c>
      <c r="AD409" s="130" t="e">
        <f aca="false" ca="false" dt2D="false" dtr="false" t="normal">+N409-'[8]Приложение № 2'!E379</f>
        <v>#REF!</v>
      </c>
      <c r="AP409" s="112" t="e">
        <f aca="false" ca="false" dt2D="false" dtr="false" t="normal">+N409-#REF!</f>
        <v>#REF!</v>
      </c>
      <c r="AQ409" s="121" t="n">
        <v>1198086.63</v>
      </c>
      <c r="AR409" s="3" t="n">
        <f aca="false" ca="false" dt2D="false" dtr="false" t="normal">+(K409*10.5+L409*21)*12*0.85</f>
        <v>380579.85</v>
      </c>
      <c r="AS409" s="3" t="n">
        <f aca="false" ca="false" dt2D="false" dtr="false" t="normal">+(K409*10.5+L409*21)*12*30</f>
        <v>13432230</v>
      </c>
      <c r="AT409" s="9" t="n">
        <f aca="false" ca="false" dt2D="false" dtr="false" t="normal">+S409-AS409</f>
        <v>-4134242.095366299</v>
      </c>
      <c r="AU409" s="9" t="e">
        <f aca="false" ca="false" dt2D="false" dtr="false" t="normal">+P409-'[5]Приложение №1'!$P414</f>
        <v>#REF!</v>
      </c>
      <c r="AV409" s="9" t="e">
        <f aca="false" ca="false" dt2D="false" dtr="false" t="normal">+Q409-'[5]Приложение №1'!$Q414</f>
        <v>#REF!</v>
      </c>
      <c r="AW409" s="186" t="n">
        <f aca="false" ca="true" dt2D="false" dtr="false" t="normal">SUBTOTAL(9, AX409:BL409)</f>
        <v>63653920.28714863</v>
      </c>
      <c r="AX409" s="106" t="n">
        <v>6426692.68633255</v>
      </c>
      <c r="AY409" s="106" t="n">
        <v>3800269.73767634</v>
      </c>
      <c r="AZ409" s="106" t="n">
        <v>4017145.72480266</v>
      </c>
      <c r="BA409" s="106" t="n">
        <v>3169959.57002912</v>
      </c>
      <c r="BB409" s="106" t="n"/>
      <c r="BC409" s="106" t="n"/>
      <c r="BD409" s="106" t="n">
        <v>296539.21750752</v>
      </c>
      <c r="BE409" s="106" t="n"/>
      <c r="BF409" s="106" t="n">
        <v>11567597.7275539</v>
      </c>
      <c r="BG409" s="106" t="n"/>
      <c r="BH409" s="106" t="n">
        <v>22710934.820188</v>
      </c>
      <c r="BI409" s="106" t="n">
        <v>8931908.6262432</v>
      </c>
      <c r="BJ409" s="106" t="n">
        <v>1439566.81218164</v>
      </c>
      <c r="BK409" s="114" t="n"/>
      <c r="BL409" s="187" t="n">
        <v>1293305.3646337</v>
      </c>
      <c r="BM409" s="186" t="n">
        <f aca="false" ca="true" dt2D="false" dtr="false" t="normal">SUBTOTAL(9, BN409:CB409)</f>
        <v>10457498.86681534</v>
      </c>
      <c r="BN409" s="106" t="n"/>
      <c r="BO409" s="106" t="n"/>
      <c r="BP409" s="106" t="n"/>
      <c r="BQ409" s="106" t="n"/>
      <c r="BR409" s="106" t="n"/>
      <c r="BS409" s="106" t="n"/>
      <c r="BT409" s="106" t="n"/>
      <c r="BU409" s="106" t="n"/>
      <c r="BV409" s="106" t="n">
        <v>7724626.69</v>
      </c>
      <c r="BW409" s="106" t="n"/>
      <c r="BX409" s="106" t="n"/>
      <c r="BY409" s="106" t="n"/>
      <c r="BZ409" s="106" t="n">
        <v>1439566.81218164</v>
      </c>
      <c r="CA409" s="114" t="n"/>
      <c r="CB409" s="115" t="n">
        <v>1293305.3646337</v>
      </c>
      <c r="CD409" s="116" t="n">
        <f aca="false" ca="false" dt2D="false" dtr="false" t="normal">+CD408+1</f>
        <v>389</v>
      </c>
      <c r="CE409" s="117" t="s">
        <v>463</v>
      </c>
      <c r="CF409" s="104" t="s">
        <v>111</v>
      </c>
      <c r="CG409" s="117" t="s">
        <v>344</v>
      </c>
      <c r="CH409" s="188" t="n">
        <f aca="false" ca="true" dt2D="false" dtr="false" t="normal">SUBTOTAL(9, CI409:CW409)</f>
        <v>30368838.4546337</v>
      </c>
      <c r="CI409" s="114" t="n"/>
      <c r="CJ409" s="114" t="n"/>
      <c r="CK409" s="114" t="n">
        <v>1699976.02</v>
      </c>
      <c r="CL409" s="114" t="n"/>
      <c r="CM409" s="114" t="n"/>
      <c r="CN409" s="114" t="n"/>
      <c r="CO409" s="114" t="n"/>
      <c r="CP409" s="114" t="n"/>
      <c r="CQ409" s="114" t="n"/>
      <c r="CR409" s="114" t="n"/>
      <c r="CS409" s="114" t="n">
        <v>21539537.78</v>
      </c>
      <c r="CT409" s="114" t="n">
        <v>5244019.1</v>
      </c>
      <c r="CU409" s="114" t="n">
        <v>580000.19</v>
      </c>
      <c r="CV409" s="114" t="n">
        <v>12000</v>
      </c>
      <c r="CW409" s="115" t="n">
        <v>1293305.3646337</v>
      </c>
      <c r="CZ409" s="117" t="s">
        <v>344</v>
      </c>
      <c r="DA409" s="189" t="n">
        <f aca="false" ca="true" dt2D="false" dtr="false" t="normal">SUBTOTAL(9, DB409:DP409)</f>
        <v>29075533.09</v>
      </c>
      <c r="DB409" s="114" t="n"/>
      <c r="DC409" s="114" t="n"/>
      <c r="DD409" s="114" t="n">
        <v>1699976.02</v>
      </c>
      <c r="DE409" s="114" t="n"/>
      <c r="DF409" s="114" t="n"/>
      <c r="DG409" s="114" t="n"/>
      <c r="DH409" s="114" t="n"/>
      <c r="DI409" s="114" t="n"/>
      <c r="DJ409" s="114" t="n"/>
      <c r="DK409" s="114" t="n"/>
      <c r="DL409" s="114" t="n">
        <v>21539537.78</v>
      </c>
      <c r="DM409" s="114" t="n">
        <v>5244019.1</v>
      </c>
      <c r="DN409" s="114" t="n">
        <v>580000.19</v>
      </c>
      <c r="DO409" s="114" t="n">
        <v>12000</v>
      </c>
      <c r="DP409" s="122" t="n"/>
      <c r="DQ409" s="3" t="n">
        <f aca="false" ca="false" dt2D="false" dtr="false" t="normal">N409-DA409</f>
        <v>0</v>
      </c>
      <c r="DS409" s="9" t="n"/>
    </row>
    <row hidden="false" ht="15" outlineLevel="0" r="410">
      <c r="A410" s="183" t="n">
        <f aca="false" ca="false" dt2D="false" dtr="false" t="normal">+A409+1</f>
        <v>390</v>
      </c>
      <c r="B410" s="117" t="n">
        <v>197</v>
      </c>
      <c r="C410" s="104" t="s">
        <v>111</v>
      </c>
      <c r="D410" s="104" t="s">
        <v>139</v>
      </c>
      <c r="E410" s="105" t="n">
        <v>1974</v>
      </c>
      <c r="F410" s="105" t="n">
        <v>2013</v>
      </c>
      <c r="G410" s="105" t="s">
        <v>68</v>
      </c>
      <c r="H410" s="105" t="n">
        <v>4</v>
      </c>
      <c r="I410" s="105" t="n">
        <v>4</v>
      </c>
      <c r="J410" s="106" t="n">
        <v>3890.5</v>
      </c>
      <c r="K410" s="106" t="n">
        <v>3406.6</v>
      </c>
      <c r="L410" s="106" t="n">
        <v>0</v>
      </c>
      <c r="M410" s="107" t="n">
        <v>175</v>
      </c>
      <c r="N410" s="108" t="n">
        <f aca="false" ca="false" dt2D="false" dtr="false" t="normal">SUM(P410:T410)</f>
        <v>1292467.79</v>
      </c>
      <c r="O410" s="106" t="n"/>
      <c r="P410" s="114" t="n">
        <v>924919.81</v>
      </c>
      <c r="Q410" s="114" t="n"/>
      <c r="R410" s="114" t="n">
        <v>347473.2</v>
      </c>
      <c r="S410" s="114" t="n">
        <v>20074.78</v>
      </c>
      <c r="T410" s="114" t="n"/>
      <c r="U410" s="106" t="n">
        <v>400.129281949745</v>
      </c>
      <c r="V410" s="106" t="n">
        <v>400.129281949745</v>
      </c>
      <c r="W410" s="110" t="n">
        <v>2023</v>
      </c>
      <c r="X410" s="9" t="e">
        <f aca="false" ca="false" dt2D="false" dtr="false" t="normal">+#REF!-'[9]Приложение №1'!$P987</f>
        <v>#REF!</v>
      </c>
      <c r="Z410" s="113" t="n">
        <f aca="false" ca="false" dt2D="false" dtr="false" t="normal">SUM(AA410:AO410)</f>
        <v>24100395.781890016</v>
      </c>
      <c r="AA410" s="106" t="n">
        <v>0</v>
      </c>
      <c r="AB410" s="106" t="n">
        <v>0</v>
      </c>
      <c r="AC410" s="106" t="n">
        <v>0</v>
      </c>
      <c r="AD410" s="106" t="n">
        <v>0</v>
      </c>
      <c r="AE410" s="106" t="n">
        <v>1356671.24</v>
      </c>
      <c r="AF410" s="106" t="n"/>
      <c r="AG410" s="106" t="n">
        <v>0</v>
      </c>
      <c r="AH410" s="106" t="n">
        <v>0</v>
      </c>
      <c r="AI410" s="106" t="n">
        <v>0</v>
      </c>
      <c r="AJ410" s="106" t="n">
        <v>0</v>
      </c>
      <c r="AK410" s="106" t="n">
        <v>19641111.6000809</v>
      </c>
      <c r="AL410" s="106" t="n">
        <v>0</v>
      </c>
      <c r="AM410" s="106" t="n">
        <v>2439179.822</v>
      </c>
      <c r="AN410" s="114" t="n">
        <v>227512.6172</v>
      </c>
      <c r="AO410" s="115" t="n">
        <v>435920.50260912</v>
      </c>
      <c r="AP410" s="112" t="n">
        <f aca="false" ca="false" dt2D="false" dtr="false" t="normal">+N410-'Приложение №2'!E410</f>
        <v>0</v>
      </c>
      <c r="AQ410" s="9" t="n">
        <f aca="false" ca="false" dt2D="false" dtr="false" t="normal">1535272.52-R79</f>
        <v>348389.1000000001</v>
      </c>
      <c r="AR410" s="3" t="n">
        <f aca="false" ca="false" dt2D="false" dtr="false" t="normal">+(K410*10+L410*20)*12*0.85</f>
        <v>347473.2</v>
      </c>
      <c r="AS410" s="3" t="n">
        <f aca="false" ca="false" dt2D="false" dtr="false" t="normal">+(K410*10+L410*20)*12*30-S79</f>
        <v>32893.11999999918</v>
      </c>
      <c r="AT410" s="9" t="n">
        <f aca="false" ca="false" dt2D="false" dtr="false" t="normal">+S410-AS410</f>
        <v>-12818.339999999182</v>
      </c>
      <c r="AU410" s="9" t="e">
        <f aca="false" ca="false" dt2D="false" dtr="false" t="normal">+P410-'[5]Приложение №1'!$P278</f>
        <v>#REF!</v>
      </c>
      <c r="AV410" s="9" t="e">
        <f aca="false" ca="false" dt2D="false" dtr="false" t="normal">+Q410-'[5]Приложение №1'!$Q278</f>
        <v>#REF!</v>
      </c>
      <c r="AW410" s="113" t="n">
        <f aca="false" ca="true" dt2D="false" dtr="false" t="normal">SUBTOTAL(9, AX410:BL410)</f>
        <v>1363080.41189</v>
      </c>
      <c r="AX410" s="106" t="n">
        <v>0</v>
      </c>
      <c r="AY410" s="106" t="n">
        <v>0</v>
      </c>
      <c r="AZ410" s="106" t="n">
        <v>0</v>
      </c>
      <c r="BA410" s="106" t="n">
        <v>0</v>
      </c>
      <c r="BB410" s="106" t="n">
        <v>1356671.24</v>
      </c>
      <c r="BC410" s="106" t="n"/>
      <c r="BD410" s="106" t="n"/>
      <c r="BE410" s="106" t="n">
        <v>0</v>
      </c>
      <c r="BF410" s="106" t="n">
        <v>0</v>
      </c>
      <c r="BG410" s="106" t="n">
        <v>0</v>
      </c>
      <c r="BH410" s="106" t="n"/>
      <c r="BI410" s="106" t="n">
        <v>0</v>
      </c>
      <c r="BJ410" s="106" t="n"/>
      <c r="BK410" s="114" t="n"/>
      <c r="BL410" s="187" t="n">
        <v>6409.17189</v>
      </c>
      <c r="BM410" s="113" t="n">
        <f aca="false" ca="true" dt2D="false" dtr="false" t="normal">SUBTOTAL(9, BN410:CB410)</f>
        <v>1363080.41189</v>
      </c>
      <c r="BN410" s="106" t="n">
        <v>0</v>
      </c>
      <c r="BO410" s="106" t="n">
        <v>0</v>
      </c>
      <c r="BP410" s="106" t="n">
        <v>0</v>
      </c>
      <c r="BQ410" s="106" t="n">
        <v>0</v>
      </c>
      <c r="BR410" s="106" t="n">
        <v>1356671.24</v>
      </c>
      <c r="BS410" s="106" t="n"/>
      <c r="BT410" s="106" t="n"/>
      <c r="BU410" s="106" t="n">
        <v>0</v>
      </c>
      <c r="BV410" s="106" t="n">
        <v>0</v>
      </c>
      <c r="BW410" s="106" t="n">
        <v>0</v>
      </c>
      <c r="BX410" s="106" t="n"/>
      <c r="BY410" s="106" t="n">
        <v>0</v>
      </c>
      <c r="BZ410" s="106" t="n"/>
      <c r="CA410" s="114" t="n"/>
      <c r="CB410" s="115" t="n">
        <v>6409.17189</v>
      </c>
      <c r="CD410" s="116" t="n">
        <f aca="false" ca="false" dt2D="false" dtr="false" t="normal">+CD409+1</f>
        <v>390</v>
      </c>
      <c r="CE410" s="117" t="n">
        <v>197</v>
      </c>
      <c r="CF410" s="104" t="s">
        <v>111</v>
      </c>
      <c r="CG410" s="117" t="s">
        <v>139</v>
      </c>
      <c r="CH410" s="118" t="n">
        <f aca="false" ca="true" dt2D="false" dtr="false" t="normal">SUBTOTAL(9, CI410:CW410)</f>
        <v>1298876.9618900002</v>
      </c>
      <c r="CI410" s="114" t="n">
        <v>0</v>
      </c>
      <c r="CJ410" s="114" t="n">
        <v>0</v>
      </c>
      <c r="CK410" s="114" t="n">
        <v>0</v>
      </c>
      <c r="CL410" s="114" t="n">
        <v>0</v>
      </c>
      <c r="CM410" s="114" t="n">
        <v>1292467.79</v>
      </c>
      <c r="CN410" s="114" t="n"/>
      <c r="CO410" s="114" t="n"/>
      <c r="CP410" s="114" t="n">
        <v>0</v>
      </c>
      <c r="CQ410" s="114" t="n">
        <v>0</v>
      </c>
      <c r="CR410" s="114" t="n">
        <v>0</v>
      </c>
      <c r="CS410" s="114" t="n"/>
      <c r="CT410" s="114" t="n">
        <v>0</v>
      </c>
      <c r="CU410" s="114" t="n"/>
      <c r="CV410" s="114" t="n"/>
      <c r="CW410" s="115" t="n">
        <v>6409.17189</v>
      </c>
      <c r="CZ410" s="117" t="s">
        <v>139</v>
      </c>
      <c r="DA410" s="119" t="n">
        <f aca="false" ca="true" dt2D="false" dtr="false" t="normal">SUBTOTAL(9, DB410:DP410)</f>
        <v>1292467.79</v>
      </c>
      <c r="DB410" s="114" t="n">
        <v>0</v>
      </c>
      <c r="DC410" s="114" t="n">
        <v>0</v>
      </c>
      <c r="DD410" s="114" t="n">
        <v>0</v>
      </c>
      <c r="DE410" s="114" t="n">
        <v>0</v>
      </c>
      <c r="DF410" s="114" t="n">
        <v>1292467.79</v>
      </c>
      <c r="DG410" s="114" t="n"/>
      <c r="DH410" s="114" t="n"/>
      <c r="DI410" s="114" t="n">
        <v>0</v>
      </c>
      <c r="DJ410" s="114" t="n">
        <v>0</v>
      </c>
      <c r="DK410" s="114" t="n">
        <v>0</v>
      </c>
      <c r="DL410" s="114" t="n"/>
      <c r="DM410" s="114" t="n">
        <v>0</v>
      </c>
      <c r="DN410" s="114" t="n"/>
      <c r="DO410" s="114" t="n"/>
      <c r="DP410" s="122" t="n"/>
      <c r="DQ410" s="3" t="n">
        <f aca="false" ca="false" dt2D="false" dtr="false" t="normal">N410-DA410</f>
        <v>0</v>
      </c>
      <c r="DS410" s="9" t="n"/>
    </row>
    <row hidden="false" ht="15" outlineLevel="0" r="411">
      <c r="A411" s="183" t="n">
        <f aca="false" ca="false" dt2D="false" dtr="false" t="normal">+A410+1</f>
        <v>391</v>
      </c>
      <c r="B411" s="117" t="s">
        <v>463</v>
      </c>
      <c r="C411" s="117" t="s">
        <v>111</v>
      </c>
      <c r="D411" s="117" t="s">
        <v>351</v>
      </c>
      <c r="E411" s="105" t="n">
        <v>1979</v>
      </c>
      <c r="F411" s="105" t="n">
        <v>2013</v>
      </c>
      <c r="G411" s="105" t="s">
        <v>68</v>
      </c>
      <c r="H411" s="105" t="n">
        <v>5</v>
      </c>
      <c r="I411" s="105" t="n">
        <v>4</v>
      </c>
      <c r="J411" s="106" t="n">
        <v>3602.3</v>
      </c>
      <c r="K411" s="106" t="n">
        <v>3466.4</v>
      </c>
      <c r="L411" s="106" t="n">
        <v>0</v>
      </c>
      <c r="M411" s="107" t="n">
        <v>87</v>
      </c>
      <c r="N411" s="108" t="n">
        <f aca="false" ca="false" dt2D="false" dtr="false" t="normal">SUM(P411:T411)</f>
        <v>12686908.63</v>
      </c>
      <c r="O411" s="114" t="n"/>
      <c r="P411" s="114" t="n"/>
      <c r="Q411" s="114" t="n"/>
      <c r="R411" s="114" t="n">
        <v>1700767.73</v>
      </c>
      <c r="S411" s="114" t="n">
        <v>10986140.9</v>
      </c>
      <c r="T411" s="114" t="n"/>
      <c r="U411" s="114" t="n">
        <v>5381.50136006837</v>
      </c>
      <c r="V411" s="114" t="n">
        <v>1278.283020064</v>
      </c>
      <c r="W411" s="110" t="n">
        <v>2023</v>
      </c>
      <c r="X411" s="9" t="e">
        <f aca="false" ca="false" dt2D="false" dtr="false" t="normal">+#REF!-'[9]Приложение №1'!$P1187</f>
        <v>#REF!</v>
      </c>
      <c r="Z411" s="113" t="n">
        <f aca="false" ca="false" dt2D="false" dtr="false" t="normal">SUM(AA411:AO411)</f>
        <v>20589034.119999997</v>
      </c>
      <c r="AA411" s="106" t="n">
        <v>9020010.469638</v>
      </c>
      <c r="AB411" s="106" t="n">
        <v>3231794.773788</v>
      </c>
      <c r="AC411" s="106" t="n">
        <v>3412556.667282</v>
      </c>
      <c r="AD411" s="106" t="n">
        <v>2178146.673738</v>
      </c>
      <c r="AE411" s="106" t="n">
        <v>1610487.098934</v>
      </c>
      <c r="AF411" s="106" t="n"/>
      <c r="AG411" s="106" t="n">
        <v>324068.03835</v>
      </c>
      <c r="AH411" s="106" t="n">
        <v>0</v>
      </c>
      <c r="AI411" s="106" t="n">
        <v>0</v>
      </c>
      <c r="AJ411" s="106" t="n">
        <v>0</v>
      </c>
      <c r="AK411" s="106" t="n">
        <v>0</v>
      </c>
      <c r="AL411" s="106" t="n">
        <v>0</v>
      </c>
      <c r="AM411" s="106" t="n">
        <v>334025.17</v>
      </c>
      <c r="AN411" s="106" t="n">
        <v>45460.9</v>
      </c>
      <c r="AO411" s="115" t="n">
        <v>432484.32827</v>
      </c>
      <c r="AP411" s="112" t="n">
        <f aca="false" ca="false" dt2D="false" dtr="false" t="normal">+N411-'Приложение №2'!E411</f>
        <v>0</v>
      </c>
      <c r="AQ411" s="121" t="n">
        <v>2119168.21</v>
      </c>
      <c r="AR411" s="3" t="n">
        <f aca="false" ca="false" dt2D="false" dtr="false" t="normal">+(K411*10.5+L411*21)*12*0.85</f>
        <v>371251.44</v>
      </c>
      <c r="AS411" s="3" t="n">
        <f aca="false" ca="false" dt2D="false" dtr="false" t="normal">+(K411*10.5+L411*21)*12*30</f>
        <v>13102992</v>
      </c>
      <c r="AT411" s="9" t="n">
        <f aca="false" ca="false" dt2D="false" dtr="false" t="normal">+S411-AS411</f>
        <v>-2116851.0999999996</v>
      </c>
      <c r="AU411" s="9" t="e">
        <f aca="false" ca="false" dt2D="false" dtr="false" t="normal">+P411-'[5]Приложение №1'!$P727</f>
        <v>#REF!</v>
      </c>
      <c r="AV411" s="9" t="e">
        <f aca="false" ca="false" dt2D="false" dtr="false" t="normal">+Q411-'[5]Приложение №1'!$Q727</f>
        <v>#REF!</v>
      </c>
      <c r="AW411" s="186" t="n">
        <f aca="false" ca="true" dt2D="false" dtr="false" t="normal">SUBTOTAL(9, AX411:BL411)</f>
        <v>18654436.314541005</v>
      </c>
      <c r="AX411" s="106" t="n">
        <v>9020010.469638</v>
      </c>
      <c r="AY411" s="106" t="n">
        <v>3057898.49</v>
      </c>
      <c r="AZ411" s="106" t="n">
        <v>3412556.667282</v>
      </c>
      <c r="BA411" s="106" t="n">
        <v>2178472.49</v>
      </c>
      <c r="BB411" s="106" t="n"/>
      <c r="BC411" s="106" t="n"/>
      <c r="BD411" s="106" t="n">
        <v>324068.03835</v>
      </c>
      <c r="BE411" s="106" t="n">
        <v>0</v>
      </c>
      <c r="BF411" s="106" t="n">
        <v>0</v>
      </c>
      <c r="BG411" s="106" t="n">
        <v>0</v>
      </c>
      <c r="BH411" s="106" t="n">
        <v>0</v>
      </c>
      <c r="BI411" s="106" t="n">
        <v>0</v>
      </c>
      <c r="BJ411" s="106" t="n">
        <v>239862.8475</v>
      </c>
      <c r="BK411" s="106" t="n">
        <f aca="false" ca="false" dt2D="false" dtr="false" t="normal">24000</f>
        <v>24000</v>
      </c>
      <c r="BL411" s="187" t="n">
        <v>397567.311771</v>
      </c>
      <c r="BM411" s="186" t="n">
        <f aca="false" ca="true" dt2D="false" dtr="false" t="normal">SUBTOTAL(9, BN411:CB411)</f>
        <v>16991652.147259</v>
      </c>
      <c r="BN411" s="106" t="n">
        <v>9020010.469638</v>
      </c>
      <c r="BO411" s="106" t="n">
        <v>3057898.49</v>
      </c>
      <c r="BP411" s="106" t="n">
        <v>1749772.5</v>
      </c>
      <c r="BQ411" s="106" t="n">
        <v>2178472.49</v>
      </c>
      <c r="BR411" s="106" t="n"/>
      <c r="BS411" s="106" t="n"/>
      <c r="BT411" s="106" t="n">
        <v>324068.03835</v>
      </c>
      <c r="BU411" s="106" t="n">
        <v>0</v>
      </c>
      <c r="BV411" s="106" t="n">
        <v>0</v>
      </c>
      <c r="BW411" s="106" t="n">
        <v>0</v>
      </c>
      <c r="BX411" s="106" t="n">
        <v>0</v>
      </c>
      <c r="BY411" s="106" t="n">
        <v>0</v>
      </c>
      <c r="BZ411" s="106" t="n">
        <v>239862.8475</v>
      </c>
      <c r="CA411" s="106" t="n">
        <f aca="false" ca="false" dt2D="false" dtr="false" t="normal">24000</f>
        <v>24000</v>
      </c>
      <c r="CB411" s="115" t="n">
        <v>397567.311771</v>
      </c>
      <c r="CD411" s="116" t="n">
        <f aca="false" ca="false" dt2D="false" dtr="false" t="normal">+CD410+1</f>
        <v>391</v>
      </c>
      <c r="CE411" s="117" t="s">
        <v>463</v>
      </c>
      <c r="CF411" s="104" t="s">
        <v>111</v>
      </c>
      <c r="CG411" s="117" t="s">
        <v>351</v>
      </c>
      <c r="CH411" s="188" t="n">
        <f aca="false" ca="true" dt2D="false" dtr="false" t="normal">SUBTOTAL(9, CI411:CW411)</f>
        <v>13084475.941770999</v>
      </c>
      <c r="CI411" s="114" t="n">
        <v>6551161.51</v>
      </c>
      <c r="CJ411" s="114" t="n">
        <v>3815348.46</v>
      </c>
      <c r="CK411" s="114" t="n"/>
      <c r="CL411" s="114" t="n">
        <v>2106297.9</v>
      </c>
      <c r="CM411" s="114" t="n"/>
      <c r="CN411" s="114" t="n"/>
      <c r="CO411" s="114" t="n"/>
      <c r="CP411" s="114" t="n">
        <v>0</v>
      </c>
      <c r="CQ411" s="114" t="n">
        <v>0</v>
      </c>
      <c r="CR411" s="114" t="n">
        <v>0</v>
      </c>
      <c r="CS411" s="114" t="n">
        <v>0</v>
      </c>
      <c r="CT411" s="114" t="n">
        <v>0</v>
      </c>
      <c r="CU411" s="114" t="n">
        <v>196100.76</v>
      </c>
      <c r="CV411" s="114" t="n">
        <v>18000</v>
      </c>
      <c r="CW411" s="115" t="n">
        <v>397567.311771</v>
      </c>
      <c r="CZ411" s="117" t="s">
        <v>351</v>
      </c>
      <c r="DA411" s="189" t="n">
        <f aca="false" ca="true" dt2D="false" dtr="false" t="normal">SUBTOTAL(9, DB411:DP411)</f>
        <v>12686908.629999999</v>
      </c>
      <c r="DB411" s="114" t="n">
        <v>6551161.51</v>
      </c>
      <c r="DC411" s="114" t="n">
        <v>3815348.46</v>
      </c>
      <c r="DD411" s="114" t="n"/>
      <c r="DE411" s="114" t="n">
        <v>2106297.9</v>
      </c>
      <c r="DF411" s="114" t="n"/>
      <c r="DG411" s="114" t="n"/>
      <c r="DH411" s="114" t="n"/>
      <c r="DI411" s="114" t="n">
        <v>0</v>
      </c>
      <c r="DJ411" s="114" t="n">
        <v>0</v>
      </c>
      <c r="DK411" s="114" t="n">
        <v>0</v>
      </c>
      <c r="DL411" s="114" t="n">
        <v>0</v>
      </c>
      <c r="DM411" s="114" t="n">
        <v>0</v>
      </c>
      <c r="DN411" s="114" t="n">
        <v>196100.76</v>
      </c>
      <c r="DO411" s="114" t="n">
        <v>18000</v>
      </c>
      <c r="DP411" s="122" t="n"/>
      <c r="DQ411" s="3" t="n">
        <f aca="false" ca="false" dt2D="false" dtr="false" t="normal">N411-DA411</f>
        <v>0</v>
      </c>
      <c r="DS411" s="9" t="n"/>
    </row>
    <row hidden="false" ht="15" outlineLevel="0" r="412">
      <c r="A412" s="183" t="n">
        <f aca="false" ca="false" dt2D="false" dtr="false" t="normal">+A411+1</f>
        <v>392</v>
      </c>
      <c r="B412" s="117" t="s">
        <v>463</v>
      </c>
      <c r="C412" s="117" t="s">
        <v>111</v>
      </c>
      <c r="D412" s="117" t="s">
        <v>353</v>
      </c>
      <c r="E412" s="105" t="n">
        <v>1978</v>
      </c>
      <c r="F412" s="105" t="n">
        <v>2008</v>
      </c>
      <c r="G412" s="105" t="s">
        <v>68</v>
      </c>
      <c r="H412" s="105" t="n">
        <v>5</v>
      </c>
      <c r="I412" s="105" t="n">
        <v>4</v>
      </c>
      <c r="J412" s="106" t="n">
        <v>4929.7</v>
      </c>
      <c r="K412" s="106" t="n">
        <v>4335.1</v>
      </c>
      <c r="L412" s="106" t="n">
        <v>0</v>
      </c>
      <c r="M412" s="107" t="n">
        <v>213</v>
      </c>
      <c r="N412" s="108" t="n">
        <f aca="false" ca="false" dt2D="false" dtr="false" t="normal">SUM(P412:T412)</f>
        <v>1676807.21</v>
      </c>
      <c r="O412" s="114" t="n"/>
      <c r="P412" s="114" t="n"/>
      <c r="Q412" s="114" t="n"/>
      <c r="R412" s="114" t="n">
        <v>1291080.13</v>
      </c>
      <c r="S412" s="114" t="n">
        <v>385727.08</v>
      </c>
      <c r="T412" s="190" t="n"/>
      <c r="U412" s="106" t="n">
        <v>2164.31923369703</v>
      </c>
      <c r="V412" s="106" t="n">
        <v>2164.31923369703</v>
      </c>
      <c r="W412" s="110" t="n">
        <v>2023</v>
      </c>
      <c r="X412" s="9" t="e">
        <f aca="false" ca="false" dt2D="false" dtr="false" t="normal">+#REF!-'[9]Приложение №1'!$P1141</f>
        <v>#REF!</v>
      </c>
      <c r="Z412" s="113" t="n">
        <f aca="false" ca="false" dt2D="false" dtr="false" t="normal">SUM(AA412:AO412)</f>
        <v>44837101.50992996</v>
      </c>
      <c r="AA412" s="106" t="n">
        <v>0</v>
      </c>
      <c r="AB412" s="106" t="n">
        <v>4199173.3275891</v>
      </c>
      <c r="AC412" s="106" t="n">
        <v>4438837.12778016</v>
      </c>
      <c r="AD412" s="106" t="n">
        <v>3384651.04316304</v>
      </c>
      <c r="AE412" s="106" t="n">
        <v>1471946.54</v>
      </c>
      <c r="AF412" s="106" t="n"/>
      <c r="AG412" s="106" t="n">
        <v>360791.8959624</v>
      </c>
      <c r="AH412" s="106" t="n">
        <v>0</v>
      </c>
      <c r="AI412" s="106" t="n">
        <v>0</v>
      </c>
      <c r="AJ412" s="106" t="n">
        <v>0</v>
      </c>
      <c r="AK412" s="106" t="n">
        <v>25094924.3780642</v>
      </c>
      <c r="AL412" s="106" t="n">
        <v>0</v>
      </c>
      <c r="AM412" s="106" t="n">
        <v>4627048.3442</v>
      </c>
      <c r="AN412" s="114" t="n">
        <v>433511.5079</v>
      </c>
      <c r="AO412" s="115" t="n">
        <v>826217.34527106</v>
      </c>
      <c r="AP412" s="112" t="n"/>
      <c r="AQ412" s="9" t="n">
        <f aca="false" ca="false" dt2D="false" dtr="false" t="normal">2077071.68</f>
        <v>2077071.68</v>
      </c>
      <c r="AR412" s="3" t="n">
        <f aca="false" ca="false" dt2D="false" dtr="false" t="normal">+(K412*10+L412*20)*12*0.85</f>
        <v>442180.2</v>
      </c>
      <c r="AS412" s="3" t="n">
        <f aca="false" ca="false" dt2D="false" dtr="false" t="normal">+(K412*10+L412*20)*12*30</f>
        <v>15606360</v>
      </c>
      <c r="AT412" s="9" t="n">
        <f aca="false" ca="false" dt2D="false" dtr="false" t="normal">+S412-AS412</f>
        <v>-15220632.92</v>
      </c>
      <c r="AU412" s="9" t="e">
        <f aca="false" ca="false" dt2D="false" dtr="false" t="normal">+P412-'[5]Приложение №1'!$P432</f>
        <v>#REF!</v>
      </c>
      <c r="AV412" s="9" t="e">
        <f aca="false" ca="false" dt2D="false" dtr="false" t="normal">+Q412-'[5]Приложение №1'!$Q432</f>
        <v>#REF!</v>
      </c>
      <c r="AW412" s="113" t="n">
        <f aca="false" ca="true" dt2D="false" dtr="false" t="normal">SUBTOTAL(9, AX412:BL412)</f>
        <v>9382540.31265751</v>
      </c>
      <c r="AX412" s="106" t="n">
        <v>0</v>
      </c>
      <c r="AY412" s="106" t="n">
        <v>2812958.67870069</v>
      </c>
      <c r="AZ412" s="106" t="n">
        <v>4438837.12778016</v>
      </c>
      <c r="BA412" s="106" t="n"/>
      <c r="BB412" s="106" t="n">
        <v>1471946.54</v>
      </c>
      <c r="BC412" s="106" t="n"/>
      <c r="BD412" s="106" t="n"/>
      <c r="BE412" s="106" t="n">
        <v>0</v>
      </c>
      <c r="BF412" s="106" t="n">
        <v>0</v>
      </c>
      <c r="BG412" s="106" t="n">
        <v>0</v>
      </c>
      <c r="BH412" s="106" t="n"/>
      <c r="BI412" s="106" t="n">
        <v>0</v>
      </c>
      <c r="BJ412" s="106" t="n"/>
      <c r="BK412" s="114" t="n"/>
      <c r="BL412" s="187" t="n">
        <f aca="false" ca="false" dt2D="false" dtr="false" t="normal">555416.30026576+103381.6659109</f>
        <v>658797.96617666</v>
      </c>
      <c r="BM412" s="113" t="n">
        <f aca="false" ca="true" dt2D="false" dtr="false" t="normal">SUBTOTAL(9, BN412:CB412)</f>
        <v>7669806.39395682</v>
      </c>
      <c r="BN412" s="106" t="n">
        <v>0</v>
      </c>
      <c r="BO412" s="106" t="n">
        <v>1100224.76</v>
      </c>
      <c r="BP412" s="106" t="n">
        <v>4438837.12778016</v>
      </c>
      <c r="BQ412" s="106" t="n"/>
      <c r="BR412" s="106" t="n">
        <v>1471946.54</v>
      </c>
      <c r="BS412" s="106" t="n"/>
      <c r="BT412" s="106" t="n"/>
      <c r="BU412" s="106" t="n">
        <v>0</v>
      </c>
      <c r="BV412" s="106" t="n">
        <v>0</v>
      </c>
      <c r="BW412" s="106" t="n">
        <v>0</v>
      </c>
      <c r="BX412" s="106" t="n"/>
      <c r="BY412" s="106" t="n">
        <v>0</v>
      </c>
      <c r="BZ412" s="106" t="n"/>
      <c r="CA412" s="114" t="n"/>
      <c r="CB412" s="115" t="n">
        <f aca="false" ca="false" dt2D="false" dtr="false" t="normal">555416.30026576+103381.6659109</f>
        <v>658797.96617666</v>
      </c>
      <c r="CD412" s="116" t="n">
        <f aca="false" ca="false" dt2D="false" dtr="false" t="normal">+CD411+1</f>
        <v>392</v>
      </c>
      <c r="CE412" s="117" t="s">
        <v>463</v>
      </c>
      <c r="CF412" s="104" t="s">
        <v>111</v>
      </c>
      <c r="CG412" s="117" t="s">
        <v>353</v>
      </c>
      <c r="CH412" s="118" t="n">
        <f aca="false" ca="true" dt2D="false" dtr="false" t="normal">SUBTOTAL(9, CI412:CW412)</f>
        <v>2335605.1761766598</v>
      </c>
      <c r="CI412" s="114" t="n">
        <v>0</v>
      </c>
      <c r="CJ412" s="114" t="n"/>
      <c r="CK412" s="114" t="n"/>
      <c r="CL412" s="114" t="n"/>
      <c r="CM412" s="114" t="n">
        <v>1676807.21</v>
      </c>
      <c r="CN412" s="114" t="n"/>
      <c r="CO412" s="114" t="n"/>
      <c r="CP412" s="114" t="n">
        <v>0</v>
      </c>
      <c r="CQ412" s="114" t="n">
        <v>0</v>
      </c>
      <c r="CR412" s="114" t="n">
        <v>0</v>
      </c>
      <c r="CS412" s="114" t="n"/>
      <c r="CT412" s="114" t="n">
        <v>0</v>
      </c>
      <c r="CU412" s="114" t="n"/>
      <c r="CV412" s="114" t="n"/>
      <c r="CW412" s="115" t="n">
        <f aca="false" ca="false" dt2D="false" dtr="false" t="normal">555416.30026576+103381.6659109</f>
        <v>658797.96617666</v>
      </c>
      <c r="CZ412" s="117" t="s">
        <v>353</v>
      </c>
      <c r="DA412" s="119" t="n">
        <f aca="false" ca="true" dt2D="false" dtr="false" t="normal">SUBTOTAL(9, DB412:DP412)</f>
        <v>1676807.21</v>
      </c>
      <c r="DB412" s="114" t="n">
        <v>0</v>
      </c>
      <c r="DC412" s="114" t="n"/>
      <c r="DD412" s="114" t="n"/>
      <c r="DE412" s="114" t="n"/>
      <c r="DF412" s="114" t="n">
        <v>1676807.21</v>
      </c>
      <c r="DG412" s="114" t="n"/>
      <c r="DH412" s="114" t="n"/>
      <c r="DI412" s="114" t="n">
        <v>0</v>
      </c>
      <c r="DJ412" s="114" t="n">
        <v>0</v>
      </c>
      <c r="DK412" s="114" t="n">
        <v>0</v>
      </c>
      <c r="DL412" s="114" t="n"/>
      <c r="DM412" s="114" t="n">
        <v>0</v>
      </c>
      <c r="DN412" s="114" t="n"/>
      <c r="DO412" s="114" t="n"/>
      <c r="DP412" s="122" t="n"/>
      <c r="DQ412" s="3" t="n">
        <f aca="false" ca="false" dt2D="false" dtr="false" t="normal">N412-DA412</f>
        <v>0</v>
      </c>
      <c r="DS412" s="9" t="n"/>
    </row>
    <row hidden="false" ht="15" outlineLevel="0" r="413">
      <c r="A413" s="183" t="n">
        <f aca="false" ca="false" dt2D="false" dtr="false" t="normal">+A412+1</f>
        <v>393</v>
      </c>
      <c r="B413" s="117" t="n">
        <v>198</v>
      </c>
      <c r="C413" s="104" t="s">
        <v>111</v>
      </c>
      <c r="D413" s="104" t="s">
        <v>149</v>
      </c>
      <c r="E413" s="105" t="n">
        <v>1990</v>
      </c>
      <c r="F413" s="105" t="n">
        <v>2005</v>
      </c>
      <c r="G413" s="105" t="s">
        <v>68</v>
      </c>
      <c r="H413" s="105" t="n">
        <v>5</v>
      </c>
      <c r="I413" s="105" t="n">
        <v>4</v>
      </c>
      <c r="J413" s="106" t="n">
        <v>4982</v>
      </c>
      <c r="K413" s="106" t="n">
        <v>4404.6</v>
      </c>
      <c r="L413" s="106" t="n">
        <v>0</v>
      </c>
      <c r="M413" s="107" t="n">
        <v>212</v>
      </c>
      <c r="N413" s="108" t="n">
        <f aca="false" ca="false" dt2D="false" dtr="false" t="normal">SUM(P413:T413)</f>
        <v>2612741.62</v>
      </c>
      <c r="O413" s="114" t="n"/>
      <c r="P413" s="114" t="n">
        <v>1723683.928</v>
      </c>
      <c r="Q413" s="114" t="n"/>
      <c r="R413" s="114" t="n">
        <v>627783.53</v>
      </c>
      <c r="S413" s="114" t="n">
        <v>97961.1247870401</v>
      </c>
      <c r="T413" s="114" t="n">
        <v>163313.03721296</v>
      </c>
      <c r="U413" s="114" t="n">
        <v>1039.2822625437</v>
      </c>
      <c r="V413" s="114" t="n">
        <v>1285.283020064</v>
      </c>
      <c r="W413" s="110" t="n">
        <v>2023</v>
      </c>
      <c r="X413" s="9" t="e">
        <f aca="false" ca="false" dt2D="false" dtr="false" t="normal">+#REF!-'[9]Приложение №1'!$P1394</f>
        <v>#REF!</v>
      </c>
      <c r="Z413" s="113" t="n">
        <f aca="false" ca="false" dt2D="false" dtr="false" t="normal">SUM(AA413:AO413)</f>
        <v>49032236.019999966</v>
      </c>
      <c r="AA413" s="106" t="n">
        <v>0</v>
      </c>
      <c r="AB413" s="106" t="n">
        <v>0</v>
      </c>
      <c r="AC413" s="106" t="n">
        <v>4479661.52881296</v>
      </c>
      <c r="AD413" s="106" t="n">
        <v>0</v>
      </c>
      <c r="AE413" s="106" t="n">
        <v>0</v>
      </c>
      <c r="AF413" s="106" t="n"/>
      <c r="AG413" s="106" t="n">
        <v>0</v>
      </c>
      <c r="AH413" s="106" t="n">
        <v>0</v>
      </c>
      <c r="AI413" s="106" t="n">
        <v>13044373.2933948</v>
      </c>
      <c r="AJ413" s="106" t="n">
        <v>0</v>
      </c>
      <c r="AK413" s="106" t="n">
        <v>25325724.749393</v>
      </c>
      <c r="AL413" s="106" t="n">
        <v>0</v>
      </c>
      <c r="AM413" s="106" t="n">
        <v>4755116.6318</v>
      </c>
      <c r="AN413" s="114" t="n">
        <v>490322.3602</v>
      </c>
      <c r="AO413" s="115" t="n">
        <v>937037.4563992</v>
      </c>
      <c r="AP413" s="112" t="n">
        <f aca="false" ca="false" dt2D="false" dtr="false" t="normal">+N413-'Приложение №2'!E413</f>
        <v>0</v>
      </c>
      <c r="AQ413" s="9" t="n">
        <f aca="false" ca="false" dt2D="false" dtr="false" t="normal">2706527.87-R88</f>
        <v>156050.8700000001</v>
      </c>
      <c r="AR413" s="3" t="n">
        <f aca="false" ca="false" dt2D="false" dtr="false" t="normal">+(K413*10.5+L413*21)*12*0.85</f>
        <v>471732.6600000001</v>
      </c>
      <c r="AS413" s="3" t="n">
        <f aca="false" ca="false" dt2D="false" dtr="false" t="normal">+(K413*10.5+L413*21)*12*30-S88</f>
        <v>411357.1983878035</v>
      </c>
      <c r="AT413" s="9" t="n">
        <f aca="false" ca="false" dt2D="false" dtr="false" t="normal">+S413-AS413</f>
        <v>-313396.0736007634</v>
      </c>
      <c r="AU413" s="9" t="e">
        <f aca="false" ca="false" dt2D="false" dtr="false" t="normal">+P413-'[5]Приложение №1'!$P568</f>
        <v>#REF!</v>
      </c>
      <c r="AV413" s="9" t="e">
        <f aca="false" ca="false" dt2D="false" dtr="false" t="normal">+Q413-'[5]Приложение №1'!$Q568</f>
        <v>#REF!</v>
      </c>
      <c r="AW413" s="186" t="n">
        <f aca="false" ca="true" dt2D="false" dtr="false" t="normal">SUBTOTAL(9, AX413:BL413)</f>
        <v>4577622.6536</v>
      </c>
      <c r="AX413" s="106" t="n">
        <v>0</v>
      </c>
      <c r="AY413" s="106" t="n">
        <v>0</v>
      </c>
      <c r="AZ413" s="106" t="n">
        <v>4479661.52881296</v>
      </c>
      <c r="BA413" s="106" t="n">
        <v>0</v>
      </c>
      <c r="BB413" s="106" t="n">
        <v>0</v>
      </c>
      <c r="BC413" s="106" t="n"/>
      <c r="BD413" s="106" t="n"/>
      <c r="BE413" s="106" t="n">
        <v>0</v>
      </c>
      <c r="BF413" s="106" t="n"/>
      <c r="BG413" s="106" t="n"/>
      <c r="BH413" s="106" t="n"/>
      <c r="BI413" s="106" t="n">
        <v>0</v>
      </c>
      <c r="BJ413" s="106" t="n"/>
      <c r="BK413" s="114" t="n"/>
      <c r="BL413" s="187" t="n">
        <v>97961.12478704</v>
      </c>
      <c r="BM413" s="186" t="n">
        <f aca="false" ca="true" dt2D="false" dtr="false" t="normal">SUBTOTAL(9, BN413:CB413)</f>
        <v>4577622.6536</v>
      </c>
      <c r="BN413" s="106" t="n">
        <v>0</v>
      </c>
      <c r="BO413" s="106" t="n">
        <v>0</v>
      </c>
      <c r="BP413" s="106" t="n">
        <v>4479661.52881296</v>
      </c>
      <c r="BQ413" s="106" t="n">
        <v>0</v>
      </c>
      <c r="BR413" s="106" t="n">
        <v>0</v>
      </c>
      <c r="BS413" s="106" t="n"/>
      <c r="BT413" s="106" t="n"/>
      <c r="BU413" s="106" t="n">
        <v>0</v>
      </c>
      <c r="BV413" s="106" t="n"/>
      <c r="BW413" s="106" t="n"/>
      <c r="BX413" s="106" t="n"/>
      <c r="BY413" s="106" t="n">
        <v>0</v>
      </c>
      <c r="BZ413" s="106" t="n"/>
      <c r="CA413" s="114" t="n"/>
      <c r="CB413" s="115" t="n">
        <v>97961.12478704</v>
      </c>
      <c r="CD413" s="116" t="n">
        <f aca="false" ca="false" dt2D="false" dtr="false" t="normal">+CD412+1</f>
        <v>393</v>
      </c>
      <c r="CE413" s="117" t="n">
        <v>198</v>
      </c>
      <c r="CF413" s="104" t="s">
        <v>111</v>
      </c>
      <c r="CG413" s="117" t="s">
        <v>149</v>
      </c>
      <c r="CH413" s="188" t="n">
        <f aca="false" ca="true" dt2D="false" dtr="false" t="normal">SUBTOTAL(9, CI413:CW413)</f>
        <v>2710702.74478704</v>
      </c>
      <c r="CI413" s="114" t="n">
        <v>0</v>
      </c>
      <c r="CJ413" s="114" t="n">
        <v>0</v>
      </c>
      <c r="CK413" s="114" t="n">
        <v>2612741.62</v>
      </c>
      <c r="CL413" s="114" t="n">
        <v>0</v>
      </c>
      <c r="CM413" s="114" t="n">
        <v>0</v>
      </c>
      <c r="CN413" s="114" t="n"/>
      <c r="CO413" s="114" t="n"/>
      <c r="CP413" s="114" t="n">
        <v>0</v>
      </c>
      <c r="CQ413" s="114" t="n"/>
      <c r="CR413" s="114" t="n"/>
      <c r="CS413" s="114" t="n"/>
      <c r="CT413" s="114" t="n">
        <v>0</v>
      </c>
      <c r="CU413" s="114" t="n"/>
      <c r="CV413" s="114" t="n"/>
      <c r="CW413" s="115" t="n">
        <v>97961.12478704</v>
      </c>
      <c r="CZ413" s="117" t="s">
        <v>149</v>
      </c>
      <c r="DA413" s="189" t="n">
        <f aca="false" ca="true" dt2D="false" dtr="false" t="normal">SUBTOTAL(9, DB413:DP413)</f>
        <v>2612741.62</v>
      </c>
      <c r="DB413" s="114" t="n">
        <v>0</v>
      </c>
      <c r="DC413" s="114" t="n">
        <v>0</v>
      </c>
      <c r="DD413" s="114" t="n">
        <v>2612741.62</v>
      </c>
      <c r="DE413" s="114" t="n">
        <v>0</v>
      </c>
      <c r="DF413" s="114" t="n">
        <v>0</v>
      </c>
      <c r="DG413" s="114" t="n"/>
      <c r="DH413" s="114" t="n"/>
      <c r="DI413" s="114" t="n">
        <v>0</v>
      </c>
      <c r="DJ413" s="114" t="n"/>
      <c r="DK413" s="114" t="n"/>
      <c r="DL413" s="114" t="n"/>
      <c r="DM413" s="114" t="n">
        <v>0</v>
      </c>
      <c r="DN413" s="114" t="n"/>
      <c r="DO413" s="114" t="n"/>
      <c r="DP413" s="122" t="n"/>
      <c r="DQ413" s="3" t="n">
        <f aca="false" ca="false" dt2D="false" dtr="false" t="normal">N413-DA413</f>
        <v>0</v>
      </c>
      <c r="DS413" s="9" t="n"/>
    </row>
    <row hidden="false" ht="15" outlineLevel="0" r="414">
      <c r="A414" s="183" t="n">
        <f aca="false" ca="false" dt2D="false" dtr="false" t="normal">+A413+1</f>
        <v>394</v>
      </c>
      <c r="B414" s="117" t="s">
        <v>463</v>
      </c>
      <c r="C414" s="117" t="s">
        <v>111</v>
      </c>
      <c r="D414" s="117" t="s">
        <v>150</v>
      </c>
      <c r="E414" s="105" t="n">
        <v>1970</v>
      </c>
      <c r="F414" s="105" t="n">
        <v>2013</v>
      </c>
      <c r="G414" s="105" t="s">
        <v>68</v>
      </c>
      <c r="H414" s="105" t="n">
        <v>5</v>
      </c>
      <c r="I414" s="105" t="n">
        <v>4</v>
      </c>
      <c r="J414" s="106" t="n">
        <v>3068</v>
      </c>
      <c r="K414" s="106" t="n">
        <v>2483.8</v>
      </c>
      <c r="L414" s="106" t="n">
        <v>584.2</v>
      </c>
      <c r="M414" s="107" t="n">
        <v>142</v>
      </c>
      <c r="N414" s="108" t="n">
        <f aca="false" ca="false" dt2D="false" dtr="false" t="normal">SUM(P414:T414)</f>
        <v>4692599.98</v>
      </c>
      <c r="O414" s="114" t="n"/>
      <c r="P414" s="114" t="n"/>
      <c r="Q414" s="114" t="n"/>
      <c r="R414" s="114" t="n"/>
      <c r="S414" s="114" t="n">
        <v>4692599.98</v>
      </c>
      <c r="T414" s="114" t="n"/>
      <c r="U414" s="114" t="n">
        <v>4744.83322534724</v>
      </c>
      <c r="V414" s="114" t="n">
        <v>4744.83322534724</v>
      </c>
      <c r="W414" s="110" t="n">
        <v>2023</v>
      </c>
      <c r="X414" s="9" t="e">
        <f aca="false" ca="false" dt2D="false" dtr="false" t="normal">+#REF!-'[9]Приложение №1'!$P1803</f>
        <v>#REF!</v>
      </c>
      <c r="Z414" s="113" t="n">
        <f aca="false" ca="false" dt2D="false" dtr="false" t="normal">SUM(AA414:AO414)</f>
        <v>25875618.41</v>
      </c>
      <c r="AA414" s="106" t="n">
        <v>5945419.54417866</v>
      </c>
      <c r="AB414" s="106" t="n">
        <v>2118597.40787478</v>
      </c>
      <c r="AC414" s="106" t="n">
        <v>2213462.88463314</v>
      </c>
      <c r="AD414" s="106" t="n">
        <v>1385767.7235402</v>
      </c>
      <c r="AE414" s="106" t="n">
        <v>0</v>
      </c>
      <c r="AF414" s="106" t="n"/>
      <c r="AG414" s="106" t="n">
        <v>228142.02967668</v>
      </c>
      <c r="AH414" s="106" t="n">
        <v>0</v>
      </c>
      <c r="AI414" s="106" t="n">
        <v>10869131.5409124</v>
      </c>
      <c r="AJ414" s="106" t="n">
        <v>0</v>
      </c>
      <c r="AK414" s="106" t="n">
        <v>0</v>
      </c>
      <c r="AL414" s="106" t="n">
        <v>0</v>
      </c>
      <c r="AM414" s="106" t="n">
        <v>2358614.5958</v>
      </c>
      <c r="AN414" s="114" t="n">
        <v>258756.1841</v>
      </c>
      <c r="AO414" s="115" t="n">
        <v>497726.49928414</v>
      </c>
      <c r="AP414" s="112" t="n">
        <f aca="false" ca="false" dt2D="false" dtr="false" t="normal">+N414-'Приложение №2'!E414</f>
        <v>0</v>
      </c>
      <c r="AQ414" s="9" t="n">
        <f aca="false" ca="false" dt2D="false" dtr="false" t="normal">504168.77-R252</f>
        <v>-267144.01</v>
      </c>
      <c r="AR414" s="3" t="n">
        <f aca="false" ca="false" dt2D="false" dtr="false" t="normal">+(K414*10+L414*20)*12*0.85</f>
        <v>372524.39999999997</v>
      </c>
      <c r="AS414" s="3" t="n">
        <f aca="false" ca="false" dt2D="false" dtr="false" t="normal">+(K414*10+L414*20)*12*30-S252</f>
        <v>2006306.210000001</v>
      </c>
      <c r="AT414" s="9" t="n">
        <f aca="false" ca="false" dt2D="false" dtr="false" t="normal">+S414-AS414</f>
        <v>2686293.7699999996</v>
      </c>
      <c r="AU414" s="9" t="e">
        <f aca="false" ca="false" dt2D="false" dtr="false" t="normal">+P414-'[5]Приложение №1'!$P444</f>
        <v>#REF!</v>
      </c>
      <c r="AV414" s="9" t="e">
        <f aca="false" ca="false" dt2D="false" dtr="false" t="normal">+Q414-'[5]Приложение №1'!$Q444</f>
        <v>#REF!</v>
      </c>
      <c r="AW414" s="113" t="n">
        <f aca="false" ca="true" dt2D="false" dtr="false" t="normal">SUBTOTAL(9, AX414:BL414)</f>
        <v>14557148.33536532</v>
      </c>
      <c r="AX414" s="106" t="n">
        <v>6546503.21</v>
      </c>
      <c r="AY414" s="106" t="n">
        <v>2315850.26</v>
      </c>
      <c r="AZ414" s="106" t="n"/>
      <c r="BA414" s="106" t="n"/>
      <c r="BB414" s="106" t="n"/>
      <c r="BC414" s="106" t="n"/>
      <c r="BD414" s="106" t="n"/>
      <c r="BE414" s="106" t="n"/>
      <c r="BF414" s="106" t="n">
        <v>5556548.12</v>
      </c>
      <c r="BG414" s="106" t="n">
        <v>0</v>
      </c>
      <c r="BH414" s="106" t="n">
        <v>0</v>
      </c>
      <c r="BI414" s="106" t="n">
        <v>0</v>
      </c>
      <c r="BJ414" s="106" t="n"/>
      <c r="BK414" s="114" t="n"/>
      <c r="BL414" s="187" t="n">
        <v>138246.74536532</v>
      </c>
      <c r="BM414" s="113" t="n">
        <f aca="false" ca="true" dt2D="false" dtr="false" t="normal">SUBTOTAL(9, BN414:CB414)</f>
        <v>14557148.33536532</v>
      </c>
      <c r="BN414" s="106" t="n">
        <v>6546503.21</v>
      </c>
      <c r="BO414" s="106" t="n">
        <v>2315850.26</v>
      </c>
      <c r="BP414" s="106" t="n"/>
      <c r="BQ414" s="106" t="n"/>
      <c r="BR414" s="106" t="n"/>
      <c r="BS414" s="106" t="n"/>
      <c r="BT414" s="106" t="n"/>
      <c r="BU414" s="106" t="n"/>
      <c r="BV414" s="106" t="n">
        <v>5556548.12</v>
      </c>
      <c r="BW414" s="106" t="n">
        <v>0</v>
      </c>
      <c r="BX414" s="106" t="n">
        <v>0</v>
      </c>
      <c r="BY414" s="106" t="n">
        <v>0</v>
      </c>
      <c r="BZ414" s="106" t="n"/>
      <c r="CA414" s="114" t="n"/>
      <c r="CB414" s="115" t="n">
        <v>138246.74536532</v>
      </c>
      <c r="CD414" s="116" t="n">
        <f aca="false" ca="false" dt2D="false" dtr="false" t="normal">+CD413+1</f>
        <v>394</v>
      </c>
      <c r="CE414" s="117" t="s">
        <v>463</v>
      </c>
      <c r="CF414" s="104" t="s">
        <v>111</v>
      </c>
      <c r="CG414" s="117" t="s">
        <v>150</v>
      </c>
      <c r="CH414" s="118" t="n">
        <f aca="false" ca="true" dt2D="false" dtr="false" t="normal">SUBTOTAL(9, CI414:CW414)</f>
        <v>4785657.97536532</v>
      </c>
      <c r="CI414" s="114" t="n">
        <v>4647411.23</v>
      </c>
      <c r="CJ414" s="114" t="n"/>
      <c r="CK414" s="114" t="n"/>
      <c r="CL414" s="114" t="n"/>
      <c r="CM414" s="114" t="n"/>
      <c r="CN414" s="114" t="n"/>
      <c r="CO414" s="114" t="n"/>
      <c r="CP414" s="114" t="n"/>
      <c r="CQ414" s="114" t="n"/>
      <c r="CR414" s="114" t="n">
        <v>0</v>
      </c>
      <c r="CS414" s="114" t="n">
        <v>0</v>
      </c>
      <c r="CT414" s="114" t="n">
        <v>0</v>
      </c>
      <c r="CU414" s="114" t="n"/>
      <c r="CV414" s="114" t="n"/>
      <c r="CW414" s="115" t="n">
        <v>138246.74536532</v>
      </c>
      <c r="CZ414" s="117" t="s">
        <v>150</v>
      </c>
      <c r="DA414" s="119" t="n">
        <f aca="false" ca="true" dt2D="false" dtr="false" t="normal">SUBTOTAL(9, DB414:DP414)</f>
        <v>4692599.98</v>
      </c>
      <c r="DB414" s="114" t="n">
        <v>4647411.23</v>
      </c>
      <c r="DC414" s="114" t="n"/>
      <c r="DD414" s="114" t="n"/>
      <c r="DE414" s="114" t="n"/>
      <c r="DF414" s="114" t="n"/>
      <c r="DG414" s="114" t="n"/>
      <c r="DH414" s="114" t="n"/>
      <c r="DI414" s="114" t="n"/>
      <c r="DJ414" s="114" t="n"/>
      <c r="DK414" s="114" t="n">
        <v>0</v>
      </c>
      <c r="DL414" s="114" t="n">
        <v>0</v>
      </c>
      <c r="DM414" s="114" t="n">
        <v>0</v>
      </c>
      <c r="DN414" s="114" t="n"/>
      <c r="DO414" s="114" t="n"/>
      <c r="DP414" s="120" t="n">
        <v>45188.75</v>
      </c>
      <c r="DQ414" s="3" t="n">
        <f aca="false" ca="false" dt2D="false" dtr="false" t="normal">N414-DA414</f>
        <v>0</v>
      </c>
      <c r="DS414" s="9" t="n"/>
    </row>
    <row hidden="false" ht="15" outlineLevel="0" r="415">
      <c r="A415" s="183" t="n">
        <f aca="false" ca="false" dt2D="false" dtr="false" t="normal">+A414+1</f>
        <v>395</v>
      </c>
      <c r="B415" s="117" t="s">
        <v>463</v>
      </c>
      <c r="C415" s="117" t="s">
        <v>111</v>
      </c>
      <c r="D415" s="117" t="s">
        <v>357</v>
      </c>
      <c r="E415" s="105" t="n">
        <v>1972</v>
      </c>
      <c r="F415" s="105" t="n">
        <v>2013</v>
      </c>
      <c r="G415" s="105" t="s">
        <v>68</v>
      </c>
      <c r="H415" s="105" t="n">
        <v>4</v>
      </c>
      <c r="I415" s="105" t="n">
        <v>4</v>
      </c>
      <c r="J415" s="106" t="n">
        <v>3047.8</v>
      </c>
      <c r="K415" s="106" t="n">
        <v>2789.4</v>
      </c>
      <c r="L415" s="106" t="n">
        <v>0</v>
      </c>
      <c r="M415" s="107" t="n">
        <v>107</v>
      </c>
      <c r="N415" s="108" t="n">
        <f aca="false" ca="false" dt2D="false" dtr="false" t="normal">SUM(P415:T415)</f>
        <v>13821027.05</v>
      </c>
      <c r="O415" s="114" t="n"/>
      <c r="P415" s="114" t="n">
        <v>13256381.58</v>
      </c>
      <c r="Q415" s="114" t="n"/>
      <c r="R415" s="114" t="n">
        <v>564645.47</v>
      </c>
      <c r="S415" s="114" t="n"/>
      <c r="T415" s="114" t="n"/>
      <c r="U415" s="106" t="n">
        <v>7373.27830083381</v>
      </c>
      <c r="V415" s="106" t="n">
        <v>7373.27830083381</v>
      </c>
      <c r="W415" s="110" t="n">
        <v>2023</v>
      </c>
      <c r="X415" s="9" t="n"/>
      <c r="Z415" s="113" t="n"/>
      <c r="AA415" s="106" t="n"/>
      <c r="AB415" s="106" t="n"/>
      <c r="AC415" s="106" t="n"/>
      <c r="AD415" s="106" t="n"/>
      <c r="AE415" s="106" t="n"/>
      <c r="AF415" s="106" t="n"/>
      <c r="AG415" s="106" t="n"/>
      <c r="AH415" s="106" t="n"/>
      <c r="AI415" s="106" t="n"/>
      <c r="AJ415" s="106" t="n"/>
      <c r="AK415" s="106" t="n"/>
      <c r="AL415" s="106" t="n"/>
      <c r="AM415" s="106" t="n"/>
      <c r="AN415" s="106" t="n"/>
      <c r="AO415" s="115" t="n"/>
      <c r="AP415" s="112" t="n">
        <f aca="false" ca="false" dt2D="false" dtr="false" t="normal">+N415-'Приложение №2'!E385</f>
        <v>7347772.5200000005</v>
      </c>
      <c r="AQ415" s="1" t="n">
        <f aca="false" ca="false" dt2D="false" dtr="false" t="normal">1184908.35-361522.2864</f>
        <v>823386.0636000001</v>
      </c>
      <c r="AT415" s="9" t="n">
        <f aca="false" ca="false" dt2D="false" dtr="false" t="normal">+S415-AS415</f>
        <v>0</v>
      </c>
      <c r="AU415" s="9" t="e">
        <f aca="false" ca="false" dt2D="false" dtr="false" t="normal">+P415-'[5]Приложение №1'!$P429</f>
        <v>#REF!</v>
      </c>
      <c r="AV415" s="9" t="e">
        <f aca="false" ca="false" dt2D="false" dtr="false" t="normal">+Q415-'[5]Приложение №1'!$Q174</f>
        <v>#REF!</v>
      </c>
      <c r="AW415" s="113" t="n">
        <f aca="false" ca="true" dt2D="false" dtr="false" t="normal">SUBTOTAL(9, AX415:BL415)</f>
        <v>20567022.49234584</v>
      </c>
      <c r="AX415" s="106" t="n"/>
      <c r="AY415" s="106" t="n"/>
      <c r="AZ415" s="106" t="n"/>
      <c r="BA415" s="106" t="n"/>
      <c r="BB415" s="106" t="n"/>
      <c r="BC415" s="106" t="n"/>
      <c r="BD415" s="106" t="n">
        <v>0</v>
      </c>
      <c r="BE415" s="106" t="n">
        <v>0</v>
      </c>
      <c r="BF415" s="106" t="n">
        <v>12209113.6236846</v>
      </c>
      <c r="BG415" s="106" t="n">
        <v>0</v>
      </c>
      <c r="BH415" s="106" t="n"/>
      <c r="BI415" s="106" t="n">
        <v>6818312.13071068</v>
      </c>
      <c r="BJ415" s="106" t="n">
        <v>684163.08</v>
      </c>
      <c r="BK415" s="106" t="n"/>
      <c r="BL415" s="187" t="n">
        <v>855433.657950562</v>
      </c>
      <c r="BM415" s="113" t="n">
        <f aca="false" ca="true" dt2D="false" dtr="false" t="normal">SUBTOTAL(9, BN415:CB415)</f>
        <v>20567022.49234584</v>
      </c>
      <c r="BN415" s="106" t="n"/>
      <c r="BO415" s="106" t="n"/>
      <c r="BP415" s="106" t="n"/>
      <c r="BQ415" s="106" t="n"/>
      <c r="BR415" s="106" t="n"/>
      <c r="BS415" s="106" t="n"/>
      <c r="BT415" s="106" t="n">
        <v>0</v>
      </c>
      <c r="BU415" s="106" t="n">
        <v>0</v>
      </c>
      <c r="BV415" s="106" t="n">
        <v>12209113.6236846</v>
      </c>
      <c r="BW415" s="106" t="n">
        <v>0</v>
      </c>
      <c r="BX415" s="106" t="n"/>
      <c r="BY415" s="106" t="n">
        <v>6818312.13071068</v>
      </c>
      <c r="BZ415" s="106" t="n">
        <v>684163.08</v>
      </c>
      <c r="CA415" s="106" t="n"/>
      <c r="CB415" s="115" t="n">
        <v>855433.657950562</v>
      </c>
      <c r="CD415" s="116" t="n">
        <f aca="false" ca="false" dt2D="false" dtr="false" t="normal">+CD414+1</f>
        <v>395</v>
      </c>
      <c r="CE415" s="117" t="s">
        <v>463</v>
      </c>
      <c r="CF415" s="104" t="s">
        <v>111</v>
      </c>
      <c r="CG415" s="117" t="s">
        <v>357</v>
      </c>
      <c r="CH415" s="118" t="n">
        <f aca="false" ca="true" dt2D="false" dtr="false" t="normal">SUBTOTAL(9, CI415:CW415)</f>
        <v>14676460.707950562</v>
      </c>
      <c r="CI415" s="114" t="n"/>
      <c r="CJ415" s="114" t="n"/>
      <c r="CK415" s="114" t="n"/>
      <c r="CL415" s="114" t="n"/>
      <c r="CM415" s="114" t="n"/>
      <c r="CN415" s="114" t="n"/>
      <c r="CO415" s="114" t="n"/>
      <c r="CP415" s="114" t="n">
        <v>0</v>
      </c>
      <c r="CQ415" s="114" t="n"/>
      <c r="CR415" s="114" t="n">
        <v>0</v>
      </c>
      <c r="CS415" s="114" t="n">
        <v>13526268.88</v>
      </c>
      <c r="CT415" s="114" t="n"/>
      <c r="CU415" s="114" t="n">
        <v>286758.17</v>
      </c>
      <c r="CV415" s="114" t="n">
        <v>8000</v>
      </c>
      <c r="CW415" s="115" t="n">
        <v>855433.657950562</v>
      </c>
      <c r="CZ415" s="117" t="s">
        <v>357</v>
      </c>
      <c r="DA415" s="119" t="n">
        <f aca="false" ca="true" dt2D="false" dtr="false" t="normal">SUBTOTAL(9, DB415:DP415)</f>
        <v>13821027.05</v>
      </c>
      <c r="DB415" s="114" t="n"/>
      <c r="DC415" s="114" t="n"/>
      <c r="DD415" s="114" t="n"/>
      <c r="DE415" s="114" t="n"/>
      <c r="DF415" s="114" t="n"/>
      <c r="DG415" s="114" t="n"/>
      <c r="DH415" s="114" t="n"/>
      <c r="DI415" s="114" t="n">
        <v>0</v>
      </c>
      <c r="DJ415" s="114" t="n"/>
      <c r="DK415" s="114" t="n">
        <v>0</v>
      </c>
      <c r="DL415" s="114" t="n">
        <v>13526268.88</v>
      </c>
      <c r="DM415" s="114" t="n"/>
      <c r="DN415" s="114" t="n">
        <v>286758.17</v>
      </c>
      <c r="DO415" s="114" t="n">
        <v>8000</v>
      </c>
      <c r="DP415" s="122" t="n"/>
      <c r="DQ415" s="3" t="n">
        <f aca="false" ca="false" dt2D="false" dtr="false" t="normal">N415-DA415</f>
        <v>0</v>
      </c>
      <c r="DS415" s="9" t="n"/>
    </row>
    <row hidden="false" ht="15" outlineLevel="0" r="416">
      <c r="A416" s="183" t="n">
        <f aca="false" ca="false" dt2D="false" dtr="false" t="normal">+A415+1</f>
        <v>396</v>
      </c>
      <c r="B416" s="117" t="s">
        <v>463</v>
      </c>
      <c r="C416" s="117" t="s">
        <v>111</v>
      </c>
      <c r="D416" s="117" t="s">
        <v>358</v>
      </c>
      <c r="E416" s="105" t="n">
        <v>1974</v>
      </c>
      <c r="F416" s="105" t="n">
        <v>2013</v>
      </c>
      <c r="G416" s="105" t="s">
        <v>68</v>
      </c>
      <c r="H416" s="105" t="n">
        <v>4</v>
      </c>
      <c r="I416" s="105" t="n">
        <v>4</v>
      </c>
      <c r="J416" s="106" t="n">
        <v>2989.2</v>
      </c>
      <c r="K416" s="106" t="n">
        <v>2536.9</v>
      </c>
      <c r="L416" s="106" t="n">
        <v>230.9</v>
      </c>
      <c r="M416" s="107" t="n">
        <v>90</v>
      </c>
      <c r="N416" s="108" t="n">
        <f aca="false" ca="false" dt2D="false" dtr="false" t="normal">SUM(P416:T416)</f>
        <v>10840452.98</v>
      </c>
      <c r="O416" s="114" t="n"/>
      <c r="P416" s="114" t="n">
        <v>10258597.46</v>
      </c>
      <c r="Q416" s="114" t="n"/>
      <c r="R416" s="114" t="n">
        <v>581855.519999999</v>
      </c>
      <c r="S416" s="114" t="n"/>
      <c r="T416" s="114" t="n"/>
      <c r="U416" s="106" t="n">
        <v>7160.14084289287</v>
      </c>
      <c r="V416" s="106" t="n">
        <v>7160.14084289287</v>
      </c>
      <c r="W416" s="110" t="n">
        <v>2023</v>
      </c>
      <c r="X416" s="9" t="n"/>
      <c r="Z416" s="113" t="n"/>
      <c r="AA416" s="106" t="n"/>
      <c r="AB416" s="106" t="n"/>
      <c r="AC416" s="106" t="n"/>
      <c r="AD416" s="106" t="n"/>
      <c r="AE416" s="106" t="n"/>
      <c r="AF416" s="106" t="n"/>
      <c r="AG416" s="106" t="n"/>
      <c r="AH416" s="106" t="n"/>
      <c r="AI416" s="106" t="n"/>
      <c r="AJ416" s="106" t="n"/>
      <c r="AK416" s="106" t="n"/>
      <c r="AL416" s="106" t="n"/>
      <c r="AM416" s="106" t="n"/>
      <c r="AN416" s="106" t="n"/>
      <c r="AO416" s="115" t="n"/>
      <c r="AP416" s="112" t="n">
        <f aca="false" ca="false" dt2D="false" dtr="false" t="normal">+N416-'Приложение №2'!E518</f>
        <v>6155716.140000001</v>
      </c>
      <c r="AQ416" s="1" t="n">
        <f aca="false" ca="false" dt2D="false" dtr="false" t="normal">1292399.14-848241.5751</f>
        <v>444157.5648999999</v>
      </c>
      <c r="AT416" s="9" t="n">
        <f aca="false" ca="false" dt2D="false" dtr="false" t="normal">+S416-AS416</f>
        <v>0</v>
      </c>
      <c r="AU416" s="9" t="e">
        <f aca="false" ca="false" dt2D="false" dtr="false" t="normal">+P416-'[5]Приложение №1'!$P430</f>
        <v>#REF!</v>
      </c>
      <c r="AV416" s="9" t="e">
        <f aca="false" ca="false" dt2D="false" dtr="false" t="normal">+Q416-'[5]Приложение №1'!$Q175</f>
        <v>#REF!</v>
      </c>
      <c r="AW416" s="113" t="n">
        <f aca="false" ca="true" dt2D="false" dtr="false" t="normal">SUBTOTAL(9, AX416:BL416)</f>
        <v>19823053.82495889</v>
      </c>
      <c r="AX416" s="106" t="n"/>
      <c r="AY416" s="106" t="n"/>
      <c r="AZ416" s="106" t="n"/>
      <c r="BA416" s="106" t="n"/>
      <c r="BB416" s="106" t="n"/>
      <c r="BC416" s="106" t="n"/>
      <c r="BD416" s="106" t="n">
        <v>0</v>
      </c>
      <c r="BE416" s="106" t="n">
        <v>0</v>
      </c>
      <c r="BF416" s="106" t="n">
        <v>12089519.1280836</v>
      </c>
      <c r="BG416" s="106" t="n">
        <v>0</v>
      </c>
      <c r="BH416" s="106" t="n"/>
      <c r="BI416" s="106" t="n">
        <v>6201109.93202837</v>
      </c>
      <c r="BJ416" s="106" t="n">
        <v>684163.08</v>
      </c>
      <c r="BK416" s="106" t="n"/>
      <c r="BL416" s="187" t="n">
        <v>848261.684846923</v>
      </c>
      <c r="BM416" s="113" t="n">
        <f aca="false" ca="true" dt2D="false" dtr="false" t="normal">SUBTOTAL(9, BN416:CB416)</f>
        <v>19817837.82495889</v>
      </c>
      <c r="BN416" s="106" t="n"/>
      <c r="BO416" s="106" t="n"/>
      <c r="BP416" s="106" t="n"/>
      <c r="BQ416" s="106" t="n"/>
      <c r="BR416" s="106" t="n"/>
      <c r="BS416" s="106" t="n"/>
      <c r="BT416" s="106" t="n">
        <v>0</v>
      </c>
      <c r="BU416" s="106" t="n">
        <v>0</v>
      </c>
      <c r="BV416" s="106" t="n">
        <v>12089519.1280836</v>
      </c>
      <c r="BW416" s="106" t="n">
        <v>0</v>
      </c>
      <c r="BX416" s="106" t="n"/>
      <c r="BY416" s="106" t="n">
        <v>6201109.93202837</v>
      </c>
      <c r="BZ416" s="106" t="n">
        <v>678947.08</v>
      </c>
      <c r="CA416" s="106" t="n"/>
      <c r="CB416" s="115" t="n">
        <v>848261.684846923</v>
      </c>
      <c r="CD416" s="116" t="n">
        <f aca="false" ca="false" dt2D="false" dtr="false" t="normal">+CD415+1</f>
        <v>396</v>
      </c>
      <c r="CE416" s="117" t="s">
        <v>463</v>
      </c>
      <c r="CF416" s="104" t="s">
        <v>111</v>
      </c>
      <c r="CG416" s="117" t="s">
        <v>358</v>
      </c>
      <c r="CH416" s="118" t="n">
        <f aca="false" ca="true" dt2D="false" dtr="false" t="normal">SUBTOTAL(9, CI416:CW416)</f>
        <v>11688714.664846923</v>
      </c>
      <c r="CI416" s="114" t="n"/>
      <c r="CJ416" s="114" t="n"/>
      <c r="CK416" s="114" t="n"/>
      <c r="CL416" s="114" t="n"/>
      <c r="CM416" s="114" t="n"/>
      <c r="CN416" s="114" t="n"/>
      <c r="CO416" s="114" t="n"/>
      <c r="CP416" s="114" t="n">
        <v>0</v>
      </c>
      <c r="CQ416" s="114" t="n"/>
      <c r="CR416" s="114" t="n">
        <v>0</v>
      </c>
      <c r="CS416" s="114" t="n">
        <v>10548266.43</v>
      </c>
      <c r="CT416" s="114" t="n"/>
      <c r="CU416" s="203" t="n">
        <v>284186.55</v>
      </c>
      <c r="CV416" s="114" t="n">
        <v>8000</v>
      </c>
      <c r="CW416" s="115" t="n">
        <v>848261.684846923</v>
      </c>
      <c r="CZ416" s="117" t="s">
        <v>358</v>
      </c>
      <c r="DA416" s="119" t="n">
        <f aca="false" ca="true" dt2D="false" dtr="false" t="normal">SUBTOTAL(9, DB416:DP416)</f>
        <v>10840452.98</v>
      </c>
      <c r="DB416" s="114" t="n"/>
      <c r="DC416" s="114" t="n"/>
      <c r="DD416" s="114" t="n"/>
      <c r="DE416" s="114" t="n"/>
      <c r="DF416" s="114" t="n"/>
      <c r="DG416" s="114" t="n"/>
      <c r="DH416" s="114" t="n"/>
      <c r="DI416" s="114" t="n">
        <v>0</v>
      </c>
      <c r="DJ416" s="114" t="n"/>
      <c r="DK416" s="114" t="n">
        <v>0</v>
      </c>
      <c r="DL416" s="114" t="n">
        <v>10548266.43</v>
      </c>
      <c r="DM416" s="114" t="n"/>
      <c r="DN416" s="203" t="n">
        <v>284186.55</v>
      </c>
      <c r="DO416" s="114" t="n">
        <v>8000</v>
      </c>
      <c r="DP416" s="122" t="n"/>
      <c r="DQ416" s="3" t="n">
        <f aca="false" ca="false" dt2D="false" dtr="false" t="normal">N416-DA416</f>
        <v>0</v>
      </c>
      <c r="DS416" s="9" t="n"/>
    </row>
    <row customFormat="true" hidden="false" ht="15" outlineLevel="0" r="417" s="129">
      <c r="A417" s="183" t="n">
        <f aca="false" ca="false" dt2D="false" dtr="false" t="normal">+A416+1</f>
        <v>397</v>
      </c>
      <c r="B417" s="117" t="s">
        <v>463</v>
      </c>
      <c r="C417" s="104" t="s">
        <v>111</v>
      </c>
      <c r="D417" s="104" t="s">
        <v>360</v>
      </c>
      <c r="E417" s="105" t="s">
        <v>345</v>
      </c>
      <c r="F417" s="105" t="n"/>
      <c r="G417" s="105" t="s">
        <v>68</v>
      </c>
      <c r="H417" s="105" t="s">
        <v>187</v>
      </c>
      <c r="I417" s="105" t="s">
        <v>187</v>
      </c>
      <c r="J417" s="106" t="n">
        <v>4032.8</v>
      </c>
      <c r="K417" s="106" t="n">
        <v>3458.5</v>
      </c>
      <c r="L417" s="106" t="n">
        <v>0</v>
      </c>
      <c r="M417" s="107" t="n">
        <v>156</v>
      </c>
      <c r="N417" s="108" t="n">
        <f aca="false" ca="false" dt2D="false" dtr="false" t="normal">SUM(P417:T417)</f>
        <v>2787893.79</v>
      </c>
      <c r="O417" s="106" t="n">
        <v>0</v>
      </c>
      <c r="P417" s="114" t="n">
        <v>1123866.43</v>
      </c>
      <c r="Q417" s="114" t="n">
        <v>0</v>
      </c>
      <c r="R417" s="114" t="n">
        <v>195889.85</v>
      </c>
      <c r="S417" s="114" t="n">
        <v>1468137.51</v>
      </c>
      <c r="T417" s="114" t="n"/>
      <c r="U417" s="106" t="n">
        <v>14851.7595489707</v>
      </c>
      <c r="V417" s="106" t="n">
        <v>14851.7595489707</v>
      </c>
      <c r="W417" s="110" t="n">
        <v>2023</v>
      </c>
      <c r="X417" s="129" t="n">
        <v>1316311.58</v>
      </c>
      <c r="Y417" s="129" t="n">
        <f aca="false" ca="false" dt2D="false" dtr="false" t="normal">+(K417*9.1+L417*18.19)*12</f>
        <v>377668.19999999995</v>
      </c>
      <c r="AA417" s="130" t="e">
        <f aca="false" ca="false" dt2D="false" dtr="false" t="normal">+N417-'[8]Приложение № 2'!E272</f>
        <v>#REF!</v>
      </c>
      <c r="AD417" s="130" t="e">
        <f aca="false" ca="false" dt2D="false" dtr="false" t="normal">+N417-'[8]Приложение № 2'!E272</f>
        <v>#REF!</v>
      </c>
      <c r="AP417" s="112" t="n">
        <f aca="false" ca="false" dt2D="false" dtr="false" t="normal">+N417-'Приложение №2'!E417</f>
        <v>0</v>
      </c>
      <c r="AQ417" s="129" t="n">
        <v>1622977.77</v>
      </c>
      <c r="AR417" s="3" t="n">
        <f aca="false" ca="false" dt2D="false" dtr="false" t="normal">+(K417*10+L417*20)*12*0.85</f>
        <v>352767</v>
      </c>
      <c r="AS417" s="3" t="n">
        <f aca="false" ca="false" dt2D="false" dtr="false" t="normal">+(K417*10+L417*20)*12*30</f>
        <v>12450600</v>
      </c>
      <c r="AT417" s="9" t="n">
        <f aca="false" ca="false" dt2D="false" dtr="false" t="normal">+S417-AS417</f>
        <v>-10982462.49</v>
      </c>
      <c r="AU417" s="9" t="e">
        <f aca="false" ca="false" dt2D="false" dtr="false" t="normal">+P417-'[5]Приложение №1'!$P285</f>
        <v>#REF!</v>
      </c>
      <c r="AV417" s="9" t="e">
        <f aca="false" ca="false" dt2D="false" dtr="false" t="normal">+Q417-'[5]Приложение №1'!$Q30</f>
        <v>#REF!</v>
      </c>
      <c r="AW417" s="113" t="n">
        <f aca="false" ca="true" dt2D="false" dtr="false" t="normal">SUBTOTAL(9, AX417:BL417)</f>
        <v>51364810.4001153</v>
      </c>
      <c r="AX417" s="106" t="n">
        <v>6144729.90151541</v>
      </c>
      <c r="AY417" s="106" t="n">
        <v>3579457.76180073</v>
      </c>
      <c r="AZ417" s="106" t="n">
        <v>3887139.10374681</v>
      </c>
      <c r="BA417" s="106" t="n">
        <v>2975701.95840873</v>
      </c>
      <c r="BB417" s="106" t="n">
        <v>1375468.22308318</v>
      </c>
      <c r="BC417" s="106" t="n"/>
      <c r="BD417" s="106" t="n">
        <v>292698.958086086</v>
      </c>
      <c r="BE417" s="106" t="n"/>
      <c r="BF417" s="106" t="n"/>
      <c r="BG417" s="106" t="n"/>
      <c r="BH417" s="106" t="n">
        <v>22115449.1287481</v>
      </c>
      <c r="BI417" s="106" t="n">
        <v>8607388.05825178</v>
      </c>
      <c r="BJ417" s="106" t="n">
        <v>1315726.92</v>
      </c>
      <c r="BK417" s="114" t="n"/>
      <c r="BL417" s="187" t="n">
        <v>1071050.38647447</v>
      </c>
      <c r="BM417" s="113" t="n">
        <f aca="false" ca="true" dt2D="false" dtr="false" t="normal">SUBTOTAL(9, BN417:CB417)</f>
        <v>51364810.4001153</v>
      </c>
      <c r="BN417" s="106" t="n">
        <v>6144729.90151541</v>
      </c>
      <c r="BO417" s="106" t="n">
        <v>3579457.76180073</v>
      </c>
      <c r="BP417" s="106" t="n">
        <v>3887139.10374681</v>
      </c>
      <c r="BQ417" s="106" t="n">
        <v>2975701.95840873</v>
      </c>
      <c r="BR417" s="106" t="n">
        <v>1375468.22308318</v>
      </c>
      <c r="BS417" s="106" t="n"/>
      <c r="BT417" s="106" t="n">
        <v>292698.958086086</v>
      </c>
      <c r="BU417" s="106" t="n"/>
      <c r="BV417" s="106" t="n"/>
      <c r="BW417" s="106" t="n"/>
      <c r="BX417" s="106" t="n">
        <v>22115449.1287481</v>
      </c>
      <c r="BY417" s="106" t="n">
        <v>8607388.05825178</v>
      </c>
      <c r="BZ417" s="106" t="n">
        <v>1315726.92</v>
      </c>
      <c r="CA417" s="114" t="n"/>
      <c r="CB417" s="115" t="n">
        <v>1071050.38647447</v>
      </c>
      <c r="CD417" s="116" t="n">
        <f aca="false" ca="false" dt2D="false" dtr="false" t="normal">+CD416+1</f>
        <v>397</v>
      </c>
      <c r="CE417" s="117" t="s">
        <v>463</v>
      </c>
      <c r="CF417" s="104" t="s">
        <v>111</v>
      </c>
      <c r="CG417" s="117" t="s">
        <v>360</v>
      </c>
      <c r="CH417" s="118" t="n">
        <f aca="false" ca="true" dt2D="false" dtr="false" t="normal">SUBTOTAL(9, CI417:CW417)</f>
        <v>3858944.1764744706</v>
      </c>
      <c r="CI417" s="114" t="n"/>
      <c r="CJ417" s="114" t="n"/>
      <c r="CK417" s="114" t="n">
        <v>1270077.84</v>
      </c>
      <c r="CL417" s="114" t="n">
        <v>1283887.8</v>
      </c>
      <c r="CM417" s="114" t="n"/>
      <c r="CN417" s="114" t="n"/>
      <c r="CO417" s="114" t="n"/>
      <c r="CP417" s="114" t="n"/>
      <c r="CQ417" s="114" t="n"/>
      <c r="CR417" s="114" t="n"/>
      <c r="CS417" s="114" t="n"/>
      <c r="CT417" s="187" t="n"/>
      <c r="CU417" s="203" t="n">
        <v>227071.01</v>
      </c>
      <c r="CV417" s="203" t="n">
        <v>6857.14</v>
      </c>
      <c r="CW417" s="115" t="n">
        <v>1071050.38647447</v>
      </c>
      <c r="CZ417" s="117" t="s">
        <v>360</v>
      </c>
      <c r="DA417" s="119" t="n">
        <f aca="false" ca="true" dt2D="false" dtr="false" t="normal">SUBTOTAL(9, DB417:DP417)</f>
        <v>2787893.7900000005</v>
      </c>
      <c r="DB417" s="114" t="n"/>
      <c r="DC417" s="114" t="n"/>
      <c r="DD417" s="114" t="n">
        <v>1270077.84</v>
      </c>
      <c r="DE417" s="114" t="n">
        <v>1283887.8</v>
      </c>
      <c r="DF417" s="114" t="n"/>
      <c r="DG417" s="114" t="n"/>
      <c r="DH417" s="114" t="n"/>
      <c r="DI417" s="114" t="n"/>
      <c r="DJ417" s="114" t="n"/>
      <c r="DK417" s="114" t="n"/>
      <c r="DL417" s="114" t="n"/>
      <c r="DM417" s="187" t="n"/>
      <c r="DN417" s="203" t="n">
        <v>227071.01</v>
      </c>
      <c r="DO417" s="203" t="n">
        <v>6857.14</v>
      </c>
      <c r="DP417" s="122" t="n"/>
      <c r="DQ417" s="3" t="n">
        <f aca="false" ca="false" dt2D="false" dtr="false" t="normal">N417-DA417</f>
        <v>0</v>
      </c>
      <c r="DS417" s="9" t="n"/>
    </row>
    <row hidden="false" ht="15" outlineLevel="0" r="418">
      <c r="A418" s="183" t="n">
        <f aca="false" ca="false" dt2D="false" dtr="false" t="normal">+A417+1</f>
        <v>398</v>
      </c>
      <c r="B418" s="117" t="n">
        <v>199</v>
      </c>
      <c r="C418" s="104" t="s">
        <v>111</v>
      </c>
      <c r="D418" s="104" t="s">
        <v>482</v>
      </c>
      <c r="E418" s="105" t="n">
        <v>1973</v>
      </c>
      <c r="F418" s="105" t="n">
        <v>2013</v>
      </c>
      <c r="G418" s="105" t="s">
        <v>68</v>
      </c>
      <c r="H418" s="105" t="n">
        <v>4</v>
      </c>
      <c r="I418" s="105" t="n">
        <v>4</v>
      </c>
      <c r="J418" s="106" t="n">
        <v>4671.96</v>
      </c>
      <c r="K418" s="106" t="n">
        <v>3446.2</v>
      </c>
      <c r="L418" s="106" t="n">
        <v>0</v>
      </c>
      <c r="M418" s="107" t="n">
        <v>128</v>
      </c>
      <c r="N418" s="108" t="n">
        <f aca="false" ca="false" dt2D="false" dtr="false" t="normal">SUM(P418:T418)</f>
        <v>1518027.6099999999</v>
      </c>
      <c r="O418" s="106" t="n"/>
      <c r="P418" s="114" t="n">
        <v>167255.68</v>
      </c>
      <c r="Q418" s="114" t="n"/>
      <c r="R418" s="114" t="n">
        <v>1047518.08</v>
      </c>
      <c r="S418" s="114" t="n">
        <v>303253.85</v>
      </c>
      <c r="T418" s="190" t="n"/>
      <c r="U418" s="106" t="n">
        <v>395.063844234229</v>
      </c>
      <c r="V418" s="106" t="n">
        <v>395.063844234229</v>
      </c>
      <c r="W418" s="110" t="n">
        <v>2023</v>
      </c>
      <c r="X418" s="9" t="e">
        <f aca="false" ca="false" dt2D="false" dtr="false" t="normal">+#REF!-'[9]Приложение №1'!$P672</f>
        <v>#REF!</v>
      </c>
      <c r="Z418" s="113" t="n">
        <f aca="false" ca="false" dt2D="false" dtr="false" t="normal">SUM(AA418:AO418)</f>
        <v>1550298.52</v>
      </c>
      <c r="AA418" s="106" t="n">
        <v>0</v>
      </c>
      <c r="AB418" s="106" t="n">
        <v>0</v>
      </c>
      <c r="AC418" s="106" t="n">
        <v>0</v>
      </c>
      <c r="AD418" s="106" t="n">
        <v>0</v>
      </c>
      <c r="AE418" s="106" t="n">
        <v>1350771.93</v>
      </c>
      <c r="AF418" s="106" t="n"/>
      <c r="AG418" s="106" t="n">
        <v>0</v>
      </c>
      <c r="AH418" s="106" t="n">
        <v>0</v>
      </c>
      <c r="AI418" s="106" t="n">
        <v>0</v>
      </c>
      <c r="AJ418" s="106" t="n">
        <v>0</v>
      </c>
      <c r="AK418" s="106" t="n">
        <v>0</v>
      </c>
      <c r="AL418" s="106" t="n">
        <v>0</v>
      </c>
      <c r="AM418" s="106" t="n">
        <v>183829.5</v>
      </c>
      <c r="AN418" s="114" t="n">
        <v>5000</v>
      </c>
      <c r="AO418" s="115" t="n">
        <v>10697.09</v>
      </c>
      <c r="AP418" s="112" t="n">
        <f aca="false" ca="false" dt2D="false" dtr="false" t="normal">+N418-'Приложение №2'!E418</f>
        <v>0</v>
      </c>
      <c r="AQ418" s="1" t="n">
        <f aca="false" ca="false" dt2D="false" dtr="false" t="normal">1641525.43-945519.75</f>
        <v>696005.6799999999</v>
      </c>
      <c r="AR418" s="3" t="n">
        <f aca="false" ca="false" dt2D="false" dtr="false" t="normal">+(K418*10+L418*20)*12*0.85</f>
        <v>351512.39999999997</v>
      </c>
      <c r="AS418" s="3" t="n">
        <f aca="false" ca="false" dt2D="false" dtr="false" t="normal">+(K418*10+L418*20)*12*30-886414.55</f>
        <v>11519905.45</v>
      </c>
      <c r="AT418" s="9" t="n">
        <f aca="false" ca="false" dt2D="false" dtr="false" t="normal">+S418-AS418</f>
        <v>-11216651.6</v>
      </c>
      <c r="AU418" s="9" t="e">
        <f aca="false" ca="false" dt2D="false" dtr="false" t="normal">+P418-'[5]Приложение №1'!$P286</f>
        <v>#REF!</v>
      </c>
      <c r="AV418" s="9" t="e">
        <f aca="false" ca="false" dt2D="false" dtr="false" t="normal">+Q418-'[5]Приложение №1'!$Q31</f>
        <v>#REF!</v>
      </c>
      <c r="AW418" s="113" t="n">
        <f aca="false" ca="true" dt2D="false" dtr="false" t="normal">SUBTOTAL(9, AX418:BL418)</f>
        <v>1361469.02</v>
      </c>
      <c r="AX418" s="106" t="n">
        <v>0</v>
      </c>
      <c r="AY418" s="106" t="n">
        <v>0</v>
      </c>
      <c r="AZ418" s="106" t="n">
        <v>0</v>
      </c>
      <c r="BA418" s="106" t="n">
        <v>0</v>
      </c>
      <c r="BB418" s="106" t="n">
        <v>1350771.93</v>
      </c>
      <c r="BC418" s="106" t="n"/>
      <c r="BD418" s="106" t="n"/>
      <c r="BE418" s="106" t="n">
        <v>0</v>
      </c>
      <c r="BF418" s="106" t="n">
        <v>0</v>
      </c>
      <c r="BG418" s="106" t="n">
        <v>0</v>
      </c>
      <c r="BH418" s="106" t="n">
        <v>0</v>
      </c>
      <c r="BI418" s="106" t="n">
        <v>0</v>
      </c>
      <c r="BJ418" s="106" t="n"/>
      <c r="BK418" s="114" t="n"/>
      <c r="BL418" s="187" t="n">
        <v>10697.09</v>
      </c>
      <c r="BM418" s="113" t="n">
        <f aca="false" ca="true" dt2D="false" dtr="false" t="normal">SUBTOTAL(9, BN418:CB418)</f>
        <v>1361469.02</v>
      </c>
      <c r="BN418" s="106" t="n">
        <v>0</v>
      </c>
      <c r="BO418" s="106" t="n">
        <v>0</v>
      </c>
      <c r="BP418" s="106" t="n">
        <v>0</v>
      </c>
      <c r="BQ418" s="106" t="n">
        <v>0</v>
      </c>
      <c r="BR418" s="106" t="n">
        <v>1350771.93</v>
      </c>
      <c r="BS418" s="106" t="n"/>
      <c r="BT418" s="106" t="n"/>
      <c r="BU418" s="106" t="n">
        <v>0</v>
      </c>
      <c r="BV418" s="106" t="n">
        <v>0</v>
      </c>
      <c r="BW418" s="106" t="n">
        <v>0</v>
      </c>
      <c r="BX418" s="106" t="n">
        <v>0</v>
      </c>
      <c r="BY418" s="106" t="n">
        <v>0</v>
      </c>
      <c r="BZ418" s="106" t="n"/>
      <c r="CA418" s="114" t="n"/>
      <c r="CB418" s="115" t="n">
        <v>10697.09</v>
      </c>
      <c r="CD418" s="116" t="n">
        <f aca="false" ca="false" dt2D="false" dtr="false" t="normal">+CD417+1</f>
        <v>398</v>
      </c>
      <c r="CE418" s="117" t="n">
        <v>199</v>
      </c>
      <c r="CF418" s="104" t="s">
        <v>111</v>
      </c>
      <c r="CG418" s="117" t="s">
        <v>482</v>
      </c>
      <c r="CH418" s="118" t="n">
        <f aca="false" ca="true" dt2D="false" dtr="false" t="normal">SUBTOTAL(9, CI418:CW418)</f>
        <v>1528724.7000000002</v>
      </c>
      <c r="CI418" s="114" t="n">
        <v>0</v>
      </c>
      <c r="CJ418" s="114" t="n">
        <v>0</v>
      </c>
      <c r="CK418" s="114" t="n">
        <v>0</v>
      </c>
      <c r="CL418" s="114" t="n">
        <v>0</v>
      </c>
      <c r="CM418" s="114" t="n">
        <v>1518027.61</v>
      </c>
      <c r="CN418" s="114" t="n"/>
      <c r="CO418" s="114" t="n"/>
      <c r="CP418" s="114" t="n">
        <v>0</v>
      </c>
      <c r="CQ418" s="114" t="n">
        <v>0</v>
      </c>
      <c r="CR418" s="114" t="n">
        <v>0</v>
      </c>
      <c r="CS418" s="114" t="n">
        <v>0</v>
      </c>
      <c r="CT418" s="114" t="n">
        <v>0</v>
      </c>
      <c r="CU418" s="197" t="n"/>
      <c r="CV418" s="114" t="n"/>
      <c r="CW418" s="115" t="n">
        <v>10697.09</v>
      </c>
      <c r="CZ418" s="117" t="s">
        <v>482</v>
      </c>
      <c r="DA418" s="119" t="n">
        <f aca="false" ca="true" dt2D="false" dtr="false" t="normal">SUBTOTAL(9, DB418:DP418)</f>
        <v>1518027.61</v>
      </c>
      <c r="DB418" s="114" t="n">
        <v>0</v>
      </c>
      <c r="DC418" s="114" t="n">
        <v>0</v>
      </c>
      <c r="DD418" s="114" t="n">
        <v>0</v>
      </c>
      <c r="DE418" s="114" t="n">
        <v>0</v>
      </c>
      <c r="DF418" s="114" t="n">
        <v>1518027.61</v>
      </c>
      <c r="DG418" s="114" t="n"/>
      <c r="DH418" s="114" t="n"/>
      <c r="DI418" s="114" t="n">
        <v>0</v>
      </c>
      <c r="DJ418" s="114" t="n">
        <v>0</v>
      </c>
      <c r="DK418" s="114" t="n">
        <v>0</v>
      </c>
      <c r="DL418" s="114" t="n">
        <v>0</v>
      </c>
      <c r="DM418" s="114" t="n">
        <v>0</v>
      </c>
      <c r="DN418" s="197" t="n"/>
      <c r="DO418" s="114" t="n"/>
      <c r="DP418" s="122" t="n"/>
      <c r="DQ418" s="3" t="n">
        <f aca="false" ca="false" dt2D="false" dtr="false" t="normal">N418-DA418</f>
        <v>0</v>
      </c>
      <c r="DS418" s="9" t="n"/>
    </row>
    <row hidden="false" ht="15" outlineLevel="0" r="419">
      <c r="A419" s="183" t="n">
        <f aca="false" ca="false" dt2D="false" dtr="false" t="normal">+A418+1</f>
        <v>399</v>
      </c>
      <c r="B419" s="117" t="n">
        <v>200</v>
      </c>
      <c r="C419" s="104" t="s">
        <v>111</v>
      </c>
      <c r="D419" s="104" t="s">
        <v>166</v>
      </c>
      <c r="E419" s="105" t="n">
        <v>1961</v>
      </c>
      <c r="F419" s="105" t="n">
        <v>2013</v>
      </c>
      <c r="G419" s="105" t="s">
        <v>68</v>
      </c>
      <c r="H419" s="105" t="n">
        <v>4</v>
      </c>
      <c r="I419" s="105" t="n">
        <v>3</v>
      </c>
      <c r="J419" s="106" t="n">
        <v>3049.5</v>
      </c>
      <c r="K419" s="106" t="n">
        <v>2277.6</v>
      </c>
      <c r="L419" s="106" t="n">
        <v>771.9</v>
      </c>
      <c r="M419" s="107" t="n">
        <v>94</v>
      </c>
      <c r="N419" s="108" t="n">
        <f aca="false" ca="false" dt2D="false" dtr="false" t="normal">SUM(P419:T419)</f>
        <v>937789.51</v>
      </c>
      <c r="O419" s="106" t="n"/>
      <c r="P419" s="114" t="n"/>
      <c r="Q419" s="114" t="n"/>
      <c r="R419" s="114" t="n">
        <v>937789.51</v>
      </c>
      <c r="S419" s="114" t="n"/>
      <c r="T419" s="114" t="n"/>
      <c r="U419" s="106" t="n">
        <v>520.163502508805</v>
      </c>
      <c r="V419" s="106" t="n">
        <v>520.163502508805</v>
      </c>
      <c r="W419" s="110" t="n">
        <v>2023</v>
      </c>
      <c r="X419" s="9" t="e">
        <f aca="false" ca="false" dt2D="false" dtr="false" t="normal">+#REF!-'[9]Приложение №1'!$P1597</f>
        <v>#REF!</v>
      </c>
      <c r="Z419" s="113" t="n">
        <f aca="false" ca="false" dt2D="false" dtr="false" t="normal">SUM(AA419:AO419)</f>
        <v>13067933.899999999</v>
      </c>
      <c r="AA419" s="106" t="n">
        <v>5253036.73686246</v>
      </c>
      <c r="AB419" s="106" t="n">
        <v>1871872.94908698</v>
      </c>
      <c r="AC419" s="106" t="n">
        <v>1955690.72273694</v>
      </c>
      <c r="AD419" s="106" t="n">
        <v>1224386.051847</v>
      </c>
      <c r="AE419" s="106" t="n">
        <v>749124.0801009</v>
      </c>
      <c r="AF419" s="106" t="n"/>
      <c r="AG419" s="106" t="n">
        <v>201573.40567308</v>
      </c>
      <c r="AH419" s="106" t="n">
        <v>0</v>
      </c>
      <c r="AI419" s="106" t="n">
        <v>0</v>
      </c>
      <c r="AJ419" s="106" t="n">
        <v>0</v>
      </c>
      <c r="AK419" s="106" t="n">
        <v>0</v>
      </c>
      <c r="AL419" s="106" t="n">
        <v>0</v>
      </c>
      <c r="AM419" s="106" t="n">
        <v>1435431.6034</v>
      </c>
      <c r="AN419" s="114" t="n">
        <v>130679.339</v>
      </c>
      <c r="AO419" s="115" t="n">
        <v>246139.01129264</v>
      </c>
      <c r="AP419" s="112" t="n">
        <f aca="false" ca="false" dt2D="false" dtr="false" t="normal">+N419-'Приложение №2'!E419</f>
        <v>0</v>
      </c>
      <c r="AQ419" s="9" t="n">
        <f aca="false" ca="false" dt2D="false" dtr="false" t="normal">1647685.87-R104</f>
        <v>1542119.52</v>
      </c>
      <c r="AR419" s="3" t="n">
        <f aca="false" ca="false" dt2D="false" dtr="false" t="normal">+(K419*10+L419*20)*12*0.85</f>
        <v>389782.8</v>
      </c>
      <c r="AS419" s="3" t="n">
        <f aca="false" ca="false" dt2D="false" dtr="false" t="normal">+(K419*10+L419*20)*12*30-S104</f>
        <v>12835990.59</v>
      </c>
      <c r="AT419" s="9" t="n">
        <f aca="false" ca="false" dt2D="false" dtr="false" t="normal">+S419-AS419</f>
        <v>-12835990.59</v>
      </c>
      <c r="AU419" s="9" t="e">
        <f aca="false" ca="false" dt2D="false" dtr="false" t="normal">+P419-'[5]Приложение №1'!$P294</f>
        <v>#REF!</v>
      </c>
      <c r="AV419" s="9" t="e">
        <f aca="false" ca="false" dt2D="false" dtr="false" t="normal">+Q419-'[5]Приложение №1'!$Q294</f>
        <v>#REF!</v>
      </c>
      <c r="AW419" s="113" t="n">
        <f aca="false" ca="true" dt2D="false" dtr="false" t="normal">SUBTOTAL(9, AX419:BL419)</f>
        <v>1586238.6009006</v>
      </c>
      <c r="AX419" s="106" t="n"/>
      <c r="AY419" s="106" t="n">
        <v>1524520.14</v>
      </c>
      <c r="AZ419" s="106" t="n"/>
      <c r="BA419" s="106" t="n"/>
      <c r="BB419" s="106" t="n"/>
      <c r="BC419" s="106" t="n"/>
      <c r="BD419" s="106" t="n"/>
      <c r="BE419" s="106" t="n">
        <v>0</v>
      </c>
      <c r="BF419" s="106" t="n">
        <v>0</v>
      </c>
      <c r="BG419" s="106" t="n">
        <v>0</v>
      </c>
      <c r="BH419" s="106" t="n">
        <v>0</v>
      </c>
      <c r="BI419" s="106" t="n">
        <v>0</v>
      </c>
      <c r="BJ419" s="106" t="n"/>
      <c r="BK419" s="114" t="n"/>
      <c r="BL419" s="187" t="n">
        <v>61718.4609006</v>
      </c>
      <c r="BM419" s="113" t="n">
        <f aca="false" ca="true" dt2D="false" dtr="false" t="normal">SUBTOTAL(9, BN419:CB419)</f>
        <v>1586238.6009006</v>
      </c>
      <c r="BN419" s="106" t="n"/>
      <c r="BO419" s="106" t="n">
        <v>1524520.14</v>
      </c>
      <c r="BP419" s="106" t="n"/>
      <c r="BQ419" s="106" t="n"/>
      <c r="BR419" s="106" t="n"/>
      <c r="BS419" s="106" t="n"/>
      <c r="BT419" s="106" t="n"/>
      <c r="BU419" s="106" t="n">
        <v>0</v>
      </c>
      <c r="BV419" s="106" t="n">
        <v>0</v>
      </c>
      <c r="BW419" s="106" t="n">
        <v>0</v>
      </c>
      <c r="BX419" s="106" t="n">
        <v>0</v>
      </c>
      <c r="BY419" s="106" t="n">
        <v>0</v>
      </c>
      <c r="BZ419" s="106" t="n"/>
      <c r="CA419" s="114" t="n"/>
      <c r="CB419" s="115" t="n">
        <v>61718.4609006</v>
      </c>
      <c r="CD419" s="116" t="n">
        <f aca="false" ca="false" dt2D="false" dtr="false" t="normal">+CD418+1</f>
        <v>399</v>
      </c>
      <c r="CE419" s="117" t="n">
        <v>200</v>
      </c>
      <c r="CF419" s="104" t="s">
        <v>111</v>
      </c>
      <c r="CG419" s="117" t="s">
        <v>166</v>
      </c>
      <c r="CH419" s="118" t="n">
        <f aca="false" ca="true" dt2D="false" dtr="false" t="normal">SUBTOTAL(9, CI419:CW419)</f>
        <v>999507.9709006</v>
      </c>
      <c r="CI419" s="114" t="n"/>
      <c r="CJ419" s="114" t="n">
        <v>937789.51</v>
      </c>
      <c r="CK419" s="114" t="n"/>
      <c r="CL419" s="114" t="n"/>
      <c r="CM419" s="114" t="n"/>
      <c r="CN419" s="114" t="n"/>
      <c r="CO419" s="114" t="n"/>
      <c r="CP419" s="114" t="n">
        <v>0</v>
      </c>
      <c r="CQ419" s="114" t="n">
        <v>0</v>
      </c>
      <c r="CR419" s="114" t="n">
        <v>0</v>
      </c>
      <c r="CS419" s="114" t="n">
        <v>0</v>
      </c>
      <c r="CT419" s="114" t="n">
        <v>0</v>
      </c>
      <c r="CU419" s="114" t="n"/>
      <c r="CV419" s="114" t="n"/>
      <c r="CW419" s="115" t="n">
        <v>61718.4609006</v>
      </c>
      <c r="CZ419" s="117" t="s">
        <v>166</v>
      </c>
      <c r="DA419" s="119" t="n">
        <f aca="false" ca="true" dt2D="false" dtr="false" t="normal">SUBTOTAL(9, DB419:DP419)</f>
        <v>937789.51</v>
      </c>
      <c r="DB419" s="114" t="n"/>
      <c r="DC419" s="114" t="n">
        <v>937789.51</v>
      </c>
      <c r="DD419" s="114" t="n"/>
      <c r="DE419" s="114" t="n"/>
      <c r="DF419" s="114" t="n"/>
      <c r="DG419" s="114" t="n"/>
      <c r="DH419" s="114" t="n"/>
      <c r="DI419" s="114" t="n">
        <v>0</v>
      </c>
      <c r="DJ419" s="114" t="n">
        <v>0</v>
      </c>
      <c r="DK419" s="114" t="n">
        <v>0</v>
      </c>
      <c r="DL419" s="114" t="n">
        <v>0</v>
      </c>
      <c r="DM419" s="114" t="n">
        <v>0</v>
      </c>
      <c r="DN419" s="114" t="n"/>
      <c r="DO419" s="114" t="n"/>
      <c r="DP419" s="122" t="n"/>
      <c r="DQ419" s="3" t="n">
        <f aca="false" ca="false" dt2D="false" dtr="false" t="normal">N419-DA419</f>
        <v>0</v>
      </c>
      <c r="DS419" s="9" t="n"/>
    </row>
    <row hidden="false" ht="15" outlineLevel="0" r="420">
      <c r="A420" s="183" t="n">
        <f aca="false" ca="false" dt2D="false" dtr="false" t="normal">+A419+1</f>
        <v>400</v>
      </c>
      <c r="B420" s="117" t="n">
        <v>201</v>
      </c>
      <c r="C420" s="104" t="s">
        <v>111</v>
      </c>
      <c r="D420" s="104" t="s">
        <v>483</v>
      </c>
      <c r="E420" s="105" t="n">
        <v>1981</v>
      </c>
      <c r="F420" s="105" t="n">
        <v>2013</v>
      </c>
      <c r="G420" s="105" t="s">
        <v>68</v>
      </c>
      <c r="H420" s="105" t="n">
        <v>5</v>
      </c>
      <c r="I420" s="105" t="n">
        <v>4</v>
      </c>
      <c r="J420" s="106" t="n">
        <v>4887.3</v>
      </c>
      <c r="K420" s="106" t="n">
        <v>4312.9</v>
      </c>
      <c r="L420" s="106" t="n">
        <v>0</v>
      </c>
      <c r="M420" s="107" t="n">
        <v>194</v>
      </c>
      <c r="N420" s="108" t="n">
        <f aca="false" ca="false" dt2D="false" dtr="false" t="normal">SUM(P420:T420)</f>
        <v>1569375.81</v>
      </c>
      <c r="O420" s="106" t="n"/>
      <c r="P420" s="114" t="n">
        <v>879840.35</v>
      </c>
      <c r="Q420" s="114" t="n"/>
      <c r="R420" s="114" t="n"/>
      <c r="S420" s="114" t="n">
        <v>689535.46</v>
      </c>
      <c r="T420" s="114" t="n"/>
      <c r="U420" s="114" t="n">
        <v>3451.66555787124</v>
      </c>
      <c r="V420" s="114" t="n">
        <v>3451.66555787124</v>
      </c>
      <c r="W420" s="110" t="n">
        <v>2023</v>
      </c>
      <c r="X420" s="9" t="e">
        <f aca="false" ca="false" dt2D="false" dtr="false" t="normal">+#REF!-'[9]Приложение №1'!$P1077</f>
        <v>#REF!</v>
      </c>
      <c r="Z420" s="113" t="n">
        <f aca="false" ca="false" dt2D="false" dtr="false" t="normal">SUM(AA420:AO420)</f>
        <v>78714458.09999998</v>
      </c>
      <c r="AA420" s="106" t="n">
        <v>7207971.25848618</v>
      </c>
      <c r="AB420" s="106" t="n">
        <v>4168566.8282412</v>
      </c>
      <c r="AC420" s="106" t="n">
        <v>4406483.79083262</v>
      </c>
      <c r="AD420" s="106" t="n">
        <v>3359981.348031</v>
      </c>
      <c r="AE420" s="106" t="n">
        <v>1342243.77142212</v>
      </c>
      <c r="AF420" s="106" t="n"/>
      <c r="AG420" s="106" t="n">
        <v>358162.193235</v>
      </c>
      <c r="AH420" s="106" t="n">
        <v>0</v>
      </c>
      <c r="AI420" s="106" t="n">
        <v>12831286.2739362</v>
      </c>
      <c r="AJ420" s="106" t="n">
        <v>0</v>
      </c>
      <c r="AK420" s="106" t="n">
        <v>24912015.0846571</v>
      </c>
      <c r="AL420" s="106" t="n">
        <v>9797576.0184225</v>
      </c>
      <c r="AM420" s="106" t="n">
        <v>8047601.1061</v>
      </c>
      <c r="AN420" s="114" t="n">
        <v>787144.581</v>
      </c>
      <c r="AO420" s="115" t="n">
        <v>1495425.84563606</v>
      </c>
      <c r="AP420" s="112" t="n">
        <f aca="false" ca="false" dt2D="false" dtr="false" t="normal">+N420-'Приложение №2'!E420</f>
        <v>0</v>
      </c>
      <c r="AQ420" s="1" t="n">
        <v>1978942.68</v>
      </c>
      <c r="AR420" s="3" t="n">
        <f aca="false" ca="false" dt2D="false" dtr="false" t="normal">+(K420*10+L420*20)*12*0.85</f>
        <v>439915.8</v>
      </c>
      <c r="AS420" s="3" t="n">
        <f aca="false" ca="false" dt2D="false" dtr="false" t="normal">+(K420*10+L420*20)*12*30</f>
        <v>15526440</v>
      </c>
      <c r="AT420" s="9" t="n">
        <f aca="false" ca="false" dt2D="false" dtr="false" t="normal">+S420-AS420</f>
        <v>-14836904.54</v>
      </c>
      <c r="AU420" s="9" t="e">
        <f aca="false" ca="false" dt2D="false" dtr="false" t="normal">+P420-'[5]Приложение №1'!$P295</f>
        <v>#REF!</v>
      </c>
      <c r="AV420" s="9" t="e">
        <f aca="false" ca="false" dt2D="false" dtr="false" t="normal">+Q420-'[5]Приложение №1'!$Q295</f>
        <v>#REF!</v>
      </c>
      <c r="AW420" s="113" t="n">
        <f aca="false" ca="true" dt2D="false" dtr="false" t="normal">SUBTOTAL(9, AX420:BL420)</f>
        <v>14886688.38454288</v>
      </c>
      <c r="AX420" s="106" t="n"/>
      <c r="AY420" s="106" t="n"/>
      <c r="AZ420" s="106" t="n"/>
      <c r="BA420" s="106" t="n"/>
      <c r="BB420" s="106" t="n"/>
      <c r="BC420" s="106" t="n"/>
      <c r="BD420" s="106" t="n"/>
      <c r="BE420" s="106" t="n"/>
      <c r="BF420" s="106" t="n"/>
      <c r="BG420" s="106" t="n">
        <v>0</v>
      </c>
      <c r="BH420" s="106" t="n">
        <v>14156807.72</v>
      </c>
      <c r="BI420" s="106" t="n"/>
      <c r="BJ420" s="106" t="n">
        <v>185105.35</v>
      </c>
      <c r="BK420" s="114" t="n"/>
      <c r="BL420" s="187" t="n">
        <v>544775.31454288</v>
      </c>
      <c r="BM420" s="113" t="n">
        <f aca="false" ca="true" dt2D="false" dtr="false" t="normal">SUBTOTAL(9, BN420:CB420)</f>
        <v>14886688.38454288</v>
      </c>
      <c r="BN420" s="106" t="n"/>
      <c r="BO420" s="106" t="n"/>
      <c r="BP420" s="106" t="n"/>
      <c r="BQ420" s="106" t="n"/>
      <c r="BR420" s="106" t="n"/>
      <c r="BS420" s="106" t="n"/>
      <c r="BT420" s="106" t="n"/>
      <c r="BU420" s="106" t="n"/>
      <c r="BV420" s="106" t="n"/>
      <c r="BW420" s="106" t="n">
        <v>0</v>
      </c>
      <c r="BX420" s="106" t="n">
        <v>14156807.72</v>
      </c>
      <c r="BY420" s="106" t="n"/>
      <c r="BZ420" s="106" t="n">
        <v>185105.35</v>
      </c>
      <c r="CA420" s="114" t="n"/>
      <c r="CB420" s="115" t="n">
        <v>544775.31454288</v>
      </c>
      <c r="CD420" s="116" t="n">
        <f aca="false" ca="false" dt2D="false" dtr="false" t="normal">+CD419+1</f>
        <v>400</v>
      </c>
      <c r="CE420" s="117" t="n">
        <f aca="false" ca="false" dt2D="false" dtr="false" t="normal">+CE419+1</f>
        <v>201</v>
      </c>
      <c r="CF420" s="104" t="s">
        <v>111</v>
      </c>
      <c r="CG420" s="117" t="s">
        <v>483</v>
      </c>
      <c r="CH420" s="118" t="n">
        <f aca="false" ca="true" dt2D="false" dtr="false" t="normal">SUBTOTAL(9, CI420:CW420)</f>
        <v>2114151.12454288</v>
      </c>
      <c r="CI420" s="114" t="n"/>
      <c r="CJ420" s="114" t="n"/>
      <c r="CK420" s="114" t="n">
        <v>1517607.49</v>
      </c>
      <c r="CL420" s="114" t="n"/>
      <c r="CM420" s="114" t="n"/>
      <c r="CN420" s="114" t="n"/>
      <c r="CO420" s="114" t="n"/>
      <c r="CP420" s="114" t="n"/>
      <c r="CQ420" s="114" t="n"/>
      <c r="CR420" s="114" t="n">
        <v>0</v>
      </c>
      <c r="CS420" s="114" t="n"/>
      <c r="CT420" s="114" t="n"/>
      <c r="CU420" s="203" t="n">
        <v>44088.15</v>
      </c>
      <c r="CV420" s="203" t="n">
        <v>7680.17</v>
      </c>
      <c r="CW420" s="115" t="n">
        <v>544775.31454288</v>
      </c>
      <c r="CZ420" s="117" t="s">
        <v>483</v>
      </c>
      <c r="DA420" s="119" t="n">
        <f aca="false" ca="true" dt2D="false" dtr="false" t="normal">SUBTOTAL(9, DB420:DP420)</f>
        <v>1569375.8099999998</v>
      </c>
      <c r="DB420" s="114" t="n"/>
      <c r="DC420" s="114" t="n"/>
      <c r="DD420" s="114" t="n">
        <v>1517607.49</v>
      </c>
      <c r="DE420" s="114" t="n"/>
      <c r="DF420" s="114" t="n"/>
      <c r="DG420" s="114" t="n"/>
      <c r="DH420" s="114" t="n"/>
      <c r="DI420" s="114" t="n"/>
      <c r="DJ420" s="114" t="n"/>
      <c r="DK420" s="114" t="n">
        <v>0</v>
      </c>
      <c r="DL420" s="114" t="n"/>
      <c r="DM420" s="114" t="n"/>
      <c r="DN420" s="203" t="n">
        <v>44088.15</v>
      </c>
      <c r="DO420" s="203" t="n">
        <v>7680.17</v>
      </c>
      <c r="DP420" s="122" t="n"/>
      <c r="DQ420" s="3" t="n">
        <f aca="false" ca="false" dt2D="false" dtr="false" t="normal">N420-DA420</f>
        <v>0</v>
      </c>
      <c r="DS420" s="9" t="n"/>
    </row>
    <row hidden="false" ht="15" outlineLevel="0" r="421">
      <c r="A421" s="183" t="n">
        <f aca="false" ca="false" dt2D="false" dtr="false" t="normal">+A420+1</f>
        <v>401</v>
      </c>
      <c r="B421" s="117" t="n">
        <v>202</v>
      </c>
      <c r="C421" s="104" t="s">
        <v>111</v>
      </c>
      <c r="D421" s="104" t="s">
        <v>168</v>
      </c>
      <c r="E421" s="105" t="n">
        <v>1965</v>
      </c>
      <c r="F421" s="105" t="n">
        <v>2005</v>
      </c>
      <c r="G421" s="105" t="s">
        <v>68</v>
      </c>
      <c r="H421" s="105" t="n">
        <v>4</v>
      </c>
      <c r="I421" s="105" t="n">
        <v>4</v>
      </c>
      <c r="J421" s="106" t="n">
        <v>2661.8</v>
      </c>
      <c r="K421" s="106" t="n">
        <v>2220.4</v>
      </c>
      <c r="L421" s="106" t="n">
        <v>229.71</v>
      </c>
      <c r="M421" s="107" t="n">
        <v>111</v>
      </c>
      <c r="N421" s="108" t="n">
        <f aca="false" ca="false" dt2D="false" dtr="false" t="normal">SUM(P421:T421)</f>
        <v>21301944.08</v>
      </c>
      <c r="O421" s="106" t="n"/>
      <c r="P421" s="114" t="n">
        <v>12718221.48</v>
      </c>
      <c r="Q421" s="114" t="n"/>
      <c r="R421" s="114" t="n"/>
      <c r="S421" s="114" t="n">
        <v>8042840.05186258</v>
      </c>
      <c r="T421" s="114" t="n">
        <v>540882.548137418</v>
      </c>
      <c r="U421" s="114" t="n">
        <v>13550.1210021515</v>
      </c>
      <c r="V421" s="114" t="n">
        <v>1309.283020064</v>
      </c>
      <c r="W421" s="110" t="n">
        <v>2023</v>
      </c>
      <c r="X421" s="9" t="e">
        <f aca="false" ca="false" dt2D="false" dtr="false" t="normal">+#REF!-'[9]Приложение №1'!$P1396</f>
        <v>#REF!</v>
      </c>
      <c r="Z421" s="113" t="n">
        <f aca="false" ca="false" dt2D="false" dtr="false" t="normal">SUM(AA421:AO421)</f>
        <v>26489548.39</v>
      </c>
      <c r="AA421" s="106" t="n">
        <v>5804794.20581424</v>
      </c>
      <c r="AB421" s="106" t="n">
        <v>2068486.81690812</v>
      </c>
      <c r="AC421" s="106" t="n">
        <v>2161108.47229536</v>
      </c>
      <c r="AD421" s="106" t="n">
        <v>1352990.547006</v>
      </c>
      <c r="AE421" s="106" t="n">
        <v>827809.00358814</v>
      </c>
      <c r="AF421" s="106" t="n"/>
      <c r="AG421" s="106" t="n">
        <v>222745.84764852</v>
      </c>
      <c r="AH421" s="106" t="n">
        <v>0</v>
      </c>
      <c r="AI421" s="106" t="n">
        <v>10612047.0314502</v>
      </c>
      <c r="AJ421" s="106" t="n">
        <v>0</v>
      </c>
      <c r="AK421" s="106" t="n">
        <v>0</v>
      </c>
      <c r="AL421" s="106" t="n">
        <v>0</v>
      </c>
      <c r="AM421" s="106" t="n">
        <v>2670614.5608</v>
      </c>
      <c r="AN421" s="114" t="n">
        <v>264895.4839</v>
      </c>
      <c r="AO421" s="115" t="n">
        <v>504056.42058942</v>
      </c>
      <c r="AP421" s="112" t="n">
        <f aca="false" ca="false" dt2D="false" dtr="false" t="normal">+N421-'Приложение №2'!E421</f>
        <v>0</v>
      </c>
      <c r="AQ421" s="9" t="n">
        <f aca="false" ca="false" dt2D="false" dtr="false" t="normal">1589432.29-R106</f>
        <v>-4518.899999999907</v>
      </c>
      <c r="AR421" s="3" t="n">
        <f aca="false" ca="false" dt2D="false" dtr="false" t="normal">+(K421*10.5+L421*21)*12*0.85</f>
        <v>287008.722</v>
      </c>
      <c r="AS421" s="3" t="n">
        <f aca="false" ca="false" dt2D="false" dtr="false" t="normal">+(K421*10.5+L421*21)*12*30</f>
        <v>10129719.6</v>
      </c>
      <c r="AT421" s="9" t="n">
        <f aca="false" ca="false" dt2D="false" dtr="false" t="normal">+S421-AS421</f>
        <v>-2086879.5481374199</v>
      </c>
      <c r="AU421" s="9" t="e">
        <f aca="false" ca="false" dt2D="false" dtr="false" t="normal">+P421-'[5]Приложение №1'!$P317</f>
        <v>#REF!</v>
      </c>
      <c r="AV421" s="9" t="e">
        <f aca="false" ca="false" dt2D="false" dtr="false" t="normal">+Q421-'[5]Приложение №1'!$Q317</f>
        <v>#REF!</v>
      </c>
      <c r="AW421" s="186" t="n">
        <f aca="false" ca="true" dt2D="false" dtr="false" t="normal">SUBTOTAL(9, AX421:BL421)</f>
        <v>30086688.673177112</v>
      </c>
      <c r="AX421" s="106" t="n">
        <v>5849711.71732376</v>
      </c>
      <c r="AY421" s="106" t="n"/>
      <c r="AZ421" s="106" t="n">
        <v>2177830.17797015</v>
      </c>
      <c r="BA421" s="106" t="n"/>
      <c r="BB421" s="106" t="n"/>
      <c r="BC421" s="106" t="n"/>
      <c r="BD421" s="106" t="n">
        <v>224457.781225998</v>
      </c>
      <c r="BE421" s="106" t="n">
        <v>0</v>
      </c>
      <c r="BF421" s="106" t="n">
        <v>10694143.9051291</v>
      </c>
      <c r="BG421" s="106" t="n">
        <v>0</v>
      </c>
      <c r="BH421" s="106" t="n"/>
      <c r="BI421" s="106" t="n">
        <v>5988963.48124168</v>
      </c>
      <c r="BJ421" s="106" t="n">
        <v>3718496.5709544</v>
      </c>
      <c r="BK421" s="114" t="n">
        <v>411105.061469444</v>
      </c>
      <c r="BL421" s="187" t="n">
        <v>1021979.97786258</v>
      </c>
      <c r="BM421" s="186" t="n">
        <f aca="false" ca="true" dt2D="false" dtr="false" t="normal">SUBTOTAL(9, BN421:CB421)</f>
        <v>30086688.673177112</v>
      </c>
      <c r="BN421" s="106" t="n">
        <v>5849711.71732376</v>
      </c>
      <c r="BO421" s="106" t="n"/>
      <c r="BP421" s="106" t="n">
        <v>2177830.17797015</v>
      </c>
      <c r="BQ421" s="106" t="n"/>
      <c r="BR421" s="106" t="n"/>
      <c r="BS421" s="106" t="n"/>
      <c r="BT421" s="106" t="n">
        <v>224457.781225998</v>
      </c>
      <c r="BU421" s="106" t="n">
        <v>0</v>
      </c>
      <c r="BV421" s="106" t="n">
        <v>10694143.9051291</v>
      </c>
      <c r="BW421" s="106" t="n">
        <v>0</v>
      </c>
      <c r="BX421" s="106" t="n"/>
      <c r="BY421" s="106" t="n">
        <v>5988963.48124168</v>
      </c>
      <c r="BZ421" s="106" t="n">
        <v>3718496.5709544</v>
      </c>
      <c r="CA421" s="114" t="n">
        <v>411105.061469444</v>
      </c>
      <c r="CB421" s="115" t="n">
        <v>1021979.97786258</v>
      </c>
      <c r="CD421" s="116" t="n">
        <f aca="false" ca="false" dt2D="false" dtr="false" t="normal">+CD420+1</f>
        <v>401</v>
      </c>
      <c r="CE421" s="117" t="n">
        <f aca="false" ca="false" dt2D="false" dtr="false" t="normal">+CE420+1</f>
        <v>202</v>
      </c>
      <c r="CF421" s="104" t="s">
        <v>111</v>
      </c>
      <c r="CG421" s="117" t="s">
        <v>168</v>
      </c>
      <c r="CH421" s="188" t="n">
        <f aca="false" ca="true" dt2D="false" dtr="false" t="normal">SUBTOTAL(9, CI421:CW421)</f>
        <v>22323924.05786258</v>
      </c>
      <c r="CI421" s="114" t="n">
        <v>4825175.64</v>
      </c>
      <c r="CJ421" s="114" t="n"/>
      <c r="CK421" s="114" t="n">
        <v>1641706.8</v>
      </c>
      <c r="CL421" s="114" t="n"/>
      <c r="CM421" s="114" t="n"/>
      <c r="CN421" s="114" t="n"/>
      <c r="CO421" s="114" t="n"/>
      <c r="CP421" s="114" t="n">
        <v>0</v>
      </c>
      <c r="CQ421" s="114" t="n">
        <v>8211860.62</v>
      </c>
      <c r="CR421" s="114" t="n">
        <v>0</v>
      </c>
      <c r="CS421" s="114" t="n"/>
      <c r="CT421" s="114" t="n">
        <v>6291723.6</v>
      </c>
      <c r="CU421" s="203" t="n">
        <v>318677.42</v>
      </c>
      <c r="CV421" s="203" t="n">
        <v>12800</v>
      </c>
      <c r="CW421" s="115" t="n">
        <v>1021979.97786258</v>
      </c>
      <c r="CZ421" s="117" t="s">
        <v>168</v>
      </c>
      <c r="DA421" s="189" t="n">
        <f aca="false" ca="true" dt2D="false" dtr="false" t="normal">SUBTOTAL(9, DB421:DP421)</f>
        <v>21301944.08</v>
      </c>
      <c r="DB421" s="114" t="n">
        <v>4825175.64</v>
      </c>
      <c r="DC421" s="114" t="n"/>
      <c r="DD421" s="114" t="n">
        <v>1641706.8</v>
      </c>
      <c r="DE421" s="114" t="n"/>
      <c r="DF421" s="114" t="n"/>
      <c r="DG421" s="114" t="n"/>
      <c r="DH421" s="114" t="n"/>
      <c r="DI421" s="114" t="n">
        <v>0</v>
      </c>
      <c r="DJ421" s="114" t="n">
        <v>8211860.62</v>
      </c>
      <c r="DK421" s="114" t="n">
        <v>0</v>
      </c>
      <c r="DL421" s="114" t="n"/>
      <c r="DM421" s="114" t="n">
        <v>6291723.6</v>
      </c>
      <c r="DN421" s="203" t="n">
        <v>318677.42</v>
      </c>
      <c r="DO421" s="203" t="n">
        <v>12800</v>
      </c>
      <c r="DP421" s="122" t="n"/>
      <c r="DQ421" s="3" t="n">
        <f aca="false" ca="false" dt2D="false" dtr="false" t="normal">N421-DA421</f>
        <v>0</v>
      </c>
      <c r="DS421" s="9" t="n"/>
    </row>
    <row hidden="false" ht="15" outlineLevel="0" r="422">
      <c r="A422" s="183" t="n">
        <f aca="false" ca="false" dt2D="false" dtr="false" t="normal">+A421+1</f>
        <v>402</v>
      </c>
      <c r="B422" s="117" t="n">
        <v>203</v>
      </c>
      <c r="C422" s="104" t="s">
        <v>111</v>
      </c>
      <c r="D422" s="104" t="s">
        <v>484</v>
      </c>
      <c r="E422" s="105" t="n">
        <v>1978</v>
      </c>
      <c r="F422" s="105" t="n">
        <v>2013</v>
      </c>
      <c r="G422" s="105" t="s">
        <v>68</v>
      </c>
      <c r="H422" s="105" t="n">
        <v>4</v>
      </c>
      <c r="I422" s="105" t="n">
        <v>4</v>
      </c>
      <c r="J422" s="106" t="n">
        <v>3896.3</v>
      </c>
      <c r="K422" s="106" t="n">
        <v>3202.2</v>
      </c>
      <c r="L422" s="106" t="n">
        <v>496.4</v>
      </c>
      <c r="M422" s="107" t="n">
        <v>146</v>
      </c>
      <c r="N422" s="108" t="n">
        <f aca="false" ca="false" dt2D="false" dtr="false" t="normal">SUM(P422:T422)</f>
        <v>6633043.04</v>
      </c>
      <c r="O422" s="106" t="n"/>
      <c r="P422" s="114" t="n">
        <v>402860.24</v>
      </c>
      <c r="Q422" s="114" t="n"/>
      <c r="R422" s="114" t="n">
        <v>1657909.72910524</v>
      </c>
      <c r="S422" s="114" t="n">
        <v>4572273.07089476</v>
      </c>
      <c r="T422" s="114" t="n"/>
      <c r="U422" s="114" t="n">
        <v>2403.8148959386</v>
      </c>
      <c r="V422" s="114" t="n">
        <v>1310.283020064</v>
      </c>
      <c r="W422" s="110" t="n">
        <v>2023</v>
      </c>
      <c r="X422" s="9" t="e">
        <f aca="false" ca="false" dt2D="false" dtr="false" t="normal">+#REF!-'[9]Приложение №1'!$P1086</f>
        <v>#REF!</v>
      </c>
      <c r="Z422" s="113" t="n">
        <f aca="false" ca="false" dt2D="false" dtr="false" t="normal">SUM(AA422:AO422)</f>
        <v>7985643.38</v>
      </c>
      <c r="AA422" s="106" t="n">
        <v>5709280.85749476</v>
      </c>
      <c r="AB422" s="106" t="n">
        <v>0</v>
      </c>
      <c r="AC422" s="106" t="n">
        <v>0</v>
      </c>
      <c r="AD422" s="106" t="n">
        <v>0</v>
      </c>
      <c r="AE422" s="106" t="n">
        <v>1063162.76636808</v>
      </c>
      <c r="AF422" s="106" t="n"/>
      <c r="AG422" s="106" t="n">
        <v>0</v>
      </c>
      <c r="AH422" s="106" t="n">
        <v>0</v>
      </c>
      <c r="AI422" s="106" t="n">
        <v>0</v>
      </c>
      <c r="AJ422" s="106" t="n">
        <v>0</v>
      </c>
      <c r="AK422" s="106" t="n">
        <v>0</v>
      </c>
      <c r="AL422" s="106" t="n">
        <v>0</v>
      </c>
      <c r="AM422" s="106" t="n">
        <v>985243.6968</v>
      </c>
      <c r="AN422" s="114" t="n">
        <v>79856.4338</v>
      </c>
      <c r="AO422" s="115" t="n">
        <v>148099.62553716</v>
      </c>
      <c r="AP422" s="112" t="n">
        <f aca="false" ca="false" dt2D="false" dtr="false" t="normal">+N422-'Приложение №2'!E422</f>
        <v>0</v>
      </c>
      <c r="AQ422" s="1" t="n">
        <f aca="false" ca="false" dt2D="false" dtr="false" t="normal">2160865.59-103210.2</f>
        <v>2057655.39</v>
      </c>
      <c r="AR422" s="3" t="n">
        <f aca="false" ca="false" dt2D="false" dtr="false" t="normal">+(K422*10.5+L422*21)*12*0.85</f>
        <v>449284.5</v>
      </c>
      <c r="AS422" s="3" t="n">
        <f aca="false" ca="false" dt2D="false" dtr="false" t="normal">+(K422*10.5+L422*21)*12*30</f>
        <v>15857100</v>
      </c>
      <c r="AT422" s="9" t="n">
        <f aca="false" ca="false" dt2D="false" dtr="false" t="normal">+S422-AS422</f>
        <v>-11284826.92910524</v>
      </c>
      <c r="AU422" s="9" t="e">
        <f aca="false" ca="false" dt2D="false" dtr="false" t="normal">+P422-'[5]Приложение №1'!$P593</f>
        <v>#REF!</v>
      </c>
      <c r="AV422" s="9" t="e">
        <f aca="false" ca="false" dt2D="false" dtr="false" t="normal">+Q422-'[5]Приложение №1'!$Q593</f>
        <v>#REF!</v>
      </c>
      <c r="AW422" s="186" t="n">
        <f aca="false" ca="true" dt2D="false" dtr="false" t="normal">SUBTOTAL(9, AX422:BL422)</f>
        <v>7697496.05977458</v>
      </c>
      <c r="AX422" s="106" t="n">
        <v>6682552.19</v>
      </c>
      <c r="AY422" s="106" t="n">
        <v>0</v>
      </c>
      <c r="AZ422" s="106" t="n">
        <v>0</v>
      </c>
      <c r="BA422" s="106" t="n">
        <v>0</v>
      </c>
      <c r="BB422" s="106" t="n">
        <v>0</v>
      </c>
      <c r="BC422" s="106" t="n"/>
      <c r="BD422" s="106" t="n">
        <v>313091.46726934</v>
      </c>
      <c r="BE422" s="106" t="n">
        <v>0</v>
      </c>
      <c r="BF422" s="106" t="n">
        <v>0</v>
      </c>
      <c r="BG422" s="106" t="n">
        <v>0</v>
      </c>
      <c r="BH422" s="106" t="n">
        <v>0</v>
      </c>
      <c r="BI422" s="106" t="n">
        <v>0</v>
      </c>
      <c r="BJ422" s="106" t="n">
        <v>512890.6608</v>
      </c>
      <c r="BK422" s="114" t="n">
        <v>64111.3326</v>
      </c>
      <c r="BL422" s="187" t="n">
        <v>124850.40910524</v>
      </c>
      <c r="BM422" s="186" t="n">
        <f aca="false" ca="true" dt2D="false" dtr="false" t="normal">SUBTOTAL(9, BN422:CB422)</f>
        <v>7697496.05977458</v>
      </c>
      <c r="BN422" s="106" t="n">
        <v>6682552.19</v>
      </c>
      <c r="BO422" s="106" t="n">
        <v>0</v>
      </c>
      <c r="BP422" s="106" t="n">
        <v>0</v>
      </c>
      <c r="BQ422" s="106" t="n">
        <v>0</v>
      </c>
      <c r="BR422" s="106" t="n">
        <v>0</v>
      </c>
      <c r="BS422" s="106" t="n"/>
      <c r="BT422" s="106" t="n">
        <v>313091.46726934</v>
      </c>
      <c r="BU422" s="106" t="n">
        <v>0</v>
      </c>
      <c r="BV422" s="106" t="n">
        <v>0</v>
      </c>
      <c r="BW422" s="106" t="n">
        <v>0</v>
      </c>
      <c r="BX422" s="106" t="n">
        <v>0</v>
      </c>
      <c r="BY422" s="106" t="n">
        <v>0</v>
      </c>
      <c r="BZ422" s="106" t="n">
        <v>512890.6608</v>
      </c>
      <c r="CA422" s="114" t="n">
        <v>64111.3326</v>
      </c>
      <c r="CB422" s="115" t="n">
        <v>124850.40910524</v>
      </c>
      <c r="CD422" s="116" t="n">
        <f aca="false" ca="false" dt2D="false" dtr="false" t="normal">+CD421+1</f>
        <v>402</v>
      </c>
      <c r="CE422" s="117" t="n">
        <f aca="false" ca="false" dt2D="false" dtr="false" t="normal">+CE421+1</f>
        <v>203</v>
      </c>
      <c r="CF422" s="104" t="s">
        <v>111</v>
      </c>
      <c r="CG422" s="117" t="s">
        <v>484</v>
      </c>
      <c r="CH422" s="188" t="n">
        <f aca="false" ca="true" dt2D="false" dtr="false" t="normal">SUBTOTAL(9, CI422:CW422)</f>
        <v>6757893.44910524</v>
      </c>
      <c r="CI422" s="114" t="n">
        <v>6577590.92</v>
      </c>
      <c r="CJ422" s="114" t="n">
        <v>0</v>
      </c>
      <c r="CK422" s="114" t="n">
        <v>0</v>
      </c>
      <c r="CL422" s="114" t="n">
        <v>0</v>
      </c>
      <c r="CM422" s="114" t="n">
        <v>0</v>
      </c>
      <c r="CN422" s="114" t="n"/>
      <c r="CO422" s="114" t="n"/>
      <c r="CP422" s="114" t="n">
        <v>0</v>
      </c>
      <c r="CQ422" s="114" t="n">
        <v>0</v>
      </c>
      <c r="CR422" s="114" t="n">
        <v>0</v>
      </c>
      <c r="CS422" s="114" t="n">
        <v>0</v>
      </c>
      <c r="CT422" s="114" t="n">
        <v>0</v>
      </c>
      <c r="CU422" s="203" t="n">
        <v>31452.12</v>
      </c>
      <c r="CV422" s="203" t="n">
        <v>24000</v>
      </c>
      <c r="CW422" s="115" t="n">
        <v>124850.40910524</v>
      </c>
      <c r="CZ422" s="117" t="s">
        <v>484</v>
      </c>
      <c r="DA422" s="189" t="n">
        <f aca="false" ca="true" dt2D="false" dtr="false" t="normal">SUBTOTAL(9, DB422:DP422)</f>
        <v>6633043.04</v>
      </c>
      <c r="DB422" s="114" t="n">
        <v>6577590.92</v>
      </c>
      <c r="DC422" s="114" t="n">
        <v>0</v>
      </c>
      <c r="DD422" s="114" t="n">
        <v>0</v>
      </c>
      <c r="DE422" s="114" t="n">
        <v>0</v>
      </c>
      <c r="DF422" s="114" t="n">
        <v>0</v>
      </c>
      <c r="DG422" s="114" t="n"/>
      <c r="DH422" s="114" t="n"/>
      <c r="DI422" s="114" t="n">
        <v>0</v>
      </c>
      <c r="DJ422" s="114" t="n">
        <v>0</v>
      </c>
      <c r="DK422" s="114" t="n">
        <v>0</v>
      </c>
      <c r="DL422" s="114" t="n">
        <v>0</v>
      </c>
      <c r="DM422" s="114" t="n">
        <v>0</v>
      </c>
      <c r="DN422" s="203" t="n">
        <v>31452.12</v>
      </c>
      <c r="DO422" s="203" t="n">
        <v>24000</v>
      </c>
      <c r="DP422" s="122" t="n"/>
      <c r="DQ422" s="3" t="n">
        <f aca="false" ca="false" dt2D="false" dtr="false" t="normal">N422-DA422</f>
        <v>0</v>
      </c>
      <c r="DS422" s="9" t="n"/>
    </row>
    <row hidden="false" ht="15" outlineLevel="0" r="423">
      <c r="A423" s="183" t="n">
        <f aca="false" ca="false" dt2D="false" dtr="false" t="normal">+A422+1</f>
        <v>403</v>
      </c>
      <c r="B423" s="117" t="s">
        <v>463</v>
      </c>
      <c r="C423" s="104" t="s">
        <v>111</v>
      </c>
      <c r="D423" s="104" t="s">
        <v>170</v>
      </c>
      <c r="E423" s="105" t="n">
        <v>1992</v>
      </c>
      <c r="F423" s="105" t="n">
        <v>2013</v>
      </c>
      <c r="G423" s="105" t="s">
        <v>68</v>
      </c>
      <c r="H423" s="105" t="n">
        <v>5</v>
      </c>
      <c r="I423" s="105" t="n">
        <v>4</v>
      </c>
      <c r="J423" s="106" t="n">
        <v>5274.7</v>
      </c>
      <c r="K423" s="106" t="n">
        <v>4397.95</v>
      </c>
      <c r="L423" s="106" t="n">
        <v>82.7</v>
      </c>
      <c r="M423" s="107" t="n">
        <v>351</v>
      </c>
      <c r="N423" s="108" t="n">
        <f aca="false" ca="false" dt2D="false" dtr="false" t="normal">SUM(P423:T423)</f>
        <v>2668996.7399999998</v>
      </c>
      <c r="O423" s="106" t="n"/>
      <c r="P423" s="114" t="n">
        <v>1672886.91</v>
      </c>
      <c r="Q423" s="114" t="n"/>
      <c r="R423" s="114" t="n">
        <v>785754.05</v>
      </c>
      <c r="S423" s="114" t="n">
        <v>210355.78</v>
      </c>
      <c r="T423" s="114" t="n"/>
      <c r="U423" s="114" t="n">
        <v>2328.42110694812</v>
      </c>
      <c r="V423" s="114" t="n">
        <v>2328.42110694812</v>
      </c>
      <c r="W423" s="110" t="n">
        <v>2023</v>
      </c>
      <c r="X423" s="9" t="e">
        <f aca="false" ca="false" dt2D="false" dtr="false" t="normal">+#REF!-'[9]Приложение №1'!$P1418</f>
        <v>#REF!</v>
      </c>
      <c r="Z423" s="113" t="n">
        <f aca="false" ca="false" dt2D="false" dtr="false" t="normal">SUM(AA423:AO423)</f>
        <v>73758689.84</v>
      </c>
      <c r="AA423" s="106" t="n">
        <v>6929151.73554786</v>
      </c>
      <c r="AB423" s="106" t="n">
        <v>4007317.87339926</v>
      </c>
      <c r="AC423" s="106" t="n">
        <v>4236031.7089398</v>
      </c>
      <c r="AD423" s="106" t="n">
        <v>3230010.1851276</v>
      </c>
      <c r="AE423" s="106" t="n">
        <v>0</v>
      </c>
      <c r="AF423" s="106" t="n"/>
      <c r="AG423" s="106" t="n">
        <v>344307.72949692</v>
      </c>
      <c r="AH423" s="106" t="n">
        <v>0</v>
      </c>
      <c r="AI423" s="106" t="n">
        <v>12334945.0707882</v>
      </c>
      <c r="AJ423" s="106" t="n">
        <v>0</v>
      </c>
      <c r="AK423" s="106" t="n">
        <v>23948365.8336569</v>
      </c>
      <c r="AL423" s="106" t="n">
        <v>9418585.1320218</v>
      </c>
      <c r="AM423" s="106" t="n">
        <v>7163024.8004</v>
      </c>
      <c r="AN423" s="114" t="n">
        <v>737586.8984</v>
      </c>
      <c r="AO423" s="115" t="n">
        <v>1409362.87222168</v>
      </c>
      <c r="AP423" s="112" t="n">
        <f aca="false" ca="false" dt2D="false" dtr="false" t="normal">+N423-'Приложение №2'!E405</f>
        <v>-5593281.4</v>
      </c>
      <c r="AQ423" s="9" t="n">
        <f aca="false" ca="false" dt2D="false" dtr="false" t="normal">1987606.27-R220</f>
        <v>-153147.18999999994</v>
      </c>
      <c r="AR423" s="3" t="n">
        <f aca="false" ca="false" dt2D="false" dtr="false" t="normal">+(K423*10+L423*20)*12*0.85</f>
        <v>465461.7</v>
      </c>
      <c r="AS423" s="3" t="n">
        <f aca="false" ca="false" dt2D="false" dtr="false" t="normal">+(K423*10+L423*20)*12*30-S220</f>
        <v>13911527.370000001</v>
      </c>
      <c r="AT423" s="9" t="n">
        <f aca="false" ca="false" dt2D="false" dtr="false" t="normal">+S423-AS423</f>
        <v>-13701171.590000002</v>
      </c>
      <c r="AU423" s="9" t="e">
        <f aca="false" ca="false" dt2D="false" dtr="false" t="normal">+P423-'[5]Приложение №1'!$P431</f>
        <v>#REF!</v>
      </c>
      <c r="AV423" s="9" t="e">
        <f aca="false" ca="false" dt2D="false" dtr="false" t="normal">+Q423-'[5]Приложение №1'!$Q431</f>
        <v>#REF!</v>
      </c>
      <c r="AW423" s="113" t="n">
        <f aca="false" ca="true" dt2D="false" dtr="false" t="normal">SUBTOTAL(9, AX423:BL423)</f>
        <v>11699117.62284708</v>
      </c>
      <c r="AX423" s="106" t="n">
        <v>6146198.44</v>
      </c>
      <c r="AY423" s="106" t="n">
        <v>3984439.31</v>
      </c>
      <c r="AZ423" s="106" t="n"/>
      <c r="BA423" s="106" t="n"/>
      <c r="BB423" s="106" t="n"/>
      <c r="BC423" s="106" t="n"/>
      <c r="BD423" s="106" t="n"/>
      <c r="BE423" s="106" t="n"/>
      <c r="BF423" s="106" t="n"/>
      <c r="BG423" s="106" t="n"/>
      <c r="BH423" s="106" t="n"/>
      <c r="BI423" s="106" t="n"/>
      <c r="BJ423" s="106" t="n"/>
      <c r="BK423" s="114" t="n"/>
      <c r="BL423" s="187" t="n">
        <v>1568479.87284708</v>
      </c>
      <c r="BM423" s="113" t="n">
        <f aca="false" ca="true" dt2D="false" dtr="false" t="normal">SUBTOTAL(9, BN423:CB423)</f>
        <v>10432840.03284708</v>
      </c>
      <c r="BN423" s="106" t="n">
        <v>4879920.85</v>
      </c>
      <c r="BO423" s="106" t="n">
        <v>3984439.31</v>
      </c>
      <c r="BP423" s="106" t="n"/>
      <c r="BQ423" s="106" t="n"/>
      <c r="BR423" s="106" t="n"/>
      <c r="BS423" s="106" t="n"/>
      <c r="BT423" s="106" t="n"/>
      <c r="BU423" s="106" t="n"/>
      <c r="BV423" s="106" t="n"/>
      <c r="BW423" s="106" t="n"/>
      <c r="BX423" s="106" t="n"/>
      <c r="BY423" s="106" t="n"/>
      <c r="BZ423" s="106" t="n"/>
      <c r="CA423" s="114" t="n"/>
      <c r="CB423" s="115" t="n">
        <v>1568479.87284708</v>
      </c>
      <c r="CD423" s="116" t="n">
        <f aca="false" ca="false" dt2D="false" dtr="false" t="normal">+CD422+1</f>
        <v>403</v>
      </c>
      <c r="CE423" s="117" t="s">
        <v>463</v>
      </c>
      <c r="CF423" s="104" t="s">
        <v>111</v>
      </c>
      <c r="CG423" s="117" t="s">
        <v>170</v>
      </c>
      <c r="CH423" s="118" t="n">
        <f aca="false" ca="true" dt2D="false" dtr="false" t="normal">SUBTOTAL(9, CI423:CW423)</f>
        <v>4237476.61284708</v>
      </c>
      <c r="CI423" s="114" t="n"/>
      <c r="CJ423" s="114" t="n">
        <v>2668996.74</v>
      </c>
      <c r="CK423" s="114" t="n"/>
      <c r="CL423" s="114" t="n"/>
      <c r="CM423" s="114" t="n"/>
      <c r="CN423" s="114" t="n"/>
      <c r="CO423" s="114" t="n"/>
      <c r="CP423" s="114" t="n"/>
      <c r="CQ423" s="114" t="n"/>
      <c r="CR423" s="114" t="n"/>
      <c r="CS423" s="114" t="n"/>
      <c r="CT423" s="114" t="n"/>
      <c r="CU423" s="114" t="n"/>
      <c r="CV423" s="114" t="n"/>
      <c r="CW423" s="115" t="n">
        <v>1568479.87284708</v>
      </c>
      <c r="CZ423" s="117" t="s">
        <v>170</v>
      </c>
      <c r="DA423" s="119" t="n">
        <f aca="false" ca="true" dt2D="false" dtr="false" t="normal">SUBTOTAL(9, DB423:DP423)</f>
        <v>2668996.74</v>
      </c>
      <c r="DB423" s="114" t="n"/>
      <c r="DC423" s="114" t="n">
        <v>2668996.74</v>
      </c>
      <c r="DD423" s="114" t="n"/>
      <c r="DE423" s="114" t="n"/>
      <c r="DF423" s="114" t="n"/>
      <c r="DG423" s="114" t="n"/>
      <c r="DH423" s="114" t="n"/>
      <c r="DI423" s="114" t="n"/>
      <c r="DJ423" s="114" t="n"/>
      <c r="DK423" s="114" t="n"/>
      <c r="DL423" s="114" t="n"/>
      <c r="DM423" s="114" t="n"/>
      <c r="DN423" s="114" t="n"/>
      <c r="DO423" s="114" t="n"/>
      <c r="DP423" s="122" t="n"/>
      <c r="DQ423" s="3" t="n">
        <f aca="false" ca="false" dt2D="false" dtr="false" t="normal">N423-DA423</f>
        <v>0</v>
      </c>
      <c r="DS423" s="9" t="n"/>
    </row>
    <row hidden="false" ht="15" outlineLevel="0" r="424">
      <c r="A424" s="183" t="n">
        <f aca="false" ca="false" dt2D="false" dtr="false" t="normal">+A423+1</f>
        <v>404</v>
      </c>
      <c r="B424" s="117" t="s">
        <v>463</v>
      </c>
      <c r="C424" s="104" t="s">
        <v>111</v>
      </c>
      <c r="D424" s="104" t="s">
        <v>171</v>
      </c>
      <c r="E424" s="105" t="n">
        <v>1987</v>
      </c>
      <c r="F424" s="105" t="n">
        <v>1987</v>
      </c>
      <c r="G424" s="105" t="s">
        <v>68</v>
      </c>
      <c r="H424" s="105" t="n">
        <v>5</v>
      </c>
      <c r="I424" s="105" t="n">
        <v>3</v>
      </c>
      <c r="J424" s="106" t="n">
        <v>5170.7</v>
      </c>
      <c r="K424" s="106" t="n">
        <v>2871.7</v>
      </c>
      <c r="L424" s="106" t="n">
        <v>2299</v>
      </c>
      <c r="M424" s="107" t="n">
        <v>334</v>
      </c>
      <c r="N424" s="108" t="n">
        <f aca="false" ca="false" dt2D="false" dtr="false" t="normal">SUM(P424:T424)</f>
        <v>4620721.522</v>
      </c>
      <c r="O424" s="114" t="n"/>
      <c r="P424" s="114" t="n">
        <v>397766.39</v>
      </c>
      <c r="Q424" s="114" t="n"/>
      <c r="R424" s="114" t="n">
        <v>327890.78</v>
      </c>
      <c r="S424" s="114" t="n">
        <v>3895064.352</v>
      </c>
      <c r="T424" s="114" t="n"/>
      <c r="U424" s="114" t="n">
        <v>2143.11037672055</v>
      </c>
      <c r="V424" s="114" t="n">
        <v>2143.11037672055</v>
      </c>
      <c r="W424" s="110" t="n">
        <v>2023</v>
      </c>
      <c r="X424" s="9" t="e">
        <f aca="false" ca="false" dt2D="false" dtr="false" t="normal">+#REF!-'[9]Приложение №1'!$P1416</f>
        <v>#REF!</v>
      </c>
      <c r="Z424" s="113" t="n">
        <f aca="false" ca="false" dt2D="false" dtr="false" t="normal">SUM(AA424:AO424)</f>
        <v>44376055.650000006</v>
      </c>
      <c r="AA424" s="106" t="n">
        <v>6705846.86431296</v>
      </c>
      <c r="AB424" s="106" t="n">
        <v>2389568.92118868</v>
      </c>
      <c r="AC424" s="106" t="n">
        <v>2496567.83231184</v>
      </c>
      <c r="AD424" s="106" t="n">
        <v>1563009.3139332</v>
      </c>
      <c r="AE424" s="106" t="n">
        <v>0</v>
      </c>
      <c r="AF424" s="106" t="n"/>
      <c r="AG424" s="106" t="n">
        <v>257321.70331308</v>
      </c>
      <c r="AH424" s="106" t="n">
        <v>0</v>
      </c>
      <c r="AI424" s="106" t="n">
        <v>12259308.3878538</v>
      </c>
      <c r="AJ424" s="106" t="n">
        <v>0</v>
      </c>
      <c r="AK424" s="106" t="n">
        <v>6365089.67499342</v>
      </c>
      <c r="AL424" s="106" t="n">
        <v>6865494.2663706</v>
      </c>
      <c r="AM424" s="106" t="n">
        <v>4179375.6532</v>
      </c>
      <c r="AN424" s="114" t="n">
        <v>443760.5565</v>
      </c>
      <c r="AO424" s="115" t="n">
        <v>850712.47602242</v>
      </c>
      <c r="AP424" s="112" t="n">
        <f aca="false" ca="false" dt2D="false" dtr="false" t="normal">+N424-'Приложение №2'!E409</f>
        <v>-24454811.568</v>
      </c>
      <c r="AQ424" s="9" t="n">
        <f aca="false" ca="false" dt2D="false" dtr="false" t="normal">2578731.31-R390</f>
        <v>-4476615.01</v>
      </c>
      <c r="AR424" s="3" t="n">
        <f aca="false" ca="false" dt2D="false" dtr="false" t="normal">+(K424*10+L424*20)*12*0.85</f>
        <v>761909.4</v>
      </c>
      <c r="AS424" s="3" t="n">
        <f aca="false" ca="false" dt2D="false" dtr="false" t="normal">+(K424*10+L424*20)*12*30-S390</f>
        <v>20030464.33</v>
      </c>
      <c r="AT424" s="9" t="n">
        <f aca="false" ca="false" dt2D="false" dtr="false" t="normal">+S424-AS424</f>
        <v>-16135399.977999998</v>
      </c>
      <c r="AU424" s="9" t="e">
        <f aca="false" ca="false" dt2D="false" dtr="false" t="normal">+P424-'[5]Приложение №1'!$P432</f>
        <v>#REF!</v>
      </c>
      <c r="AV424" s="9" t="e">
        <f aca="false" ca="false" dt2D="false" dtr="false" t="normal">+Q424-'[5]Приложение №1'!$Q432</f>
        <v>#REF!</v>
      </c>
      <c r="AW424" s="113" t="n">
        <f aca="false" ca="true" dt2D="false" dtr="false" t="normal">SUBTOTAL(9, AX424:BL424)</f>
        <v>11081380.824908921</v>
      </c>
      <c r="AX424" s="106" t="n">
        <v>5873059.19</v>
      </c>
      <c r="AY424" s="106" t="n">
        <v>2875942.18</v>
      </c>
      <c r="AZ424" s="106" t="n"/>
      <c r="BA424" s="106" t="n">
        <v>1546747.33</v>
      </c>
      <c r="BB424" s="106" t="n"/>
      <c r="BC424" s="106" t="n"/>
      <c r="BD424" s="106" t="n"/>
      <c r="BE424" s="106" t="n"/>
      <c r="BF424" s="106" t="n"/>
      <c r="BG424" s="106" t="n"/>
      <c r="BH424" s="106" t="n"/>
      <c r="BI424" s="106" t="n"/>
      <c r="BJ424" s="106" t="n"/>
      <c r="BK424" s="114" t="n"/>
      <c r="BL424" s="187" t="n">
        <v>785632.12490892</v>
      </c>
      <c r="BM424" s="113" t="n">
        <f aca="false" ca="true" dt2D="false" dtr="false" t="normal">SUBTOTAL(9, BN424:CB424)</f>
        <v>11081380.824908921</v>
      </c>
      <c r="BN424" s="106" t="n">
        <v>5873059.19</v>
      </c>
      <c r="BO424" s="106" t="n">
        <v>2875942.18</v>
      </c>
      <c r="BP424" s="106" t="n"/>
      <c r="BQ424" s="106" t="n">
        <v>1546747.33</v>
      </c>
      <c r="BR424" s="106" t="n"/>
      <c r="BS424" s="106" t="n"/>
      <c r="BT424" s="106" t="n"/>
      <c r="BU424" s="106" t="n"/>
      <c r="BV424" s="106" t="n"/>
      <c r="BW424" s="106" t="n"/>
      <c r="BX424" s="106" t="n"/>
      <c r="BY424" s="106" t="n"/>
      <c r="BZ424" s="106" t="n"/>
      <c r="CA424" s="114" t="n"/>
      <c r="CB424" s="115" t="n">
        <v>785632.12490892</v>
      </c>
      <c r="CD424" s="116" t="n">
        <f aca="false" ca="false" dt2D="false" dtr="false" t="normal">+CD423+1</f>
        <v>404</v>
      </c>
      <c r="CE424" s="117" t="s">
        <v>463</v>
      </c>
      <c r="CF424" s="104" t="s">
        <v>111</v>
      </c>
      <c r="CG424" s="117" t="s">
        <v>171</v>
      </c>
      <c r="CH424" s="118" t="n">
        <f aca="false" ca="true" dt2D="false" dtr="false" t="normal">SUBTOTAL(9, CI424:CW424)</f>
        <v>5406353.64690892</v>
      </c>
      <c r="CI424" s="114" t="n">
        <v>4620721.522</v>
      </c>
      <c r="CJ424" s="114" t="n"/>
      <c r="CK424" s="114" t="n"/>
      <c r="CL424" s="114" t="n"/>
      <c r="CM424" s="114" t="n"/>
      <c r="CN424" s="114" t="n"/>
      <c r="CO424" s="114" t="n"/>
      <c r="CP424" s="114" t="n"/>
      <c r="CQ424" s="114" t="n"/>
      <c r="CR424" s="114" t="n"/>
      <c r="CS424" s="114" t="n"/>
      <c r="CT424" s="114" t="n"/>
      <c r="CU424" s="114" t="n"/>
      <c r="CV424" s="114" t="n"/>
      <c r="CW424" s="115" t="n">
        <v>785632.12490892</v>
      </c>
      <c r="CZ424" s="117" t="s">
        <v>171</v>
      </c>
      <c r="DA424" s="119" t="n">
        <f aca="false" ca="true" dt2D="false" dtr="false" t="normal">SUBTOTAL(9, DB424:DP424)</f>
        <v>4620721.522</v>
      </c>
      <c r="DB424" s="114" t="n">
        <v>4620721.522</v>
      </c>
      <c r="DC424" s="114" t="n"/>
      <c r="DD424" s="114" t="n"/>
      <c r="DE424" s="114" t="n"/>
      <c r="DF424" s="114" t="n"/>
      <c r="DG424" s="114" t="n"/>
      <c r="DH424" s="114" t="n"/>
      <c r="DI424" s="114" t="n"/>
      <c r="DJ424" s="114" t="n"/>
      <c r="DK424" s="114" t="n"/>
      <c r="DL424" s="114" t="n"/>
      <c r="DM424" s="114" t="n"/>
      <c r="DN424" s="114" t="n"/>
      <c r="DO424" s="114" t="n"/>
      <c r="DP424" s="122" t="n"/>
      <c r="DQ424" s="3" t="n">
        <f aca="false" ca="false" dt2D="false" dtr="false" t="normal">N424-DA424</f>
        <v>0</v>
      </c>
      <c r="DS424" s="9" t="n"/>
    </row>
    <row hidden="false" ht="15" outlineLevel="0" r="425">
      <c r="A425" s="183" t="n">
        <f aca="false" ca="false" dt2D="false" dtr="false" t="normal">+A424+1</f>
        <v>405</v>
      </c>
      <c r="B425" s="117" t="s">
        <v>463</v>
      </c>
      <c r="C425" s="117" t="s">
        <v>111</v>
      </c>
      <c r="D425" s="117" t="s">
        <v>372</v>
      </c>
      <c r="E425" s="105" t="n">
        <v>1968</v>
      </c>
      <c r="F425" s="105" t="n">
        <v>2013</v>
      </c>
      <c r="G425" s="105" t="s">
        <v>68</v>
      </c>
      <c r="H425" s="105" t="n">
        <v>4</v>
      </c>
      <c r="I425" s="105" t="n">
        <v>4</v>
      </c>
      <c r="J425" s="106" t="n">
        <v>2683.3</v>
      </c>
      <c r="K425" s="106" t="n">
        <v>2455</v>
      </c>
      <c r="L425" s="106" t="n">
        <v>0</v>
      </c>
      <c r="M425" s="107" t="n">
        <v>116</v>
      </c>
      <c r="N425" s="108" t="n">
        <f aca="false" ca="false" dt2D="false" dtr="false" t="normal">SUM(P425:T425)</f>
        <v>1471006.8900000001</v>
      </c>
      <c r="O425" s="114" t="n"/>
      <c r="P425" s="114" t="n"/>
      <c r="Q425" s="114" t="n"/>
      <c r="R425" s="114" t="n">
        <v>208409.6</v>
      </c>
      <c r="S425" s="106" t="n">
        <v>1262597.29</v>
      </c>
      <c r="T425" s="106" t="n"/>
      <c r="U425" s="106" t="n">
        <v>10413.6714172969</v>
      </c>
      <c r="V425" s="106" t="n">
        <v>10413.6714172969</v>
      </c>
      <c r="W425" s="110" t="n">
        <v>2023</v>
      </c>
      <c r="X425" s="9" t="e">
        <f aca="false" ca="false" dt2D="false" dtr="false" t="normal">+#REF!-'[9]Приложение №1'!$P1625</f>
        <v>#REF!</v>
      </c>
      <c r="Z425" s="113" t="n">
        <f aca="false" ca="false" dt2D="false" dtr="false" t="normal">SUM(AA425:AO425)</f>
        <v>26448146.58</v>
      </c>
      <c r="AA425" s="106" t="n">
        <v>5795721.60707358</v>
      </c>
      <c r="AB425" s="106" t="n">
        <v>2065253.87920782</v>
      </c>
      <c r="AC425" s="106" t="n">
        <v>2157730.77333072</v>
      </c>
      <c r="AD425" s="106" t="n">
        <v>1350875.89398468</v>
      </c>
      <c r="AE425" s="106" t="n">
        <v>826515.1809684</v>
      </c>
      <c r="AF425" s="106" t="n"/>
      <c r="AG425" s="106" t="n">
        <v>222397.71089424</v>
      </c>
      <c r="AH425" s="106" t="n">
        <v>0</v>
      </c>
      <c r="AI425" s="106" t="n">
        <v>10595460.9357702</v>
      </c>
      <c r="AJ425" s="106" t="n">
        <v>0</v>
      </c>
      <c r="AK425" s="106" t="n">
        <v>0</v>
      </c>
      <c r="AL425" s="106" t="n">
        <v>0</v>
      </c>
      <c r="AM425" s="106" t="n">
        <v>2666440.5268</v>
      </c>
      <c r="AN425" s="114" t="n">
        <v>264481.4658</v>
      </c>
      <c r="AO425" s="115" t="n">
        <v>503268.60617036</v>
      </c>
      <c r="AP425" s="112" t="n">
        <f aca="false" ca="false" dt2D="false" dtr="false" t="normal">+N425-'Приложение №2'!E425</f>
        <v>0</v>
      </c>
      <c r="AQ425" s="1" t="n">
        <f aca="false" ca="false" dt2D="false" dtr="false" t="normal">1035919.14-96406.2</f>
        <v>939512.9400000001</v>
      </c>
      <c r="AR425" s="3" t="n">
        <f aca="false" ca="false" dt2D="false" dtr="false" t="normal">+(K425*10+L425*20)*12*0.85</f>
        <v>250410</v>
      </c>
      <c r="AS425" s="3" t="n">
        <f aca="false" ca="false" dt2D="false" dtr="false" t="normal">+(K425*10+L425*20)*12*30</f>
        <v>8838000</v>
      </c>
      <c r="AT425" s="9" t="n">
        <f aca="false" ca="false" dt2D="false" dtr="false" t="normal">+S425-AS425</f>
        <v>-7575402.71</v>
      </c>
      <c r="AU425" s="9" t="e">
        <f aca="false" ca="false" dt2D="false" dtr="false" t="normal">+P425-'[5]Приложение №1'!$P458</f>
        <v>#REF!</v>
      </c>
      <c r="AV425" s="9" t="e">
        <f aca="false" ca="false" dt2D="false" dtr="false" t="normal">+Q425-'[5]Приложение №1'!$Q458</f>
        <v>#REF!</v>
      </c>
      <c r="AW425" s="113" t="n">
        <f aca="false" ca="true" dt2D="false" dtr="false" t="normal">SUBTOTAL(9, AX425:BL425)</f>
        <v>25478711.00788</v>
      </c>
      <c r="AX425" s="106" t="n">
        <v>6334618.483536</v>
      </c>
      <c r="AY425" s="106" t="n">
        <v>2285255.030898</v>
      </c>
      <c r="AZ425" s="106" t="n">
        <v>2421941.33</v>
      </c>
      <c r="BA425" s="106" t="n">
        <v>1543119.658416</v>
      </c>
      <c r="BB425" s="106" t="n"/>
      <c r="BC425" s="106" t="n"/>
      <c r="BD425" s="106" t="n">
        <v>222397.71089424</v>
      </c>
      <c r="BE425" s="106" t="n">
        <v>0</v>
      </c>
      <c r="BF425" s="106" t="n">
        <v>11696963.74329</v>
      </c>
      <c r="BG425" s="106" t="n">
        <v>0</v>
      </c>
      <c r="BH425" s="106" t="n">
        <v>0</v>
      </c>
      <c r="BI425" s="106" t="n"/>
      <c r="BJ425" s="106" t="n">
        <v>388642.9108</v>
      </c>
      <c r="BK425" s="114" t="n">
        <v>50318.9908</v>
      </c>
      <c r="BL425" s="187" t="n">
        <v>535453.14924576</v>
      </c>
      <c r="BM425" s="113" t="n">
        <f aca="false" ca="true" dt2D="false" dtr="false" t="normal">SUBTOTAL(9, BN425:CB425)</f>
        <v>21165662.406174</v>
      </c>
      <c r="BN425" s="106" t="n">
        <v>6334618.483536</v>
      </c>
      <c r="BO425" s="106" t="n">
        <v>2285255.030898</v>
      </c>
      <c r="BP425" s="106" t="n">
        <v>2421941.33</v>
      </c>
      <c r="BQ425" s="106" t="n">
        <v>1626971.98</v>
      </c>
      <c r="BR425" s="106" t="n"/>
      <c r="BS425" s="106" t="n"/>
      <c r="BT425" s="106" t="n">
        <v>222397.71089424</v>
      </c>
      <c r="BU425" s="106" t="n">
        <v>0</v>
      </c>
      <c r="BV425" s="106" t="n">
        <v>7300062.82</v>
      </c>
      <c r="BW425" s="106" t="n">
        <v>0</v>
      </c>
      <c r="BX425" s="106" t="n">
        <v>0</v>
      </c>
      <c r="BY425" s="106" t="n"/>
      <c r="BZ425" s="106" t="n">
        <v>388642.9108</v>
      </c>
      <c r="CA425" s="114" t="n">
        <v>50318.9908</v>
      </c>
      <c r="CB425" s="115" t="n">
        <v>535453.14924576</v>
      </c>
      <c r="CD425" s="116" t="n">
        <f aca="false" ca="false" dt2D="false" dtr="false" t="normal">+CD424+1</f>
        <v>405</v>
      </c>
      <c r="CE425" s="117" t="s">
        <v>463</v>
      </c>
      <c r="CF425" s="104" t="s">
        <v>111</v>
      </c>
      <c r="CG425" s="117" t="s">
        <v>372</v>
      </c>
      <c r="CH425" s="118" t="n">
        <f aca="false" ca="true" dt2D="false" dtr="false" t="normal">SUBTOTAL(9, CI425:CW425)</f>
        <v>2006460.03924576</v>
      </c>
      <c r="CI425" s="114" t="n"/>
      <c r="CJ425" s="114" t="n">
        <v>1434980.99</v>
      </c>
      <c r="CK425" s="114" t="n"/>
      <c r="CL425" s="114" t="n"/>
      <c r="CM425" s="114" t="n"/>
      <c r="CN425" s="114" t="n"/>
      <c r="CO425" s="114" t="n"/>
      <c r="CP425" s="114" t="n">
        <v>0</v>
      </c>
      <c r="CQ425" s="114" t="n"/>
      <c r="CR425" s="114" t="n">
        <v>0</v>
      </c>
      <c r="CS425" s="114" t="n">
        <v>0</v>
      </c>
      <c r="CT425" s="114" t="n"/>
      <c r="CU425" s="114" t="n">
        <v>31225.9</v>
      </c>
      <c r="CV425" s="114" t="n">
        <v>4800</v>
      </c>
      <c r="CW425" s="115" t="n">
        <v>535453.14924576</v>
      </c>
      <c r="CZ425" s="117" t="s">
        <v>372</v>
      </c>
      <c r="DA425" s="119" t="n">
        <f aca="false" ca="true" dt2D="false" dtr="false" t="normal">SUBTOTAL(9, DB425:DP425)</f>
        <v>1471006.89</v>
      </c>
      <c r="DB425" s="114" t="n"/>
      <c r="DC425" s="114" t="n">
        <v>1434980.99</v>
      </c>
      <c r="DD425" s="114" t="n"/>
      <c r="DE425" s="114" t="n"/>
      <c r="DF425" s="114" t="n"/>
      <c r="DG425" s="114" t="n"/>
      <c r="DH425" s="114" t="n"/>
      <c r="DI425" s="114" t="n">
        <v>0</v>
      </c>
      <c r="DJ425" s="114" t="n"/>
      <c r="DK425" s="114" t="n">
        <v>0</v>
      </c>
      <c r="DL425" s="114" t="n">
        <v>0</v>
      </c>
      <c r="DM425" s="114" t="n"/>
      <c r="DN425" s="114" t="n">
        <v>31225.9</v>
      </c>
      <c r="DO425" s="114" t="n">
        <v>4800</v>
      </c>
      <c r="DP425" s="122" t="n"/>
      <c r="DQ425" s="3" t="n">
        <f aca="false" ca="false" dt2D="false" dtr="false" t="normal">N425-DA425</f>
        <v>0</v>
      </c>
      <c r="DS425" s="9" t="n"/>
    </row>
    <row hidden="false" ht="15" outlineLevel="0" r="426">
      <c r="A426" s="183" t="n">
        <f aca="false" ca="false" dt2D="false" dtr="false" t="normal">+A425+1</f>
        <v>406</v>
      </c>
      <c r="B426" s="117" t="s">
        <v>463</v>
      </c>
      <c r="C426" s="104" t="s">
        <v>111</v>
      </c>
      <c r="D426" s="104" t="s">
        <v>373</v>
      </c>
      <c r="E426" s="105" t="n">
        <v>1970</v>
      </c>
      <c r="F426" s="105" t="n">
        <v>2013</v>
      </c>
      <c r="G426" s="105" t="s">
        <v>68</v>
      </c>
      <c r="H426" s="105" t="n">
        <v>4</v>
      </c>
      <c r="I426" s="105" t="n">
        <v>4</v>
      </c>
      <c r="J426" s="106" t="n">
        <v>2722.8</v>
      </c>
      <c r="K426" s="106" t="n">
        <v>2468.7</v>
      </c>
      <c r="L426" s="106" t="n">
        <v>72.1</v>
      </c>
      <c r="M426" s="107" t="n">
        <v>146</v>
      </c>
      <c r="N426" s="108" t="n">
        <f aca="false" ca="false" dt2D="false" dtr="false" t="normal">SUM(P426:T426)</f>
        <v>1823889.76</v>
      </c>
      <c r="O426" s="114" t="n"/>
      <c r="P426" s="114" t="n"/>
      <c r="Q426" s="114" t="n"/>
      <c r="R426" s="114" t="n">
        <v>254690.25</v>
      </c>
      <c r="S426" s="114" t="n">
        <v>1569199.51</v>
      </c>
      <c r="T426" s="106" t="n"/>
      <c r="U426" s="106" t="n">
        <v>10175.7369118931</v>
      </c>
      <c r="V426" s="106" t="n">
        <v>10175.7369118931</v>
      </c>
      <c r="W426" s="110" t="n">
        <v>2023</v>
      </c>
      <c r="X426" s="9" t="e">
        <f aca="false" ca="false" dt2D="false" dtr="false" t="normal">+#REF!-'[9]Приложение №1'!$P1626</f>
        <v>#REF!</v>
      </c>
      <c r="Z426" s="113" t="n">
        <f aca="false" ca="false" dt2D="false" dtr="false" t="normal">SUM(AA426:AO426)</f>
        <v>26878507.739999995</v>
      </c>
      <c r="AA426" s="106" t="n">
        <v>5890028.91603126</v>
      </c>
      <c r="AB426" s="106" t="n">
        <v>2098859.44768794</v>
      </c>
      <c r="AC426" s="106" t="n">
        <v>2192841.11516526</v>
      </c>
      <c r="AD426" s="106" t="n">
        <v>1372857.18643836</v>
      </c>
      <c r="AE426" s="106" t="n">
        <v>839964.14065872</v>
      </c>
      <c r="AF426" s="106" t="n"/>
      <c r="AG426" s="106" t="n">
        <v>226016.53592028</v>
      </c>
      <c r="AH426" s="106" t="n">
        <v>0</v>
      </c>
      <c r="AI426" s="106" t="n">
        <v>10767869.0495082</v>
      </c>
      <c r="AJ426" s="106" t="n">
        <v>0</v>
      </c>
      <c r="AK426" s="106" t="n">
        <v>0</v>
      </c>
      <c r="AL426" s="106" t="n">
        <v>0</v>
      </c>
      <c r="AM426" s="106" t="n">
        <v>2709828.5369</v>
      </c>
      <c r="AN426" s="114" t="n">
        <v>268785.0774</v>
      </c>
      <c r="AO426" s="115" t="n">
        <v>511457.73428998</v>
      </c>
      <c r="AP426" s="112" t="n">
        <f aca="false" ca="false" dt2D="false" dtr="false" t="normal">+N426-'Приложение №2'!E426</f>
        <v>0</v>
      </c>
      <c r="AQ426" s="1" t="n">
        <f aca="false" ca="false" dt2D="false" dtr="false" t="normal">1230267.29-95960.13</f>
        <v>1134307.1600000001</v>
      </c>
      <c r="AR426" s="3" t="n">
        <f aca="false" ca="false" dt2D="false" dtr="false" t="normal">+(K426*10+L426*20)*12*0.85</f>
        <v>266515.8</v>
      </c>
      <c r="AS426" s="3" t="n">
        <f aca="false" ca="false" dt2D="false" dtr="false" t="normal">+(K426*10+L426*20)*12*30</f>
        <v>9406440</v>
      </c>
      <c r="AT426" s="9" t="n">
        <f aca="false" ca="false" dt2D="false" dtr="false" t="normal">+S426-AS426</f>
        <v>-7837240.49</v>
      </c>
      <c r="AU426" s="9" t="e">
        <f aca="false" ca="false" dt2D="false" dtr="false" t="normal">+P426-'[5]Приложение №1'!$P459</f>
        <v>#REF!</v>
      </c>
      <c r="AV426" s="9" t="e">
        <f aca="false" ca="false" dt2D="false" dtr="false" t="normal">+Q426-'[5]Приложение №1'!$Q459</f>
        <v>#REF!</v>
      </c>
      <c r="AW426" s="113" t="n">
        <f aca="false" ca="true" dt2D="false" dtr="false" t="normal">SUBTOTAL(9, AX426:BL426)</f>
        <v>25889637.380292</v>
      </c>
      <c r="AX426" s="106" t="n">
        <v>6438393.562734</v>
      </c>
      <c r="AY426" s="106" t="n">
        <v>2323154.770356</v>
      </c>
      <c r="AZ426" s="106" t="n">
        <v>2462247.36</v>
      </c>
      <c r="BA426" s="106" t="n">
        <v>1568819.974554</v>
      </c>
      <c r="BB426" s="106" t="n"/>
      <c r="BC426" s="106" t="n"/>
      <c r="BD426" s="106" t="n">
        <v>226016.53592028</v>
      </c>
      <c r="BE426" s="106" t="n">
        <v>0</v>
      </c>
      <c r="BF426" s="106" t="n">
        <v>11889999.423918</v>
      </c>
      <c r="BG426" s="106" t="n">
        <v>0</v>
      </c>
      <c r="BH426" s="106" t="n">
        <v>0</v>
      </c>
      <c r="BI426" s="106" t="n">
        <v>0</v>
      </c>
      <c r="BJ426" s="106" t="n">
        <v>386371.7851</v>
      </c>
      <c r="BK426" s="114" t="n">
        <v>50356.7251</v>
      </c>
      <c r="BL426" s="187" t="n">
        <v>544277.24260972</v>
      </c>
      <c r="BM426" s="113" t="n">
        <f aca="false" ca="true" dt2D="false" dtr="false" t="normal">SUBTOTAL(9, BN426:CB426)</f>
        <v>20619478.151819997</v>
      </c>
      <c r="BN426" s="106" t="n">
        <v>6438393.562734</v>
      </c>
      <c r="BO426" s="106" t="n">
        <v>2323154.770356</v>
      </c>
      <c r="BP426" s="106" t="n">
        <v>2462247.36</v>
      </c>
      <c r="BQ426" s="106" t="n">
        <v>1533694.94</v>
      </c>
      <c r="BR426" s="106" t="n"/>
      <c r="BS426" s="106" t="n"/>
      <c r="BT426" s="106" t="n">
        <v>226016.53592028</v>
      </c>
      <c r="BU426" s="106" t="n">
        <v>0</v>
      </c>
      <c r="BV426" s="106" t="n">
        <v>6654965.23</v>
      </c>
      <c r="BW426" s="106" t="n">
        <v>0</v>
      </c>
      <c r="BX426" s="106" t="n">
        <v>0</v>
      </c>
      <c r="BY426" s="106" t="n">
        <v>0</v>
      </c>
      <c r="BZ426" s="106" t="n">
        <v>386371.7851</v>
      </c>
      <c r="CA426" s="114" t="n">
        <v>50356.7251</v>
      </c>
      <c r="CB426" s="115" t="n">
        <v>544277.24260972</v>
      </c>
      <c r="CD426" s="116" t="n">
        <f aca="false" ca="false" dt2D="false" dtr="false" t="normal">+CD425+1</f>
        <v>406</v>
      </c>
      <c r="CE426" s="117" t="s">
        <v>463</v>
      </c>
      <c r="CF426" s="104" t="s">
        <v>111</v>
      </c>
      <c r="CG426" s="117" t="s">
        <v>373</v>
      </c>
      <c r="CH426" s="118" t="n">
        <f aca="false" ca="true" dt2D="false" dtr="false" t="normal">SUBTOTAL(9, CI426:CW426)</f>
        <v>2368167.00260972</v>
      </c>
      <c r="CI426" s="114" t="n"/>
      <c r="CJ426" s="114" t="n">
        <v>1788007.61</v>
      </c>
      <c r="CK426" s="114" t="n"/>
      <c r="CL426" s="114" t="n"/>
      <c r="CM426" s="114" t="n"/>
      <c r="CN426" s="114" t="n"/>
      <c r="CO426" s="114" t="n"/>
      <c r="CP426" s="114" t="n">
        <v>0</v>
      </c>
      <c r="CQ426" s="114" t="n"/>
      <c r="CR426" s="114" t="n">
        <v>0</v>
      </c>
      <c r="CS426" s="114" t="n">
        <v>0</v>
      </c>
      <c r="CT426" s="114" t="n">
        <v>0</v>
      </c>
      <c r="CU426" s="114" t="n">
        <v>31082.15</v>
      </c>
      <c r="CV426" s="114" t="n">
        <v>4800</v>
      </c>
      <c r="CW426" s="115" t="n">
        <v>544277.24260972</v>
      </c>
      <c r="CZ426" s="117" t="s">
        <v>373</v>
      </c>
      <c r="DA426" s="119" t="n">
        <f aca="false" ca="true" dt2D="false" dtr="false" t="normal">SUBTOTAL(9, DB426:DP426)</f>
        <v>1823889.76</v>
      </c>
      <c r="DB426" s="114" t="n"/>
      <c r="DC426" s="114" t="n">
        <v>1788007.61</v>
      </c>
      <c r="DD426" s="114" t="n"/>
      <c r="DE426" s="114" t="n"/>
      <c r="DF426" s="114" t="n"/>
      <c r="DG426" s="114" t="n"/>
      <c r="DH426" s="114" t="n"/>
      <c r="DI426" s="114" t="n">
        <v>0</v>
      </c>
      <c r="DJ426" s="114" t="n"/>
      <c r="DK426" s="114" t="n">
        <v>0</v>
      </c>
      <c r="DL426" s="114" t="n">
        <v>0</v>
      </c>
      <c r="DM426" s="114" t="n">
        <v>0</v>
      </c>
      <c r="DN426" s="114" t="n">
        <v>31082.15</v>
      </c>
      <c r="DO426" s="114" t="n">
        <v>4800</v>
      </c>
      <c r="DP426" s="122" t="n"/>
      <c r="DQ426" s="3" t="n">
        <f aca="false" ca="false" dt2D="false" dtr="false" t="normal">N426-DA426</f>
        <v>0</v>
      </c>
      <c r="DS426" s="9" t="n"/>
    </row>
    <row hidden="false" ht="15" outlineLevel="0" r="427">
      <c r="A427" s="183" t="n">
        <f aca="false" ca="false" dt2D="false" dtr="false" t="normal">+A426+1</f>
        <v>407</v>
      </c>
      <c r="B427" s="117" t="s">
        <v>463</v>
      </c>
      <c r="C427" s="104" t="s">
        <v>111</v>
      </c>
      <c r="D427" s="117" t="s">
        <v>374</v>
      </c>
      <c r="E427" s="105" t="n">
        <v>1970</v>
      </c>
      <c r="F427" s="105" t="n">
        <v>2013</v>
      </c>
      <c r="G427" s="105" t="s">
        <v>68</v>
      </c>
      <c r="H427" s="105" t="n">
        <v>4</v>
      </c>
      <c r="I427" s="105" t="n">
        <v>4</v>
      </c>
      <c r="J427" s="106" t="n">
        <v>2981.5</v>
      </c>
      <c r="K427" s="106" t="n">
        <v>2738.8</v>
      </c>
      <c r="L427" s="106" t="n">
        <v>0</v>
      </c>
      <c r="M427" s="107" t="n">
        <v>153</v>
      </c>
      <c r="N427" s="108" t="n">
        <f aca="false" ca="false" dt2D="false" dtr="false" t="normal">SUM(P427:T427)</f>
        <v>7879770.539999999</v>
      </c>
      <c r="O427" s="114" t="n"/>
      <c r="P427" s="114" t="n">
        <v>3573040.04</v>
      </c>
      <c r="Q427" s="114" t="n"/>
      <c r="R427" s="114" t="n">
        <v>565070.674420919</v>
      </c>
      <c r="S427" s="114" t="n">
        <v>3741659.82557908</v>
      </c>
      <c r="T427" s="114" t="n"/>
      <c r="U427" s="106" t="n">
        <v>10190.5104018665</v>
      </c>
      <c r="V427" s="106" t="n">
        <v>10190.5104018665</v>
      </c>
      <c r="W427" s="110" t="n">
        <v>2023</v>
      </c>
      <c r="X427" s="9" t="e">
        <f aca="false" ca="false" dt2D="false" dtr="false" t="normal">+#REF!-'[9]Приложение №1'!$P1215</f>
        <v>#REF!</v>
      </c>
      <c r="Z427" s="113" t="n">
        <f aca="false" ca="false" dt2D="false" dtr="false" t="normal">SUM(AA427:AO427)</f>
        <v>37346887.23</v>
      </c>
      <c r="AA427" s="106" t="n">
        <v>6507682.12980522</v>
      </c>
      <c r="AB427" s="106" t="n">
        <v>2318954.67953562</v>
      </c>
      <c r="AC427" s="106" t="n">
        <v>2422791.6618381</v>
      </c>
      <c r="AD427" s="106" t="n">
        <v>1516820.76651756</v>
      </c>
      <c r="AE427" s="106" t="n">
        <v>928046.31598098</v>
      </c>
      <c r="AF427" s="106" t="n"/>
      <c r="AG427" s="106" t="n">
        <v>249717.57989136</v>
      </c>
      <c r="AH427" s="106" t="n">
        <v>0</v>
      </c>
      <c r="AI427" s="106" t="n">
        <v>11897033.101632</v>
      </c>
      <c r="AJ427" s="106" t="n">
        <v>0</v>
      </c>
      <c r="AK427" s="106" t="n">
        <v>0</v>
      </c>
      <c r="AL427" s="106" t="n">
        <v>6662611.78552032</v>
      </c>
      <c r="AM427" s="106" t="n">
        <v>3758971.1671</v>
      </c>
      <c r="AN427" s="114" t="n">
        <v>373468.8723</v>
      </c>
      <c r="AO427" s="115" t="n">
        <v>710789.16987884</v>
      </c>
      <c r="AP427" s="112" t="n">
        <f aca="false" ca="false" dt2D="false" dtr="false" t="normal">+N427-'Приложение №2'!E412</f>
        <v>6202963.329999999</v>
      </c>
      <c r="AQ427" s="1" t="n">
        <f aca="false" ca="false" dt2D="false" dtr="false" t="normal">1220932.16-96512.28</f>
        <v>1124419.88</v>
      </c>
      <c r="AR427" s="3" t="n">
        <f aca="false" ca="false" dt2D="false" dtr="false" t="normal">+(K427*10+L427*20)*12*0.85</f>
        <v>279357.6</v>
      </c>
      <c r="AS427" s="3" t="n">
        <f aca="false" ca="false" dt2D="false" dtr="false" t="normal">+(K427*10+L427*20)*12*30</f>
        <v>9859680</v>
      </c>
      <c r="AT427" s="9" t="n">
        <f aca="false" ca="false" dt2D="false" dtr="false" t="normal">+S427-AS427</f>
        <v>-6118020.17442092</v>
      </c>
      <c r="AU427" s="9" t="e">
        <f aca="false" ca="false" dt2D="false" dtr="false" t="normal">+P427-'[5]Приложение №1'!$P433</f>
        <v>#REF!</v>
      </c>
      <c r="AV427" s="9" t="e">
        <f aca="false" ca="false" dt2D="false" dtr="false" t="normal">+Q427-'[5]Приложение №1'!$Q433</f>
        <v>#REF!</v>
      </c>
      <c r="AW427" s="113" t="n">
        <f aca="false" ca="true" dt2D="false" dtr="false" t="normal">SUBTOTAL(9, AX427:BL427)</f>
        <v>34130312.75803</v>
      </c>
      <c r="AX427" s="106" t="n">
        <v>7094689.910826</v>
      </c>
      <c r="AY427" s="106" t="n">
        <v>2547296.690526</v>
      </c>
      <c r="AZ427" s="106" t="n">
        <v>1704018.34</v>
      </c>
      <c r="BA427" s="106" t="n">
        <v>1334515.24</v>
      </c>
      <c r="BB427" s="106" t="n"/>
      <c r="BC427" s="106" t="n"/>
      <c r="BD427" s="106" t="n">
        <v>249717.57989136</v>
      </c>
      <c r="BE427" s="106" t="n">
        <v>0</v>
      </c>
      <c r="BF427" s="106" t="n">
        <v>13087063.849398</v>
      </c>
      <c r="BG427" s="106" t="n">
        <v>0</v>
      </c>
      <c r="BH427" s="106" t="n">
        <v>0</v>
      </c>
      <c r="BI427" s="106" t="n">
        <v>7353384.386586</v>
      </c>
      <c r="BJ427" s="106" t="n"/>
      <c r="BK427" s="114" t="n"/>
      <c r="BL427" s="187" t="n">
        <v>759626.76080264</v>
      </c>
      <c r="BM427" s="113" t="n">
        <f aca="false" ca="true" dt2D="false" dtr="false" t="normal">SUBTOTAL(9, BN427:CB427)</f>
        <v>26509372.922046006</v>
      </c>
      <c r="BN427" s="106" t="n">
        <v>7094689.910826</v>
      </c>
      <c r="BO427" s="106" t="n">
        <v>2547296.690526</v>
      </c>
      <c r="BP427" s="106" t="n">
        <v>1704018.34</v>
      </c>
      <c r="BQ427" s="106" t="n">
        <v>1334515.24</v>
      </c>
      <c r="BR427" s="106" t="n"/>
      <c r="BS427" s="106" t="n"/>
      <c r="BT427" s="106" t="n">
        <v>249717.57989136</v>
      </c>
      <c r="BU427" s="106" t="n">
        <v>0</v>
      </c>
      <c r="BV427" s="106" t="n">
        <v>6866520.98</v>
      </c>
      <c r="BW427" s="106" t="n">
        <v>0</v>
      </c>
      <c r="BX427" s="106" t="n">
        <v>0</v>
      </c>
      <c r="BY427" s="106" t="n">
        <v>5952987.42</v>
      </c>
      <c r="BZ427" s="106" t="n"/>
      <c r="CA427" s="114" t="n"/>
      <c r="CB427" s="115" t="n">
        <v>759626.76080264</v>
      </c>
      <c r="CD427" s="116" t="n">
        <f aca="false" ca="false" dt2D="false" dtr="false" t="normal">+CD426+1</f>
        <v>407</v>
      </c>
      <c r="CE427" s="117" t="s">
        <v>463</v>
      </c>
      <c r="CF427" s="104" t="s">
        <v>111</v>
      </c>
      <c r="CG427" s="117" t="s">
        <v>374</v>
      </c>
      <c r="CH427" s="118" t="n">
        <f aca="false" ca="true" dt2D="false" dtr="false" t="normal">SUBTOTAL(9, CI427:CW427)</f>
        <v>8639397.30080264</v>
      </c>
      <c r="CI427" s="114" t="n">
        <v>6881617.84</v>
      </c>
      <c r="CJ427" s="114" t="n">
        <v>998152.7</v>
      </c>
      <c r="CK427" s="114" t="n"/>
      <c r="CL427" s="114" t="n"/>
      <c r="CM427" s="114" t="n"/>
      <c r="CN427" s="114" t="n"/>
      <c r="CO427" s="114" t="n"/>
      <c r="CP427" s="114" t="n">
        <v>0</v>
      </c>
      <c r="CQ427" s="114" t="n"/>
      <c r="CR427" s="114" t="n">
        <v>0</v>
      </c>
      <c r="CS427" s="114" t="n">
        <v>0</v>
      </c>
      <c r="CT427" s="114" t="n"/>
      <c r="CU427" s="114" t="n"/>
      <c r="CV427" s="114" t="n"/>
      <c r="CW427" s="115" t="n">
        <v>759626.76080264</v>
      </c>
      <c r="CZ427" s="117" t="s">
        <v>374</v>
      </c>
      <c r="DA427" s="119" t="n">
        <f aca="false" ca="true" dt2D="false" dtr="false" t="normal">SUBTOTAL(9, DB427:DP427)</f>
        <v>7879770.54</v>
      </c>
      <c r="DB427" s="114" t="n">
        <v>6881617.84</v>
      </c>
      <c r="DC427" s="114" t="n">
        <v>998152.7</v>
      </c>
      <c r="DD427" s="114" t="n"/>
      <c r="DE427" s="114" t="n"/>
      <c r="DF427" s="114" t="n"/>
      <c r="DG427" s="114" t="n"/>
      <c r="DH427" s="114" t="n"/>
      <c r="DI427" s="114" t="n">
        <v>0</v>
      </c>
      <c r="DJ427" s="114" t="n"/>
      <c r="DK427" s="114" t="n">
        <v>0</v>
      </c>
      <c r="DL427" s="114" t="n">
        <v>0</v>
      </c>
      <c r="DM427" s="114" t="n"/>
      <c r="DN427" s="114" t="n"/>
      <c r="DO427" s="114" t="n"/>
      <c r="DP427" s="122" t="n"/>
      <c r="DQ427" s="3" t="n">
        <f aca="false" ca="false" dt2D="false" dtr="false" t="normal">N427-DA427</f>
        <v>0</v>
      </c>
      <c r="DS427" s="9" t="n"/>
    </row>
    <row hidden="false" ht="15" outlineLevel="0" r="428">
      <c r="A428" s="183" t="n">
        <f aca="false" ca="false" dt2D="false" dtr="false" t="normal">+A427+1</f>
        <v>408</v>
      </c>
      <c r="B428" s="117" t="s">
        <v>463</v>
      </c>
      <c r="C428" s="104" t="s">
        <v>111</v>
      </c>
      <c r="D428" s="104" t="s">
        <v>176</v>
      </c>
      <c r="E428" s="105" t="n">
        <v>1980</v>
      </c>
      <c r="F428" s="105" t="n">
        <v>2008</v>
      </c>
      <c r="G428" s="105" t="s">
        <v>68</v>
      </c>
      <c r="H428" s="105" t="n">
        <v>5</v>
      </c>
      <c r="I428" s="105" t="n">
        <v>6</v>
      </c>
      <c r="J428" s="106" t="n">
        <v>7149.4</v>
      </c>
      <c r="K428" s="106" t="n">
        <v>6325.2</v>
      </c>
      <c r="L428" s="106" t="n">
        <v>0</v>
      </c>
      <c r="M428" s="107" t="n">
        <v>293</v>
      </c>
      <c r="N428" s="108" t="n">
        <f aca="false" ca="false" dt2D="false" dtr="false" t="normal">SUM(P428:T428)</f>
        <v>46145720.29000001</v>
      </c>
      <c r="O428" s="106" t="n"/>
      <c r="P428" s="114" t="n">
        <v>41523268.41</v>
      </c>
      <c r="Q428" s="114" t="n"/>
      <c r="R428" s="114" t="n">
        <v>2344035.82286057</v>
      </c>
      <c r="S428" s="114" t="n">
        <v>0</v>
      </c>
      <c r="T428" s="114" t="n">
        <v>2278416.05713944</v>
      </c>
      <c r="U428" s="106" t="n">
        <v>10739.0943856371</v>
      </c>
      <c r="V428" s="106" t="n">
        <v>10739.0943856371</v>
      </c>
      <c r="W428" s="110" t="n">
        <v>2023</v>
      </c>
      <c r="X428" s="9" t="e">
        <f aca="false" ca="false" dt2D="false" dtr="false" t="normal">+#REF!-'[9]Приложение №1'!$P1486</f>
        <v>#REF!</v>
      </c>
      <c r="Z428" s="113" t="n">
        <f aca="false" ca="false" dt2D="false" dtr="false" t="normal">SUM(AA428:AO428)</f>
        <v>114548451.67000006</v>
      </c>
      <c r="AA428" s="106" t="n">
        <v>10489330.2580412</v>
      </c>
      <c r="AB428" s="106" t="n">
        <v>6066266.44628592</v>
      </c>
      <c r="AC428" s="106" t="n">
        <v>6412492.79222706</v>
      </c>
      <c r="AD428" s="106" t="n">
        <v>4889580.2685996</v>
      </c>
      <c r="AE428" s="106" t="n">
        <v>1953287.22516102</v>
      </c>
      <c r="AF428" s="106" t="n"/>
      <c r="AG428" s="106" t="n">
        <v>521212.057926</v>
      </c>
      <c r="AH428" s="106" t="n">
        <v>0</v>
      </c>
      <c r="AI428" s="106" t="n">
        <v>18672604.894377</v>
      </c>
      <c r="AJ428" s="106" t="n">
        <v>0</v>
      </c>
      <c r="AK428" s="106" t="n">
        <v>36252968.3264713</v>
      </c>
      <c r="AL428" s="106" t="n">
        <v>14257827.475101</v>
      </c>
      <c r="AM428" s="106" t="n">
        <v>11711193.4519</v>
      </c>
      <c r="AN428" s="114" t="n">
        <v>1145484.5167</v>
      </c>
      <c r="AO428" s="115" t="n">
        <v>2176203.95720996</v>
      </c>
      <c r="AP428" s="112" t="n">
        <f aca="false" ca="false" dt2D="false" dtr="false" t="normal">+N428-'Приложение №2'!E428</f>
        <v>0</v>
      </c>
      <c r="AQ428" s="9" t="n">
        <f aca="false" ca="false" dt2D="false" dtr="false" t="normal">3044323.81-R264</f>
        <v>703621.0699999998</v>
      </c>
      <c r="AR428" s="3" t="n">
        <f aca="false" ca="false" dt2D="false" dtr="false" t="normal">+(K428*10+L428*20)*12*0.85</f>
        <v>645170.4</v>
      </c>
      <c r="AS428" s="3" t="n">
        <f aca="false" ca="false" dt2D="false" dtr="false" t="normal">+(K428*10+L428*20)*12*30-S264</f>
        <v>20481614.86</v>
      </c>
      <c r="AT428" s="9" t="n">
        <f aca="false" ca="false" dt2D="false" dtr="false" t="normal">+S428-AS428</f>
        <v>-20481614.86</v>
      </c>
      <c r="AU428" s="9" t="e">
        <f aca="false" ca="false" dt2D="false" dtr="false" t="normal">+P428-'[5]Приложение №1'!$P462</f>
        <v>#REF!</v>
      </c>
      <c r="AV428" s="9" t="e">
        <f aca="false" ca="false" dt2D="false" dtr="false" t="normal">+Q428-'[5]Приложение №1'!$Q462</f>
        <v>#REF!</v>
      </c>
      <c r="AW428" s="113" t="n">
        <f aca="false" ca="true" dt2D="false" dtr="false" t="normal">SUBTOTAL(9, AX428:BL428)</f>
        <v>67926919.80803186</v>
      </c>
      <c r="AX428" s="106" t="n">
        <v>7864219.14</v>
      </c>
      <c r="AY428" s="104" t="n"/>
      <c r="AZ428" s="106" t="n">
        <v>2874656.38</v>
      </c>
      <c r="BA428" s="106" t="n">
        <v>1502641.16</v>
      </c>
      <c r="BB428" s="104" t="n"/>
      <c r="BC428" s="104" t="n"/>
      <c r="BD428" s="104" t="n"/>
      <c r="BE428" s="104" t="n"/>
      <c r="BF428" s="104" t="n"/>
      <c r="BG428" s="104" t="n"/>
      <c r="BH428" s="108" t="n">
        <v>36252968.3264713</v>
      </c>
      <c r="BI428" s="108" t="n">
        <v>15215386.67</v>
      </c>
      <c r="BJ428" s="106" t="n">
        <v>2584774.6794</v>
      </c>
      <c r="BK428" s="106" t="n">
        <v>286926.3893</v>
      </c>
      <c r="BL428" s="187" t="n">
        <f aca="false" ca="false" dt2D="false" dtr="false" t="normal">552568.07023182+792778.99262874</f>
        <v>1345347.0628605601</v>
      </c>
      <c r="BM428" s="113" t="n">
        <f aca="false" ca="true" dt2D="false" dtr="false" t="normal">SUBTOTAL(9, BN428:CB428)</f>
        <v>67926919.80803186</v>
      </c>
      <c r="BN428" s="106" t="n">
        <v>7864219.14</v>
      </c>
      <c r="BO428" s="104" t="n"/>
      <c r="BP428" s="106" t="n">
        <v>2874656.38</v>
      </c>
      <c r="BQ428" s="106" t="n">
        <v>1502641.16</v>
      </c>
      <c r="BR428" s="104" t="n"/>
      <c r="BS428" s="104" t="n"/>
      <c r="BT428" s="104" t="n"/>
      <c r="BU428" s="104" t="n"/>
      <c r="BV428" s="104" t="n"/>
      <c r="BW428" s="104" t="n"/>
      <c r="BX428" s="108" t="n">
        <v>36252968.3264713</v>
      </c>
      <c r="BY428" s="108" t="n">
        <v>15215386.67</v>
      </c>
      <c r="BZ428" s="106" t="n">
        <v>2584774.6794</v>
      </c>
      <c r="CA428" s="106" t="n">
        <v>286926.3893</v>
      </c>
      <c r="CB428" s="115" t="n">
        <f aca="false" ca="false" dt2D="false" dtr="false" t="normal">552568.07023182+792778.99262874</f>
        <v>1345347.0628605601</v>
      </c>
      <c r="CD428" s="116" t="n">
        <f aca="false" ca="false" dt2D="false" dtr="false" t="normal">+CD427+1</f>
        <v>408</v>
      </c>
      <c r="CE428" s="117" t="s">
        <v>463</v>
      </c>
      <c r="CF428" s="104" t="s">
        <v>111</v>
      </c>
      <c r="CG428" s="117" t="s">
        <v>176</v>
      </c>
      <c r="CH428" s="118" t="n">
        <f aca="false" ca="true" dt2D="false" dtr="false" t="normal">SUBTOTAL(9, CI428:CW428)</f>
        <v>47377493.93286057</v>
      </c>
      <c r="CI428" s="114" t="n"/>
      <c r="CJ428" s="114" t="n"/>
      <c r="CK428" s="114" t="n"/>
      <c r="CL428" s="114" t="n"/>
      <c r="CM428" s="114" t="n"/>
      <c r="CN428" s="114" t="n"/>
      <c r="CO428" s="114" t="n"/>
      <c r="CP428" s="114" t="n"/>
      <c r="CQ428" s="114" t="n"/>
      <c r="CR428" s="114" t="n"/>
      <c r="CS428" s="114" t="n">
        <v>27117129.62</v>
      </c>
      <c r="CT428" s="114" t="n">
        <v>18561498.89</v>
      </c>
      <c r="CU428" s="114" t="n">
        <v>325518.36</v>
      </c>
      <c r="CV428" s="114" t="n">
        <v>28000</v>
      </c>
      <c r="CW428" s="115" t="n">
        <f aca="false" ca="false" dt2D="false" dtr="false" t="normal">552568.07023182+792778.99262874</f>
        <v>1345347.0628605601</v>
      </c>
      <c r="CZ428" s="117" t="s">
        <v>176</v>
      </c>
      <c r="DA428" s="119" t="n">
        <f aca="false" ca="true" dt2D="false" dtr="false" t="normal">SUBTOTAL(9, DB428:DP428)</f>
        <v>46145720.29000001</v>
      </c>
      <c r="DB428" s="114" t="n"/>
      <c r="DC428" s="114" t="n"/>
      <c r="DD428" s="114" t="n"/>
      <c r="DE428" s="114" t="n"/>
      <c r="DF428" s="114" t="n"/>
      <c r="DG428" s="114" t="n"/>
      <c r="DH428" s="114" t="n"/>
      <c r="DI428" s="114" t="n"/>
      <c r="DJ428" s="114" t="n"/>
      <c r="DK428" s="114" t="n"/>
      <c r="DL428" s="114" t="n">
        <v>27117129.62</v>
      </c>
      <c r="DM428" s="114" t="n">
        <v>18561498.89</v>
      </c>
      <c r="DN428" s="114" t="n">
        <v>325518.36</v>
      </c>
      <c r="DO428" s="114" t="n">
        <v>28000</v>
      </c>
      <c r="DP428" s="120" t="n">
        <v>113573.42</v>
      </c>
      <c r="DQ428" s="3" t="n">
        <f aca="false" ca="false" dt2D="false" dtr="false" t="normal">N428-DA428</f>
        <v>0</v>
      </c>
      <c r="DS428" s="9" t="n"/>
    </row>
    <row customFormat="true" hidden="false" ht="15" outlineLevel="0" r="429" s="129">
      <c r="A429" s="183" t="n">
        <f aca="false" ca="false" dt2D="false" dtr="false" t="normal">+A428+1</f>
        <v>409</v>
      </c>
      <c r="B429" s="117" t="s">
        <v>463</v>
      </c>
      <c r="C429" s="117" t="s">
        <v>111</v>
      </c>
      <c r="D429" s="117" t="s">
        <v>376</v>
      </c>
      <c r="E429" s="201" t="s">
        <v>377</v>
      </c>
      <c r="F429" s="201" t="n"/>
      <c r="G429" s="201" t="s">
        <v>68</v>
      </c>
      <c r="H429" s="201" t="s">
        <v>104</v>
      </c>
      <c r="I429" s="201" t="s">
        <v>128</v>
      </c>
      <c r="J429" s="114" t="n">
        <v>7651.5</v>
      </c>
      <c r="K429" s="114" t="n">
        <v>6138</v>
      </c>
      <c r="L429" s="114" t="n">
        <v>119</v>
      </c>
      <c r="M429" s="202" t="n">
        <v>293</v>
      </c>
      <c r="N429" s="108" t="n">
        <f aca="false" ca="false" dt2D="false" dtr="false" t="normal">SUM(P429:T429)</f>
        <v>6630811.4700000025</v>
      </c>
      <c r="O429" s="114" t="n">
        <v>0</v>
      </c>
      <c r="P429" s="114" t="n"/>
      <c r="Q429" s="114" t="n">
        <v>0</v>
      </c>
      <c r="R429" s="114" t="n">
        <v>259780.512857143</v>
      </c>
      <c r="S429" s="114" t="n">
        <v>6371030.95714286</v>
      </c>
      <c r="T429" s="114" t="n"/>
      <c r="U429" s="114" t="n">
        <v>5118.14134739371</v>
      </c>
      <c r="V429" s="114" t="n">
        <v>5118.14134739371</v>
      </c>
      <c r="W429" s="110" t="n">
        <v>2023</v>
      </c>
      <c r="X429" s="129" t="n">
        <v>2205585.94</v>
      </c>
      <c r="Y429" s="129" t="n">
        <f aca="false" ca="false" dt2D="false" dtr="false" t="normal">+(K429*9.1+L429*18.19)*12</f>
        <v>696244.9199999999</v>
      </c>
      <c r="AA429" s="130" t="e">
        <f aca="false" ca="false" dt2D="false" dtr="false" t="normal">+N429-'[8]Приложение № 2'!E446</f>
        <v>#REF!</v>
      </c>
      <c r="AD429" s="130" t="e">
        <f aca="false" ca="false" dt2D="false" dtr="false" t="normal">+N429-'[8]Приложение № 2'!E446</f>
        <v>#REF!</v>
      </c>
      <c r="AP429" s="112" t="n">
        <f aca="false" ca="false" dt2D="false" dtr="false" t="normal">+N429-'Приложение №2'!E428</f>
        <v>-39514908.82000001</v>
      </c>
      <c r="AQ429" s="132" t="n">
        <f aca="false" ca="false" dt2D="false" dtr="false" t="normal">2725811.3-R91</f>
        <v>759151.1799999997</v>
      </c>
      <c r="AR429" s="3" t="n">
        <f aca="false" ca="false" dt2D="false" dtr="false" t="normal">+(K429*10+L429*20)*12*0.85</f>
        <v>650352</v>
      </c>
      <c r="AS429" s="3" t="n">
        <f aca="false" ca="false" dt2D="false" dtr="false" t="normal">+(K429*10+L429*20)*12*30-S91</f>
        <v>22953600</v>
      </c>
      <c r="AT429" s="9" t="n">
        <f aca="false" ca="false" dt2D="false" dtr="false" t="normal">+S429-AS429</f>
        <v>-16582569.04285714</v>
      </c>
      <c r="AU429" s="9" t="e">
        <f aca="false" ca="false" dt2D="false" dtr="false" t="normal">+P429-'[5]Приложение №1'!$P461</f>
        <v>#REF!</v>
      </c>
      <c r="AV429" s="9" t="e">
        <f aca="false" ca="false" dt2D="false" dtr="false" t="normal">+Q429-'[5]Приложение №1'!$Q461</f>
        <v>#REF!</v>
      </c>
      <c r="AW429" s="113" t="n">
        <f aca="false" ca="true" dt2D="false" dtr="false" t="normal">SUBTOTAL(9, AX429:BL429)</f>
        <v>32024210.410642475</v>
      </c>
      <c r="AX429" s="106" t="n">
        <v>16034044.1521801</v>
      </c>
      <c r="AY429" s="106" t="n">
        <v>5691851.83891928</v>
      </c>
      <c r="AZ429" s="106" t="n"/>
      <c r="BA429" s="106" t="n">
        <v>5790873.0293484</v>
      </c>
      <c r="BB429" s="106" t="n">
        <v>2792950.72349449</v>
      </c>
      <c r="BC429" s="106" t="n"/>
      <c r="BD429" s="106" t="n">
        <v>582245.949293125</v>
      </c>
      <c r="BE429" s="106" t="n"/>
      <c r="BF429" s="106" t="n"/>
      <c r="BG429" s="106" t="n"/>
      <c r="BH429" s="13" t="n"/>
      <c r="BI429" s="106" t="n"/>
      <c r="BJ429" s="106" t="n"/>
      <c r="BK429" s="114" t="n"/>
      <c r="BL429" s="115" t="n">
        <v>1132244.71740708</v>
      </c>
      <c r="BM429" s="113" t="n">
        <f aca="false" ca="true" dt2D="false" dtr="false" t="normal">SUBTOTAL(9, BN429:CB429)</f>
        <v>32024210.410642475</v>
      </c>
      <c r="BN429" s="106" t="n">
        <v>16034044.1521801</v>
      </c>
      <c r="BO429" s="106" t="n">
        <v>5691851.83891928</v>
      </c>
      <c r="BP429" s="106" t="n"/>
      <c r="BQ429" s="106" t="n">
        <v>5790873.0293484</v>
      </c>
      <c r="BR429" s="106" t="n">
        <v>2792950.72349449</v>
      </c>
      <c r="BS429" s="106" t="n"/>
      <c r="BT429" s="106" t="n">
        <v>582245.949293125</v>
      </c>
      <c r="BU429" s="106" t="n"/>
      <c r="BV429" s="106" t="n"/>
      <c r="BW429" s="106" t="n"/>
      <c r="BX429" s="13" t="n"/>
      <c r="BY429" s="106" t="n"/>
      <c r="BZ429" s="106" t="n"/>
      <c r="CA429" s="114" t="n"/>
      <c r="CB429" s="115" t="n">
        <v>1132244.71740708</v>
      </c>
      <c r="CD429" s="116" t="n">
        <f aca="false" ca="false" dt2D="false" dtr="false" t="normal">+CD428+1</f>
        <v>409</v>
      </c>
      <c r="CE429" s="117" t="s">
        <v>463</v>
      </c>
      <c r="CF429" s="104" t="s">
        <v>111</v>
      </c>
      <c r="CG429" s="104" t="s">
        <v>376</v>
      </c>
      <c r="CH429" s="118" t="n">
        <f aca="false" ca="true" dt2D="false" dtr="false" t="normal">SUBTOTAL(9, CI429:CW429)</f>
        <v>7763056.18740708</v>
      </c>
      <c r="CI429" s="106" t="n"/>
      <c r="CJ429" s="114" t="n"/>
      <c r="CK429" s="114" t="n"/>
      <c r="CL429" s="114" t="n"/>
      <c r="CM429" s="114" t="n"/>
      <c r="CN429" s="114" t="n"/>
      <c r="CO429" s="114" t="n"/>
      <c r="CP429" s="114" t="n"/>
      <c r="CQ429" s="114" t="n"/>
      <c r="CR429" s="114" t="n"/>
      <c r="CS429" s="114" t="n"/>
      <c r="CT429" s="114" t="n">
        <v>6630811.47</v>
      </c>
      <c r="CU429" s="114" t="n"/>
      <c r="CV429" s="114" t="n"/>
      <c r="CW429" s="115" t="n">
        <v>1132244.71740708</v>
      </c>
      <c r="CZ429" s="104" t="s">
        <v>376</v>
      </c>
      <c r="DA429" s="119" t="n">
        <f aca="false" ca="true" dt2D="false" dtr="false" t="normal">SUBTOTAL(9, DB429:DP429)</f>
        <v>6630811.47</v>
      </c>
      <c r="DB429" s="106" t="n"/>
      <c r="DC429" s="114" t="n"/>
      <c r="DD429" s="114" t="n"/>
      <c r="DE429" s="114" t="n"/>
      <c r="DF429" s="114" t="n"/>
      <c r="DG429" s="114" t="n"/>
      <c r="DH429" s="114" t="n"/>
      <c r="DI429" s="114" t="n"/>
      <c r="DJ429" s="114" t="n"/>
      <c r="DK429" s="114" t="n"/>
      <c r="DL429" s="114" t="n"/>
      <c r="DM429" s="114" t="n">
        <v>6630811.47</v>
      </c>
      <c r="DN429" s="114" t="n"/>
      <c r="DO429" s="114" t="n"/>
      <c r="DP429" s="122" t="n"/>
      <c r="DQ429" s="3" t="n">
        <f aca="false" ca="false" dt2D="false" dtr="false" t="normal">N429-DA429</f>
        <v>0</v>
      </c>
      <c r="DS429" s="9" t="n"/>
    </row>
    <row hidden="false" ht="15" outlineLevel="0" r="430">
      <c r="A430" s="183" t="n">
        <f aca="false" ca="false" dt2D="false" dtr="false" t="normal">+A429+1</f>
        <v>410</v>
      </c>
      <c r="B430" s="117" t="s">
        <v>463</v>
      </c>
      <c r="C430" s="104" t="s">
        <v>111</v>
      </c>
      <c r="D430" s="104" t="s">
        <v>381</v>
      </c>
      <c r="E430" s="105" t="n">
        <v>1971</v>
      </c>
      <c r="F430" s="105" t="n">
        <v>2013</v>
      </c>
      <c r="G430" s="105" t="s">
        <v>68</v>
      </c>
      <c r="H430" s="105" t="n">
        <v>4</v>
      </c>
      <c r="I430" s="105" t="n">
        <v>4</v>
      </c>
      <c r="J430" s="106" t="n">
        <v>3003.8</v>
      </c>
      <c r="K430" s="106" t="n">
        <v>2693.7</v>
      </c>
      <c r="L430" s="106" t="n">
        <v>0</v>
      </c>
      <c r="M430" s="107" t="n">
        <v>120</v>
      </c>
      <c r="N430" s="108" t="n">
        <f aca="false" ca="false" dt2D="false" dtr="false" t="normal">SUM(P430:T430)</f>
        <v>2642400.08</v>
      </c>
      <c r="O430" s="106" t="n"/>
      <c r="P430" s="114" t="n">
        <v>273173.86</v>
      </c>
      <c r="Q430" s="114" t="n"/>
      <c r="R430" s="114" t="n">
        <v>247704.3</v>
      </c>
      <c r="S430" s="114" t="n">
        <v>2121521.92</v>
      </c>
      <c r="T430" s="114" t="n"/>
      <c r="U430" s="106" t="n">
        <v>3814.02659601257</v>
      </c>
      <c r="V430" s="106" t="n">
        <v>3814.02659601257</v>
      </c>
      <c r="W430" s="110" t="n">
        <v>2023</v>
      </c>
      <c r="X430" s="9" t="e">
        <f aca="false" ca="false" dt2D="false" dtr="false" t="normal">+#REF!-'[9]Приложение №1'!$P845</f>
        <v>#REF!</v>
      </c>
      <c r="Z430" s="113" t="n">
        <f aca="false" ca="false" dt2D="false" dtr="false" t="normal">SUM(AA430:AO430)</f>
        <v>21441082.737894002</v>
      </c>
      <c r="AA430" s="106" t="n">
        <v>0</v>
      </c>
      <c r="AB430" s="106" t="n">
        <v>2296919.63043102</v>
      </c>
      <c r="AC430" s="106" t="n">
        <v>2399769.94378506</v>
      </c>
      <c r="AD430" s="106" t="n">
        <v>0</v>
      </c>
      <c r="AE430" s="106" t="n">
        <v>1020388.92</v>
      </c>
      <c r="AF430" s="106" t="n"/>
      <c r="AG430" s="106" t="n">
        <v>247344.72404292</v>
      </c>
      <c r="AH430" s="106" t="n">
        <v>0</v>
      </c>
      <c r="AI430" s="106" t="n">
        <v>0</v>
      </c>
      <c r="AJ430" s="106" t="n">
        <v>0</v>
      </c>
      <c r="AK430" s="106" t="n">
        <v>6118299.9556224</v>
      </c>
      <c r="AL430" s="106" t="n">
        <v>6599302.67054226</v>
      </c>
      <c r="AM430" s="106" t="n">
        <v>2162864.8599</v>
      </c>
      <c r="AN430" s="114" t="n">
        <v>205857.477</v>
      </c>
      <c r="AO430" s="115" t="n">
        <v>390334.55657034</v>
      </c>
      <c r="AP430" s="112" t="n">
        <f aca="false" ca="false" dt2D="false" dtr="false" t="normal">+N430-'Приложение №2'!E430</f>
        <v>0</v>
      </c>
      <c r="AQ430" s="1" t="n">
        <f aca="false" ca="false" dt2D="false" dtr="false" t="normal">1245150.45-129665.9434</f>
        <v>1115484.5066</v>
      </c>
      <c r="AR430" s="3" t="n">
        <f aca="false" ca="false" dt2D="false" dtr="false" t="normal">+(K430*10+L430*20)*12*0.85</f>
        <v>274757.39999999997</v>
      </c>
      <c r="AS430" s="3" t="n">
        <f aca="false" ca="false" dt2D="false" dtr="false" t="normal">+(K430*10+L430*20)*12*30-552777.2166</f>
        <v>9144542.7834</v>
      </c>
      <c r="AT430" s="9" t="n">
        <f aca="false" ca="false" dt2D="false" dtr="false" t="normal">+S430-AS430</f>
        <v>-7023020.863399999</v>
      </c>
      <c r="AU430" s="9" t="e">
        <f aca="false" ca="false" dt2D="false" dtr="false" t="normal">+P430-'[5]Приложение №1'!$P465</f>
        <v>#REF!</v>
      </c>
      <c r="AV430" s="9" t="e">
        <f aca="false" ca="false" dt2D="false" dtr="false" t="normal">+Q430-'[5]Приложение №1'!$Q465</f>
        <v>#REF!</v>
      </c>
      <c r="AW430" s="113" t="n">
        <f aca="false" ca="true" dt2D="false" dtr="false" t="normal">SUBTOTAL(9, AX430:BL430)</f>
        <v>10273843.44167906</v>
      </c>
      <c r="AX430" s="106" t="n"/>
      <c r="AY430" s="106" t="n"/>
      <c r="AZ430" s="106" t="n">
        <v>2399769.94378506</v>
      </c>
      <c r="BA430" s="106" t="n">
        <v>0</v>
      </c>
      <c r="BB430" s="106" t="n">
        <v>1020388.92</v>
      </c>
      <c r="BC430" s="106" t="n"/>
      <c r="BD430" s="106" t="n"/>
      <c r="BE430" s="106" t="n"/>
      <c r="BF430" s="106" t="n"/>
      <c r="BG430" s="106" t="n"/>
      <c r="BH430" s="106" t="n"/>
      <c r="BI430" s="106" t="n">
        <v>6849574.25</v>
      </c>
      <c r="BJ430" s="106" t="n"/>
      <c r="BK430" s="114" t="n"/>
      <c r="BL430" s="187" t="n">
        <v>4110.327894</v>
      </c>
      <c r="BM430" s="113" t="n">
        <f aca="false" ca="true" dt2D="false" dtr="false" t="normal">SUBTOTAL(9, BN430:CB430)</f>
        <v>10419561.67167906</v>
      </c>
      <c r="BN430" s="106" t="n"/>
      <c r="BO430" s="106" t="n"/>
      <c r="BP430" s="106" t="n">
        <v>2399769.94378506</v>
      </c>
      <c r="BQ430" s="106" t="n">
        <v>0</v>
      </c>
      <c r="BR430" s="106" t="n">
        <v>1020388.92</v>
      </c>
      <c r="BS430" s="106" t="n"/>
      <c r="BT430" s="106" t="n"/>
      <c r="BU430" s="106" t="n"/>
      <c r="BV430" s="106" t="n"/>
      <c r="BW430" s="106" t="n"/>
      <c r="BX430" s="106" t="n"/>
      <c r="BY430" s="192" t="n">
        <v>6995292.48</v>
      </c>
      <c r="BZ430" s="106" t="n"/>
      <c r="CA430" s="114" t="n"/>
      <c r="CB430" s="115" t="n">
        <v>4110.327894</v>
      </c>
      <c r="CD430" s="116" t="n">
        <f aca="false" ca="false" dt2D="false" dtr="false" t="normal">+CD429+1</f>
        <v>410</v>
      </c>
      <c r="CE430" s="117" t="s">
        <v>463</v>
      </c>
      <c r="CF430" s="104" t="s">
        <v>111</v>
      </c>
      <c r="CG430" s="117" t="s">
        <v>381</v>
      </c>
      <c r="CH430" s="118" t="n">
        <f aca="false" ca="true" dt2D="false" dtr="false" t="normal">SUBTOTAL(9, CI430:CW430)</f>
        <v>2646510.407894</v>
      </c>
      <c r="CI430" s="114" t="n"/>
      <c r="CJ430" s="114" t="n"/>
      <c r="CK430" s="114" t="n">
        <v>2642400.08</v>
      </c>
      <c r="CL430" s="114" t="n">
        <v>0</v>
      </c>
      <c r="CM430" s="114" t="n"/>
      <c r="CN430" s="114" t="n"/>
      <c r="CO430" s="114" t="n"/>
      <c r="CP430" s="114" t="n"/>
      <c r="CQ430" s="114" t="n"/>
      <c r="CR430" s="114" t="n"/>
      <c r="CS430" s="114" t="n"/>
      <c r="CT430" s="114" t="n"/>
      <c r="CU430" s="114" t="n"/>
      <c r="CV430" s="114" t="n"/>
      <c r="CW430" s="115" t="n">
        <v>4110.327894</v>
      </c>
      <c r="CZ430" s="117" t="s">
        <v>381</v>
      </c>
      <c r="DA430" s="119" t="n">
        <f aca="false" ca="true" dt2D="false" dtr="false" t="normal">SUBTOTAL(9, DB430:DP430)</f>
        <v>2642400.08</v>
      </c>
      <c r="DB430" s="114" t="n"/>
      <c r="DC430" s="114" t="n"/>
      <c r="DD430" s="114" t="n">
        <v>2642400.08</v>
      </c>
      <c r="DE430" s="114" t="n">
        <v>0</v>
      </c>
      <c r="DF430" s="114" t="n"/>
      <c r="DG430" s="114" t="n"/>
      <c r="DH430" s="114" t="n"/>
      <c r="DI430" s="114" t="n"/>
      <c r="DJ430" s="114" t="n"/>
      <c r="DK430" s="114" t="n"/>
      <c r="DL430" s="114" t="n"/>
      <c r="DM430" s="114" t="n"/>
      <c r="DN430" s="114" t="n"/>
      <c r="DO430" s="114" t="n"/>
      <c r="DP430" s="122" t="n"/>
      <c r="DQ430" s="3" t="n">
        <f aca="false" ca="false" dt2D="false" dtr="false" t="normal">N430-DA430</f>
        <v>0</v>
      </c>
      <c r="DS430" s="9" t="n"/>
    </row>
    <row customFormat="true" hidden="false" ht="15" outlineLevel="0" r="431" s="129">
      <c r="A431" s="183" t="n">
        <f aca="false" ca="false" dt2D="false" dtr="false" t="normal">+A430+1</f>
        <v>411</v>
      </c>
      <c r="B431" s="117" t="n">
        <v>204</v>
      </c>
      <c r="C431" s="104" t="s">
        <v>111</v>
      </c>
      <c r="D431" s="104" t="s">
        <v>485</v>
      </c>
      <c r="E431" s="105" t="s">
        <v>384</v>
      </c>
      <c r="F431" s="105" t="n"/>
      <c r="G431" s="105" t="s">
        <v>68</v>
      </c>
      <c r="H431" s="105" t="s">
        <v>187</v>
      </c>
      <c r="I431" s="105" t="s">
        <v>187</v>
      </c>
      <c r="J431" s="106" t="n">
        <v>2630.5</v>
      </c>
      <c r="K431" s="106" t="n">
        <v>2361.1</v>
      </c>
      <c r="L431" s="106" t="n">
        <v>37.5</v>
      </c>
      <c r="M431" s="107" t="n">
        <v>122</v>
      </c>
      <c r="N431" s="108" t="n">
        <f aca="false" ca="false" dt2D="false" dtr="false" t="normal">SUM(P431:T431)</f>
        <v>5699797.86</v>
      </c>
      <c r="O431" s="106" t="n">
        <v>0</v>
      </c>
      <c r="P431" s="114" t="n"/>
      <c r="Q431" s="114" t="n">
        <v>0</v>
      </c>
      <c r="R431" s="114" t="n">
        <v>1380626.28</v>
      </c>
      <c r="S431" s="114" t="n">
        <v>4319171.58</v>
      </c>
      <c r="T431" s="114" t="n"/>
      <c r="U431" s="106" t="n">
        <v>4974.17844992913</v>
      </c>
      <c r="V431" s="106" t="n">
        <v>4974.17844992913</v>
      </c>
      <c r="W431" s="110" t="n">
        <v>2023</v>
      </c>
      <c r="X431" s="129" t="n">
        <v>898574.26</v>
      </c>
      <c r="Y431" s="129" t="n">
        <f aca="false" ca="false" dt2D="false" dtr="false" t="normal">+(K431*9.1+L431*18.19)*12</f>
        <v>266017.62</v>
      </c>
      <c r="AA431" s="130" t="e">
        <f aca="false" ca="false" dt2D="false" dtr="false" t="normal">+N431-'[8]Приложение № 2'!E305</f>
        <v>#REF!</v>
      </c>
      <c r="AD431" s="130" t="e">
        <f aca="false" ca="false" dt2D="false" dtr="false" t="normal">+N431-'[8]Приложение № 2'!E305</f>
        <v>#REF!</v>
      </c>
      <c r="AP431" s="112" t="n">
        <f aca="false" ca="false" dt2D="false" dtr="false" t="normal">+N431-'Приложение №2'!E431</f>
        <v>0</v>
      </c>
      <c r="AQ431" s="129" t="n">
        <v>1132144.08</v>
      </c>
      <c r="AR431" s="3" t="n">
        <f aca="false" ca="false" dt2D="false" dtr="false" t="normal">+(K431*10+L431*20)*12*0.85</f>
        <v>248482.19999999998</v>
      </c>
      <c r="AS431" s="3" t="n">
        <f aca="false" ca="false" dt2D="false" dtr="false" t="normal">+(K431*10+L431*20)*12*30</f>
        <v>8769960</v>
      </c>
      <c r="AT431" s="9" t="n">
        <f aca="false" ca="false" dt2D="false" dtr="false" t="normal">+S431-AS431</f>
        <v>-4450788.42</v>
      </c>
      <c r="AU431" s="9" t="e">
        <f aca="false" ca="false" dt2D="false" dtr="false" t="normal">+P431-'[5]Приложение №1'!$P322</f>
        <v>#REF!</v>
      </c>
      <c r="AV431" s="9" t="e">
        <f aca="false" ca="false" dt2D="false" dtr="false" t="normal">+Q431-'[5]Приложение №1'!$Q322</f>
        <v>#REF!</v>
      </c>
      <c r="AW431" s="113" t="n">
        <f aca="false" ca="true" dt2D="false" dtr="false" t="normal">SUBTOTAL(9, AX431:BL431)</f>
        <v>11931064.429999959</v>
      </c>
      <c r="AX431" s="106" t="n"/>
      <c r="AY431" s="106" t="n"/>
      <c r="AZ431" s="106" t="n"/>
      <c r="BA431" s="106" t="n"/>
      <c r="BB431" s="106" t="n"/>
      <c r="BC431" s="106" t="n"/>
      <c r="BD431" s="106" t="n"/>
      <c r="BE431" s="106" t="n"/>
      <c r="BF431" s="106" t="n">
        <v>11429694.4241585</v>
      </c>
      <c r="BG431" s="106" t="n"/>
      <c r="BH431" s="106" t="n"/>
      <c r="BI431" s="106" t="n"/>
      <c r="BJ431" s="106" t="n">
        <v>227425.737829</v>
      </c>
      <c r="BK431" s="114" t="n">
        <v>24000</v>
      </c>
      <c r="BL431" s="187" t="n">
        <v>249944.268012459</v>
      </c>
      <c r="BM431" s="113" t="n">
        <f aca="false" ca="true" dt2D="false" dtr="false" t="normal">SUBTOTAL(9, BN431:CB431)</f>
        <v>11931064.429999959</v>
      </c>
      <c r="BN431" s="106" t="n"/>
      <c r="BO431" s="106" t="n"/>
      <c r="BP431" s="106" t="n"/>
      <c r="BQ431" s="106" t="n"/>
      <c r="BR431" s="106" t="n"/>
      <c r="BS431" s="106" t="n"/>
      <c r="BT431" s="106" t="n"/>
      <c r="BU431" s="106" t="n"/>
      <c r="BV431" s="106" t="n">
        <v>11429694.4241585</v>
      </c>
      <c r="BW431" s="106" t="n"/>
      <c r="BX431" s="106" t="n"/>
      <c r="BY431" s="106" t="n"/>
      <c r="BZ431" s="106" t="n">
        <v>227425.737829</v>
      </c>
      <c r="CA431" s="114" t="n">
        <v>24000</v>
      </c>
      <c r="CB431" s="115" t="n">
        <v>249944.268012459</v>
      </c>
      <c r="CD431" s="116" t="n">
        <f aca="false" ca="false" dt2D="false" dtr="false" t="normal">+CD430+1</f>
        <v>411</v>
      </c>
      <c r="CE431" s="117" t="n">
        <v>204</v>
      </c>
      <c r="CF431" s="104" t="s">
        <v>111</v>
      </c>
      <c r="CG431" s="117" t="s">
        <v>485</v>
      </c>
      <c r="CH431" s="118" t="n">
        <f aca="false" ca="true" dt2D="false" dtr="false" t="normal">SUBTOTAL(9, CI431:CW431)</f>
        <v>5949742.128012459</v>
      </c>
      <c r="CI431" s="114" t="n"/>
      <c r="CJ431" s="114" t="n"/>
      <c r="CK431" s="114" t="n"/>
      <c r="CL431" s="114" t="n"/>
      <c r="CM431" s="114" t="n"/>
      <c r="CN431" s="114" t="n"/>
      <c r="CO431" s="114" t="n"/>
      <c r="CP431" s="114" t="n"/>
      <c r="CQ431" s="114" t="n">
        <v>5449539.43</v>
      </c>
      <c r="CR431" s="114" t="n"/>
      <c r="CS431" s="114" t="n"/>
      <c r="CT431" s="114" t="n"/>
      <c r="CU431" s="114" t="n">
        <v>226258.43</v>
      </c>
      <c r="CV431" s="114" t="n">
        <v>24000</v>
      </c>
      <c r="CW431" s="115" t="n">
        <v>249944.268012459</v>
      </c>
      <c r="CZ431" s="117" t="s">
        <v>485</v>
      </c>
      <c r="DA431" s="119" t="n">
        <f aca="false" ca="true" dt2D="false" dtr="false" t="normal">SUBTOTAL(9, DB431:DP431)</f>
        <v>5699797.859999999</v>
      </c>
      <c r="DB431" s="114" t="n"/>
      <c r="DC431" s="114" t="n"/>
      <c r="DD431" s="114" t="n"/>
      <c r="DE431" s="114" t="n"/>
      <c r="DF431" s="114" t="n"/>
      <c r="DG431" s="114" t="n"/>
      <c r="DH431" s="114" t="n"/>
      <c r="DI431" s="114" t="n"/>
      <c r="DJ431" s="114" t="n">
        <v>5449539.43</v>
      </c>
      <c r="DK431" s="114" t="n"/>
      <c r="DL431" s="114" t="n"/>
      <c r="DM431" s="114" t="n"/>
      <c r="DN431" s="114" t="n">
        <v>226258.43</v>
      </c>
      <c r="DO431" s="114" t="n">
        <v>24000</v>
      </c>
      <c r="DP431" s="122" t="n"/>
      <c r="DQ431" s="3" t="n">
        <f aca="false" ca="false" dt2D="false" dtr="false" t="normal">N431-DA431</f>
        <v>0</v>
      </c>
      <c r="DS431" s="9" t="n"/>
    </row>
    <row customFormat="true" hidden="false" ht="15" outlineLevel="0" r="432" s="129">
      <c r="A432" s="183" t="n">
        <f aca="false" ca="false" dt2D="false" dtr="false" t="normal">+A431+1</f>
        <v>412</v>
      </c>
      <c r="B432" s="117" t="s">
        <v>463</v>
      </c>
      <c r="C432" s="104" t="s">
        <v>184</v>
      </c>
      <c r="D432" s="104" t="s">
        <v>382</v>
      </c>
      <c r="E432" s="105" t="s">
        <v>345</v>
      </c>
      <c r="F432" s="105" t="n"/>
      <c r="G432" s="105" t="s">
        <v>68</v>
      </c>
      <c r="H432" s="105" t="s">
        <v>187</v>
      </c>
      <c r="I432" s="105" t="s">
        <v>148</v>
      </c>
      <c r="J432" s="106" t="n">
        <v>3411.7</v>
      </c>
      <c r="K432" s="106" t="n">
        <v>2190.7</v>
      </c>
      <c r="L432" s="106" t="n">
        <v>1221</v>
      </c>
      <c r="M432" s="107" t="n">
        <v>86</v>
      </c>
      <c r="N432" s="108" t="n">
        <f aca="false" ca="false" dt2D="false" dtr="false" t="normal">SUM(P432:T432)</f>
        <v>13682647.21</v>
      </c>
      <c r="O432" s="106" t="n">
        <v>0</v>
      </c>
      <c r="P432" s="114" t="n">
        <v>2950310.40275136</v>
      </c>
      <c r="Q432" s="114" t="n">
        <v>0</v>
      </c>
      <c r="R432" s="114" t="n">
        <v>1657542.49022264</v>
      </c>
      <c r="S432" s="114" t="n">
        <v>9074794.317026</v>
      </c>
      <c r="T432" s="114" t="n"/>
      <c r="U432" s="114" t="n">
        <v>14950.9382357458</v>
      </c>
      <c r="V432" s="114" t="n">
        <v>1322.283020064</v>
      </c>
      <c r="W432" s="110" t="n">
        <v>2023</v>
      </c>
      <c r="X432" s="129" t="n">
        <v>1858783.44</v>
      </c>
      <c r="Y432" s="129" t="n">
        <f aca="false" ca="false" dt2D="false" dtr="false" t="normal">+(K432*9.1+L432*18.19)*12</f>
        <v>505744.32</v>
      </c>
      <c r="AA432" s="130" t="e">
        <f aca="false" ca="false" dt2D="false" dtr="false" t="normal">+N432-'[8]Приложение № 2'!E422</f>
        <v>#REF!</v>
      </c>
      <c r="AD432" s="130" t="e">
        <f aca="false" ca="false" dt2D="false" dtr="false" t="normal">+N432-'[8]Приложение № 2'!E422</f>
        <v>#REF!</v>
      </c>
      <c r="AP432" s="112" t="n">
        <f aca="false" ca="false" dt2D="false" dtr="false" t="normal">+N432-'Приложение №2'!E415</f>
        <v>-138379.83999999985</v>
      </c>
      <c r="AQ432" s="121" t="n">
        <v>2892323.62</v>
      </c>
      <c r="AR432" s="3" t="n">
        <f aca="false" ca="false" dt2D="false" dtr="false" t="normal">+(K432*10.5+L432*21)*12*0.85</f>
        <v>496162.1699999999</v>
      </c>
      <c r="AS432" s="3" t="n">
        <f aca="false" ca="false" dt2D="false" dtr="false" t="normal">+(K432*10.5+L432*21)*12*30</f>
        <v>17511606</v>
      </c>
      <c r="AT432" s="9" t="n">
        <f aca="false" ca="false" dt2D="false" dtr="false" t="normal">+S432-AS432</f>
        <v>-8436811.682974</v>
      </c>
      <c r="AU432" s="9" t="e">
        <f aca="false" ca="false" dt2D="false" dtr="false" t="normal">+P432-'[5]Приложение №1'!$P457</f>
        <v>#REF!</v>
      </c>
      <c r="AV432" s="9" t="e">
        <f aca="false" ca="false" dt2D="false" dtr="false" t="normal">+Q432-'[5]Приложение №1'!$Q457</f>
        <v>#REF!</v>
      </c>
      <c r="AW432" s="186" t="n">
        <f aca="false" ca="true" dt2D="false" dtr="false" t="normal">SUBTOTAL(9, AX432:BL432)</f>
        <v>32753020.393048245</v>
      </c>
      <c r="AX432" s="106" t="n">
        <v>8145536.92119679</v>
      </c>
      <c r="AY432" s="106" t="n"/>
      <c r="AZ432" s="106" t="n">
        <v>3032559.0353824</v>
      </c>
      <c r="BA432" s="106" t="n"/>
      <c r="BB432" s="106" t="n"/>
      <c r="BC432" s="106" t="n"/>
      <c r="BD432" s="106" t="n">
        <v>312550.298643218</v>
      </c>
      <c r="BE432" s="106" t="n">
        <v>0</v>
      </c>
      <c r="BF432" s="106" t="n">
        <v>0</v>
      </c>
      <c r="BG432" s="106" t="n">
        <v>0</v>
      </c>
      <c r="BH432" s="106" t="n">
        <v>7731612.43662763</v>
      </c>
      <c r="BI432" s="106" t="n">
        <v>8339440.55938397</v>
      </c>
      <c r="BJ432" s="106" t="n">
        <v>4071050.8610671</v>
      </c>
      <c r="BK432" s="114" t="n">
        <v>387157.945608278</v>
      </c>
      <c r="BL432" s="187" t="n">
        <v>733112.335138862</v>
      </c>
      <c r="BM432" s="186" t="n">
        <f aca="false" ca="true" dt2D="false" dtr="false" t="normal">SUBTOTAL(9, BN432:CB432)</f>
        <v>32753020.393048245</v>
      </c>
      <c r="BN432" s="106" t="n">
        <v>8145536.92119679</v>
      </c>
      <c r="BO432" s="106" t="n"/>
      <c r="BP432" s="106" t="n">
        <v>3032559.0353824</v>
      </c>
      <c r="BQ432" s="106" t="n"/>
      <c r="BR432" s="106" t="n"/>
      <c r="BS432" s="106" t="n"/>
      <c r="BT432" s="106" t="n">
        <v>312550.298643218</v>
      </c>
      <c r="BU432" s="106" t="n">
        <v>0</v>
      </c>
      <c r="BV432" s="106" t="n">
        <v>0</v>
      </c>
      <c r="BW432" s="106" t="n">
        <v>0</v>
      </c>
      <c r="BX432" s="106" t="n">
        <v>7731612.43662763</v>
      </c>
      <c r="BY432" s="106" t="n">
        <v>8339440.55938397</v>
      </c>
      <c r="BZ432" s="106" t="n">
        <v>4071050.8610671</v>
      </c>
      <c r="CA432" s="114" t="n">
        <v>387157.945608278</v>
      </c>
      <c r="CB432" s="115" t="n">
        <v>733112.335138862</v>
      </c>
      <c r="CD432" s="116" t="n">
        <f aca="false" ca="false" dt2D="false" dtr="false" t="normal">+CD431+1</f>
        <v>412</v>
      </c>
      <c r="CE432" s="117" t="s">
        <v>463</v>
      </c>
      <c r="CF432" s="104" t="s">
        <v>111</v>
      </c>
      <c r="CG432" s="117" t="s">
        <v>382</v>
      </c>
      <c r="CH432" s="188" t="n">
        <f aca="false" ca="true" dt2D="false" dtr="false" t="normal">SUBTOTAL(9, CI432:CW432)</f>
        <v>14415759.545138862</v>
      </c>
      <c r="CI432" s="114" t="n">
        <v>5021208.78</v>
      </c>
      <c r="CJ432" s="114" t="n">
        <v>734322.14</v>
      </c>
      <c r="CK432" s="114" t="n"/>
      <c r="CL432" s="114" t="n">
        <v>1975667.5</v>
      </c>
      <c r="CM432" s="114" t="n"/>
      <c r="CN432" s="114" t="n"/>
      <c r="CO432" s="114" t="n"/>
      <c r="CP432" s="114" t="n">
        <v>0</v>
      </c>
      <c r="CQ432" s="114" t="n">
        <v>0</v>
      </c>
      <c r="CR432" s="114" t="n">
        <v>0</v>
      </c>
      <c r="CS432" s="114" t="n">
        <v>5170020</v>
      </c>
      <c r="CT432" s="114" t="n"/>
      <c r="CU432" s="114" t="n">
        <v>767714.5</v>
      </c>
      <c r="CV432" s="114" t="n">
        <v>13714.29</v>
      </c>
      <c r="CW432" s="115" t="n">
        <v>733112.335138862</v>
      </c>
      <c r="CZ432" s="117" t="s">
        <v>382</v>
      </c>
      <c r="DA432" s="189" t="n">
        <f aca="false" ca="true" dt2D="false" dtr="false" t="normal">SUBTOTAL(9, DB432:DP432)</f>
        <v>13682647.209999999</v>
      </c>
      <c r="DB432" s="114" t="n">
        <v>5021208.78</v>
      </c>
      <c r="DC432" s="114" t="n">
        <v>734322.14</v>
      </c>
      <c r="DD432" s="114" t="n"/>
      <c r="DE432" s="114" t="n">
        <v>1975667.5</v>
      </c>
      <c r="DF432" s="114" t="n"/>
      <c r="DG432" s="114" t="n"/>
      <c r="DH432" s="114" t="n"/>
      <c r="DI432" s="114" t="n">
        <v>0</v>
      </c>
      <c r="DJ432" s="114" t="n">
        <v>0</v>
      </c>
      <c r="DK432" s="114" t="n">
        <v>0</v>
      </c>
      <c r="DL432" s="114" t="n">
        <v>5170020</v>
      </c>
      <c r="DM432" s="114" t="n"/>
      <c r="DN432" s="114" t="n">
        <v>767714.5</v>
      </c>
      <c r="DO432" s="114" t="n">
        <v>13714.29</v>
      </c>
      <c r="DP432" s="122" t="n"/>
      <c r="DQ432" s="3" t="n">
        <f aca="false" ca="false" dt2D="false" dtr="false" t="normal">N432-DA432</f>
        <v>0</v>
      </c>
      <c r="DS432" s="9" t="n"/>
    </row>
    <row hidden="false" ht="15" outlineLevel="0" r="433">
      <c r="A433" s="183" t="n">
        <f aca="false" ca="false" dt2D="false" dtr="false" t="normal">+A432+1</f>
        <v>413</v>
      </c>
      <c r="B433" s="184" t="s">
        <v>463</v>
      </c>
      <c r="C433" s="117" t="s">
        <v>111</v>
      </c>
      <c r="D433" s="117" t="s">
        <v>181</v>
      </c>
      <c r="E433" s="105" t="n">
        <v>1966</v>
      </c>
      <c r="F433" s="105" t="n">
        <v>2013</v>
      </c>
      <c r="G433" s="105" t="s">
        <v>68</v>
      </c>
      <c r="H433" s="105" t="n">
        <v>4</v>
      </c>
      <c r="I433" s="105" t="n">
        <v>6</v>
      </c>
      <c r="J433" s="106" t="n">
        <v>2829.5</v>
      </c>
      <c r="K433" s="106" t="n">
        <v>2537.8</v>
      </c>
      <c r="L433" s="106" t="n">
        <v>230.6</v>
      </c>
      <c r="M433" s="107" t="n">
        <v>144</v>
      </c>
      <c r="N433" s="108" t="n">
        <f aca="false" ca="false" dt2D="false" dtr="false" t="normal">SUM(P433:T433)</f>
        <v>9347701.01</v>
      </c>
      <c r="O433" s="114" t="n"/>
      <c r="P433" s="114" t="n">
        <v>5819327.38</v>
      </c>
      <c r="Q433" s="114" t="n"/>
      <c r="R433" s="114" t="n">
        <v>291228.86</v>
      </c>
      <c r="S433" s="114" t="n">
        <v>3237144.77</v>
      </c>
      <c r="T433" s="114" t="n"/>
      <c r="U433" s="114" t="n">
        <v>9188.10009785138</v>
      </c>
      <c r="V433" s="114" t="n">
        <v>1324.283020064</v>
      </c>
      <c r="W433" s="185" t="n">
        <v>2023</v>
      </c>
      <c r="X433" s="9" t="e">
        <f aca="false" ca="false" dt2D="false" dtr="false" t="normal">+#REF!-'[9]Приложение №1'!$P1768</f>
        <v>#REF!</v>
      </c>
      <c r="Z433" s="113" t="n">
        <f aca="false" ca="false" dt2D="false" dtr="false" t="normal">SUM(AA433:AO433)</f>
        <v>15087934.029999997</v>
      </c>
      <c r="AA433" s="106" t="n">
        <v>6065034.64028826</v>
      </c>
      <c r="AB433" s="106" t="n">
        <v>2161221.1824525</v>
      </c>
      <c r="AC433" s="106" t="n">
        <v>2257995.25038738</v>
      </c>
      <c r="AD433" s="106" t="n">
        <v>1413647.79602172</v>
      </c>
      <c r="AE433" s="106" t="n">
        <v>864921.32273358</v>
      </c>
      <c r="AF433" s="106" t="n"/>
      <c r="AG433" s="106" t="n">
        <v>232731.98563608</v>
      </c>
      <c r="AH433" s="106" t="n">
        <v>0</v>
      </c>
      <c r="AI433" s="106" t="n">
        <v>0</v>
      </c>
      <c r="AJ433" s="106" t="n">
        <v>0</v>
      </c>
      <c r="AK433" s="106" t="n">
        <v>0</v>
      </c>
      <c r="AL433" s="106" t="n">
        <v>0</v>
      </c>
      <c r="AM433" s="106" t="n">
        <v>1657316.1065</v>
      </c>
      <c r="AN433" s="114" t="n">
        <v>150879.3403</v>
      </c>
      <c r="AO433" s="115" t="n">
        <v>284186.40568048</v>
      </c>
      <c r="AP433" s="112" t="n">
        <f aca="false" ca="false" dt2D="false" dtr="false" t="normal">+N433-'Приложение №2'!E433</f>
        <v>0</v>
      </c>
      <c r="AQ433" s="135" t="n">
        <v>1632407.51</v>
      </c>
      <c r="AR433" s="3" t="n">
        <f aca="false" ca="false" dt2D="false" dtr="false" t="normal">+(K433*10.5+L433*21)*12*0.85</f>
        <v>321192.89999999997</v>
      </c>
      <c r="AS433" s="3" t="n">
        <f aca="false" ca="false" dt2D="false" dtr="false" t="normal">+(K433*10.5+L433*21)*12*30</f>
        <v>11336220</v>
      </c>
      <c r="AT433" s="9" t="n">
        <f aca="false" ca="false" dt2D="false" dtr="false" t="normal">+S433-AS433</f>
        <v>-8099075.23</v>
      </c>
      <c r="AU433" s="9" t="n"/>
      <c r="AV433" s="9" t="n"/>
      <c r="AW433" s="186" t="n">
        <f aca="false" ca="true" dt2D="false" dtr="false" t="normal">SUBTOTAL(9, AX433:BL433)</f>
        <v>23317560.42832726</v>
      </c>
      <c r="AX433" s="106" t="n"/>
      <c r="AY433" s="106" t="n"/>
      <c r="AZ433" s="106" t="n"/>
      <c r="BA433" s="106" t="n"/>
      <c r="BB433" s="106" t="n"/>
      <c r="BC433" s="106" t="n"/>
      <c r="BD433" s="106" t="n"/>
      <c r="BE433" s="106" t="n"/>
      <c r="BF433" s="106" t="n">
        <v>12083403.5969648</v>
      </c>
      <c r="BG433" s="106" t="n">
        <v>0</v>
      </c>
      <c r="BH433" s="106" t="n"/>
      <c r="BI433" s="106" t="n">
        <v>7268144.64</v>
      </c>
      <c r="BJ433" s="106" t="n">
        <v>2732058.44006605</v>
      </c>
      <c r="BK433" s="114" t="n">
        <v>286925.447518385</v>
      </c>
      <c r="BL433" s="187" t="n">
        <v>947028.303778021</v>
      </c>
      <c r="BM433" s="186" t="n">
        <f aca="false" ca="true" dt2D="false" dtr="false" t="normal">SUBTOTAL(9, BN433:CB433)</f>
        <v>23317560.42832726</v>
      </c>
      <c r="BN433" s="106" t="n"/>
      <c r="BO433" s="106" t="n"/>
      <c r="BP433" s="106" t="n"/>
      <c r="BQ433" s="106" t="n"/>
      <c r="BR433" s="106" t="n"/>
      <c r="BS433" s="106" t="n"/>
      <c r="BT433" s="106" t="n"/>
      <c r="BU433" s="106" t="n"/>
      <c r="BV433" s="106" t="n">
        <v>12083403.5969648</v>
      </c>
      <c r="BW433" s="106" t="n">
        <v>0</v>
      </c>
      <c r="BX433" s="106" t="n"/>
      <c r="BY433" s="106" t="n">
        <v>7268144.64</v>
      </c>
      <c r="BZ433" s="106" t="n">
        <v>2732058.44006605</v>
      </c>
      <c r="CA433" s="114" t="n">
        <v>286925.447518385</v>
      </c>
      <c r="CB433" s="115" t="n">
        <v>947028.303778021</v>
      </c>
      <c r="CD433" s="116" t="n">
        <f aca="false" ca="false" dt2D="false" dtr="false" t="normal">+CD432+1</f>
        <v>413</v>
      </c>
      <c r="CE433" s="117" t="s">
        <v>463</v>
      </c>
      <c r="CF433" s="104" t="s">
        <v>111</v>
      </c>
      <c r="CG433" s="117" t="s">
        <v>181</v>
      </c>
      <c r="CH433" s="188" t="n">
        <f aca="false" ca="true" dt2D="false" dtr="false" t="normal">SUBTOTAL(9, CI433:CW433)</f>
        <v>10294729.31377802</v>
      </c>
      <c r="CI433" s="114" t="n"/>
      <c r="CJ433" s="114" t="n"/>
      <c r="CK433" s="114" t="n"/>
      <c r="CL433" s="114" t="n"/>
      <c r="CM433" s="114" t="n"/>
      <c r="CN433" s="114" t="n"/>
      <c r="CO433" s="114" t="n"/>
      <c r="CP433" s="114" t="n"/>
      <c r="CQ433" s="114" t="n"/>
      <c r="CR433" s="114" t="n">
        <v>0</v>
      </c>
      <c r="CS433" s="114" t="n"/>
      <c r="CT433" s="114" t="n">
        <v>8872451.2</v>
      </c>
      <c r="CU433" s="114" t="n">
        <v>459249.81</v>
      </c>
      <c r="CV433" s="114" t="n">
        <v>16000</v>
      </c>
      <c r="CW433" s="115" t="n">
        <v>947028.303778021</v>
      </c>
      <c r="CZ433" s="117" t="s">
        <v>181</v>
      </c>
      <c r="DA433" s="189" t="n">
        <f aca="false" ca="true" dt2D="false" dtr="false" t="normal">SUBTOTAL(9, DB433:DP433)</f>
        <v>9347701.01</v>
      </c>
      <c r="DB433" s="114" t="n"/>
      <c r="DC433" s="114" t="n"/>
      <c r="DD433" s="114" t="n"/>
      <c r="DE433" s="114" t="n"/>
      <c r="DF433" s="114" t="n"/>
      <c r="DG433" s="114" t="n"/>
      <c r="DH433" s="114" t="n"/>
      <c r="DI433" s="114" t="n"/>
      <c r="DJ433" s="114" t="n"/>
      <c r="DK433" s="114" t="n">
        <v>0</v>
      </c>
      <c r="DL433" s="114" t="n"/>
      <c r="DM433" s="114" t="n">
        <v>8872451.2</v>
      </c>
      <c r="DN433" s="114" t="n">
        <v>459249.81</v>
      </c>
      <c r="DO433" s="114" t="n">
        <v>16000</v>
      </c>
      <c r="DP433" s="122" t="n"/>
      <c r="DQ433" s="3" t="n">
        <f aca="false" ca="false" dt2D="false" dtr="false" t="normal">N433-DA433</f>
        <v>0</v>
      </c>
      <c r="DS433" s="9" t="n"/>
    </row>
    <row customFormat="true" hidden="false" ht="15" outlineLevel="0" r="434" s="129">
      <c r="A434" s="183" t="n">
        <f aca="false" ca="false" dt2D="false" dtr="false" t="normal">+A432+1</f>
        <v>413</v>
      </c>
      <c r="B434" s="117" t="s">
        <v>463</v>
      </c>
      <c r="C434" s="104" t="s">
        <v>184</v>
      </c>
      <c r="D434" s="104" t="s">
        <v>388</v>
      </c>
      <c r="E434" s="105" t="s">
        <v>186</v>
      </c>
      <c r="F434" s="105" t="n"/>
      <c r="G434" s="105" t="s">
        <v>68</v>
      </c>
      <c r="H434" s="105" t="s">
        <v>187</v>
      </c>
      <c r="I434" s="105" t="s">
        <v>188</v>
      </c>
      <c r="J434" s="106" t="n">
        <v>5751.1</v>
      </c>
      <c r="K434" s="106" t="n">
        <v>4971.6</v>
      </c>
      <c r="L434" s="106" t="n">
        <v>0</v>
      </c>
      <c r="M434" s="107" t="n">
        <v>221</v>
      </c>
      <c r="N434" s="108" t="n">
        <f aca="false" ca="false" dt2D="false" dtr="false" t="normal">SUM(P434:T434)</f>
        <v>11509868.829999998</v>
      </c>
      <c r="O434" s="106" t="n">
        <v>0</v>
      </c>
      <c r="P434" s="114" t="n">
        <v>7343308.14</v>
      </c>
      <c r="Q434" s="114" t="n">
        <v>0</v>
      </c>
      <c r="R434" s="114" t="n">
        <v>470172.68</v>
      </c>
      <c r="S434" s="114" t="n">
        <v>3696388.01</v>
      </c>
      <c r="T434" s="114" t="n"/>
      <c r="U434" s="114" t="n">
        <v>10054.0694105366</v>
      </c>
      <c r="V434" s="114" t="n">
        <v>1330.283020064</v>
      </c>
      <c r="W434" s="110" t="n">
        <v>2023</v>
      </c>
      <c r="X434" s="129" t="n">
        <v>1827431.02</v>
      </c>
      <c r="Y434" s="129" t="n">
        <f aca="false" ca="false" dt2D="false" dtr="false" t="normal">+(K434*9.1+L434*18.19)*12</f>
        <v>542898.7200000001</v>
      </c>
      <c r="AA434" s="130" t="e">
        <f aca="false" ca="false" dt2D="false" dtr="false" t="normal">+N434-'[8]Приложение № 2'!E421</f>
        <v>#REF!</v>
      </c>
      <c r="AD434" s="130" t="e">
        <f aca="false" ca="false" dt2D="false" dtr="false" t="normal">+N434-'[8]Приложение № 2'!E421</f>
        <v>#REF!</v>
      </c>
      <c r="AP434" s="112" t="n">
        <f aca="false" ca="false" dt2D="false" dtr="false" t="normal">+N434-'Приложение №2'!E416</f>
        <v>669415.8499999978</v>
      </c>
      <c r="AQ434" s="121" t="n">
        <v>2885684.78</v>
      </c>
      <c r="AR434" s="3" t="n">
        <f aca="false" ca="false" dt2D="false" dtr="false" t="normal">+(K434*10.5+L434*21)*12*0.85</f>
        <v>532458.3600000001</v>
      </c>
      <c r="AS434" s="3" t="n">
        <f aca="false" ca="false" dt2D="false" dtr="false" t="normal">+(K434*10.5+L434*21)*12*30</f>
        <v>18792648.000000004</v>
      </c>
      <c r="AT434" s="9" t="n">
        <f aca="false" ca="false" dt2D="false" dtr="false" t="normal">+S434-AS434</f>
        <v>-15096259.990000004</v>
      </c>
      <c r="AU434" s="9" t="e">
        <f aca="false" ca="false" dt2D="false" dtr="false" t="normal">+P434-'[5]Приложение №1'!$P456</f>
        <v>#REF!</v>
      </c>
      <c r="AV434" s="9" t="e">
        <f aca="false" ca="false" dt2D="false" dtr="false" t="normal">+Q434-'[5]Приложение №1'!$Q456</f>
        <v>#REF!</v>
      </c>
      <c r="AW434" s="186" t="n">
        <f aca="false" ca="true" dt2D="false" dtr="false" t="normal">SUBTOTAL(9, AX434:BL434)</f>
        <v>49984811.48142352</v>
      </c>
      <c r="AX434" s="106" t="n">
        <v>8299975.95376422</v>
      </c>
      <c r="AY434" s="106" t="n">
        <v>4800122.69708414</v>
      </c>
      <c r="AZ434" s="106" t="n">
        <v>0</v>
      </c>
      <c r="BA434" s="106" t="n">
        <v>0</v>
      </c>
      <c r="BB434" s="106" t="n"/>
      <c r="BC434" s="106" t="n"/>
      <c r="BD434" s="106" t="n">
        <v>412435.577759889</v>
      </c>
      <c r="BE434" s="106" t="n">
        <v>0</v>
      </c>
      <c r="BF434" s="106" t="n">
        <v>14775207.7260839</v>
      </c>
      <c r="BG434" s="106" t="n">
        <v>0</v>
      </c>
      <c r="BH434" s="106" t="n"/>
      <c r="BI434" s="106" t="n">
        <v>11281898.4663249</v>
      </c>
      <c r="BJ434" s="106" t="n">
        <v>8086588.88032743</v>
      </c>
      <c r="BK434" s="114" t="n">
        <v>802166.094439183</v>
      </c>
      <c r="BL434" s="187" t="n">
        <v>1526416.08563985</v>
      </c>
      <c r="BM434" s="186" t="n">
        <f aca="false" ca="true" dt2D="false" dtr="false" t="normal">SUBTOTAL(9, BN434:CB434)</f>
        <v>47067749.255339615</v>
      </c>
      <c r="BN434" s="106" t="n">
        <v>8299975.95376422</v>
      </c>
      <c r="BO434" s="106" t="n">
        <v>4800122.69708414</v>
      </c>
      <c r="BP434" s="106" t="n">
        <v>0</v>
      </c>
      <c r="BQ434" s="106" t="n">
        <v>0</v>
      </c>
      <c r="BR434" s="106" t="n"/>
      <c r="BS434" s="106" t="n"/>
      <c r="BT434" s="106" t="n">
        <v>412435.577759889</v>
      </c>
      <c r="BU434" s="106" t="n">
        <v>0</v>
      </c>
      <c r="BV434" s="106" t="n">
        <v>11858145.5</v>
      </c>
      <c r="BW434" s="106" t="n">
        <v>0</v>
      </c>
      <c r="BX434" s="106" t="n"/>
      <c r="BY434" s="106" t="n">
        <v>11281898.4663249</v>
      </c>
      <c r="BZ434" s="106" t="n">
        <v>8086588.88032743</v>
      </c>
      <c r="CA434" s="114" t="n">
        <v>802166.094439183</v>
      </c>
      <c r="CB434" s="115" t="n">
        <v>1526416.08563985</v>
      </c>
      <c r="CD434" s="116" t="n">
        <f aca="false" ca="false" dt2D="false" dtr="false" t="normal">+CD432+1</f>
        <v>413</v>
      </c>
      <c r="CE434" s="117" t="s">
        <v>463</v>
      </c>
      <c r="CF434" s="104" t="s">
        <v>111</v>
      </c>
      <c r="CG434" s="117" t="s">
        <v>388</v>
      </c>
      <c r="CH434" s="188" t="n">
        <f aca="false" ca="true" dt2D="false" dtr="false" t="normal">SUBTOTAL(9, CI434:CW434)</f>
        <v>13036284.91563985</v>
      </c>
      <c r="CI434" s="114" t="n">
        <v>8087620.75</v>
      </c>
      <c r="CJ434" s="114" t="n">
        <v>3000884.73</v>
      </c>
      <c r="CK434" s="114" t="n">
        <v>0</v>
      </c>
      <c r="CL434" s="114" t="n">
        <v>0</v>
      </c>
      <c r="CM434" s="114" t="n"/>
      <c r="CN434" s="114" t="n"/>
      <c r="CO434" s="114" t="n"/>
      <c r="CP434" s="114" t="n">
        <v>0</v>
      </c>
      <c r="CQ434" s="114" t="n"/>
      <c r="CR434" s="114" t="n">
        <v>0</v>
      </c>
      <c r="CS434" s="114" t="n"/>
      <c r="CT434" s="114" t="n"/>
      <c r="CU434" s="114" t="n">
        <v>411763.35</v>
      </c>
      <c r="CV434" s="114" t="n">
        <v>9600</v>
      </c>
      <c r="CW434" s="115" t="n">
        <v>1526416.08563985</v>
      </c>
      <c r="CZ434" s="117" t="s">
        <v>388</v>
      </c>
      <c r="DA434" s="189" t="n">
        <f aca="false" ca="true" dt2D="false" dtr="false" t="normal">SUBTOTAL(9, DB434:DP434)</f>
        <v>11509868.83</v>
      </c>
      <c r="DB434" s="114" t="n">
        <v>8087620.75</v>
      </c>
      <c r="DC434" s="114" t="n">
        <v>3000884.73</v>
      </c>
      <c r="DD434" s="114" t="n">
        <v>0</v>
      </c>
      <c r="DE434" s="114" t="n">
        <v>0</v>
      </c>
      <c r="DF434" s="114" t="n"/>
      <c r="DG434" s="114" t="n"/>
      <c r="DH434" s="114" t="n"/>
      <c r="DI434" s="114" t="n">
        <v>0</v>
      </c>
      <c r="DJ434" s="114" t="n"/>
      <c r="DK434" s="114" t="n">
        <v>0</v>
      </c>
      <c r="DL434" s="114" t="n"/>
      <c r="DM434" s="114" t="n"/>
      <c r="DN434" s="114" t="n">
        <v>411763.35</v>
      </c>
      <c r="DO434" s="114" t="n">
        <v>9600</v>
      </c>
      <c r="DP434" s="122" t="n"/>
      <c r="DQ434" s="3" t="n">
        <f aca="false" ca="false" dt2D="false" dtr="false" t="normal">N434-DA434</f>
        <v>0</v>
      </c>
      <c r="DS434" s="9" t="n"/>
    </row>
    <row customFormat="true" hidden="false" ht="15" outlineLevel="0" r="435" s="129">
      <c r="A435" s="183" t="n">
        <f aca="false" ca="false" dt2D="false" dtr="false" t="normal">+A434+1</f>
        <v>414</v>
      </c>
      <c r="B435" s="117" t="s">
        <v>463</v>
      </c>
      <c r="C435" s="117" t="s">
        <v>111</v>
      </c>
      <c r="D435" s="117" t="s">
        <v>391</v>
      </c>
      <c r="E435" s="201" t="s">
        <v>347</v>
      </c>
      <c r="F435" s="201" t="n"/>
      <c r="G435" s="201" t="s">
        <v>68</v>
      </c>
      <c r="H435" s="201" t="s">
        <v>187</v>
      </c>
      <c r="I435" s="201" t="s">
        <v>187</v>
      </c>
      <c r="J435" s="114" t="n">
        <v>2960.3</v>
      </c>
      <c r="K435" s="114" t="n">
        <v>2725</v>
      </c>
      <c r="L435" s="114" t="n">
        <v>0</v>
      </c>
      <c r="M435" s="202" t="n">
        <v>121</v>
      </c>
      <c r="N435" s="108" t="n">
        <f aca="false" ca="false" dt2D="false" dtr="false" t="normal">SUM(P435:T435)</f>
        <v>3403308.6</v>
      </c>
      <c r="O435" s="114" t="n">
        <v>0</v>
      </c>
      <c r="P435" s="114" t="n">
        <v>1392525.5544978</v>
      </c>
      <c r="Q435" s="114" t="n">
        <v>0</v>
      </c>
      <c r="R435" s="114" t="n">
        <v>193625.18</v>
      </c>
      <c r="S435" s="114" t="n">
        <v>1817157.8655022</v>
      </c>
      <c r="T435" s="114" t="n"/>
      <c r="U435" s="114" t="n">
        <v>8362.46221489454</v>
      </c>
      <c r="V435" s="114" t="n">
        <v>8362.46221489454</v>
      </c>
      <c r="W435" s="110" t="n">
        <v>2023</v>
      </c>
      <c r="X435" s="129" t="n">
        <v>1033423.53</v>
      </c>
      <c r="Y435" s="129" t="n">
        <f aca="false" ca="false" dt2D="false" dtr="false" t="normal">+(K435*9.1+L435*18.19)*12</f>
        <v>297570</v>
      </c>
      <c r="AA435" s="130" t="e">
        <f aca="false" ca="false" dt2D="false" dtr="false" t="normal">+N435-'[8]Приложение № 2'!E658</f>
        <v>#REF!</v>
      </c>
      <c r="AD435" s="130" t="e">
        <f aca="false" ca="false" dt2D="false" dtr="false" t="normal">+N435-'[8]Приложение № 2'!E658</f>
        <v>#REF!</v>
      </c>
      <c r="AP435" s="112" t="e">
        <f aca="false" ca="false" dt2D="false" dtr="false" t="normal">+N435-#REF!</f>
        <v>#REF!</v>
      </c>
      <c r="AQ435" s="132" t="n">
        <f aca="false" ca="false" dt2D="false" dtr="false" t="normal">1333137.2-R316</f>
        <v>576703.4299999999</v>
      </c>
      <c r="AR435" s="3" t="n">
        <f aca="false" ca="false" dt2D="false" dtr="false" t="normal">+(K435*10+L435*20)*12*0.85</f>
        <v>277950</v>
      </c>
      <c r="AS435" s="3" t="n">
        <f aca="false" ca="false" dt2D="false" dtr="false" t="normal">+(K435*10+L435*20)*12*30-S316</f>
        <v>6590238.470000001</v>
      </c>
      <c r="AT435" s="9" t="n">
        <f aca="false" ca="false" dt2D="false" dtr="false" t="normal">+S435-AS435</f>
        <v>-4773080.604497801</v>
      </c>
      <c r="AU435" s="9" t="e">
        <f aca="false" ca="false" dt2D="false" dtr="false" t="normal">+P435-'[5]Приложение №1'!$P679</f>
        <v>#REF!</v>
      </c>
      <c r="AV435" s="9" t="e">
        <f aca="false" ca="false" dt2D="false" dtr="false" t="normal">+Q435-'[5]Приложение №1'!$Q679</f>
        <v>#REF!</v>
      </c>
      <c r="AW435" s="113" t="n">
        <f aca="false" ca="true" dt2D="false" dtr="false" t="normal">SUBTOTAL(9, AX435:BL435)</f>
        <v>20530546.245062128</v>
      </c>
      <c r="AX435" s="13" t="n"/>
      <c r="AY435" s="13" t="n"/>
      <c r="AZ435" s="13" t="n"/>
      <c r="BA435" s="106" t="n"/>
      <c r="BB435" s="106" t="n">
        <v>1170100.23453701</v>
      </c>
      <c r="BC435" s="106" t="n"/>
      <c r="BD435" s="106" t="n"/>
      <c r="BE435" s="106" t="n"/>
      <c r="BF435" s="106" t="n"/>
      <c r="BG435" s="106" t="n"/>
      <c r="BH435" s="106" t="n">
        <v>18699028.5549375</v>
      </c>
      <c r="BI435" s="106" t="n"/>
      <c r="BJ435" s="106" t="n"/>
      <c r="BK435" s="106" t="n"/>
      <c r="BL435" s="111" t="n">
        <v>661417.455587619</v>
      </c>
      <c r="BM435" s="113" t="n">
        <f aca="false" ca="true" dt2D="false" dtr="false" t="normal">SUBTOTAL(9, BN435:CB435)</f>
        <v>22787709.53558762</v>
      </c>
      <c r="BN435" s="13" t="n"/>
      <c r="BO435" s="13" t="n"/>
      <c r="BP435" s="13" t="n"/>
      <c r="BQ435" s="106" t="n"/>
      <c r="BR435" s="106" t="n">
        <v>1197372.1</v>
      </c>
      <c r="BS435" s="106" t="n"/>
      <c r="BT435" s="106" t="n"/>
      <c r="BU435" s="106" t="n"/>
      <c r="BV435" s="106" t="n"/>
      <c r="BW435" s="106" t="n"/>
      <c r="BX435" s="106" t="n">
        <v>20928919.98</v>
      </c>
      <c r="BY435" s="106" t="n"/>
      <c r="BZ435" s="106" t="n"/>
      <c r="CA435" s="106" t="n"/>
      <c r="CB435" s="111" t="n">
        <v>661417.455587619</v>
      </c>
      <c r="CD435" s="116" t="n">
        <f aca="false" ca="false" dt2D="false" dtr="false" t="normal">+CD434+1</f>
        <v>414</v>
      </c>
      <c r="CE435" s="117" t="s">
        <v>463</v>
      </c>
      <c r="CF435" s="104" t="s">
        <v>111</v>
      </c>
      <c r="CG435" s="117" t="s">
        <v>391</v>
      </c>
      <c r="CH435" s="118" t="n">
        <f aca="false" ca="true" dt2D="false" dtr="false" t="normal">SUBTOTAL(9, CI435:CW435)</f>
        <v>4064726.055587619</v>
      </c>
      <c r="CI435" s="114" t="n"/>
      <c r="CJ435" s="114" t="n"/>
      <c r="CK435" s="114" t="n"/>
      <c r="CL435" s="114" t="n">
        <v>2042385.11</v>
      </c>
      <c r="CM435" s="114" t="n">
        <v>1046167.7</v>
      </c>
      <c r="CN435" s="114" t="n"/>
      <c r="CO435" s="114" t="n"/>
      <c r="CP435" s="114" t="n"/>
      <c r="CQ435" s="114" t="n"/>
      <c r="CR435" s="114" t="n"/>
      <c r="CS435" s="114" t="n"/>
      <c r="CT435" s="114" t="n"/>
      <c r="CU435" s="114" t="n">
        <v>302755.79</v>
      </c>
      <c r="CV435" s="114" t="n">
        <v>12000</v>
      </c>
      <c r="CW435" s="115" t="n">
        <v>661417.455587619</v>
      </c>
      <c r="CZ435" s="117" t="s">
        <v>391</v>
      </c>
      <c r="DA435" s="119" t="n">
        <f aca="false" ca="true" dt2D="false" dtr="false" t="normal">SUBTOTAL(9, DB435:DP435)</f>
        <v>3403308.6</v>
      </c>
      <c r="DB435" s="114" t="n"/>
      <c r="DC435" s="114" t="n"/>
      <c r="DD435" s="114" t="n"/>
      <c r="DE435" s="114" t="n">
        <v>2042385.11</v>
      </c>
      <c r="DF435" s="114" t="n">
        <v>1046167.7</v>
      </c>
      <c r="DG435" s="114" t="n"/>
      <c r="DH435" s="114" t="n"/>
      <c r="DI435" s="114" t="n"/>
      <c r="DJ435" s="114" t="n"/>
      <c r="DK435" s="114" t="n"/>
      <c r="DL435" s="114" t="n"/>
      <c r="DM435" s="114" t="n"/>
      <c r="DN435" s="114" t="n">
        <v>302755.79</v>
      </c>
      <c r="DO435" s="114" t="n">
        <v>12000</v>
      </c>
      <c r="DP435" s="122" t="n"/>
      <c r="DQ435" s="3" t="n">
        <f aca="false" ca="false" dt2D="false" dtr="false" t="normal">N435-DA435</f>
        <v>0</v>
      </c>
      <c r="DS435" s="9" t="n"/>
    </row>
    <row hidden="false" ht="15" outlineLevel="0" r="436">
      <c r="A436" s="183" t="n">
        <f aca="false" ca="false" dt2D="false" dtr="false" t="normal">+A435+1</f>
        <v>415</v>
      </c>
      <c r="B436" s="117" t="n">
        <v>205</v>
      </c>
      <c r="C436" s="104" t="s">
        <v>111</v>
      </c>
      <c r="D436" s="104" t="s">
        <v>198</v>
      </c>
      <c r="E436" s="105" t="n">
        <v>1974</v>
      </c>
      <c r="F436" s="105" t="n">
        <v>2013</v>
      </c>
      <c r="G436" s="105" t="s">
        <v>68</v>
      </c>
      <c r="H436" s="105" t="n">
        <v>4</v>
      </c>
      <c r="I436" s="105" t="n">
        <v>4</v>
      </c>
      <c r="J436" s="106" t="n">
        <v>3940.9</v>
      </c>
      <c r="K436" s="106" t="n">
        <v>3373.8</v>
      </c>
      <c r="L436" s="106" t="n">
        <v>212.7</v>
      </c>
      <c r="M436" s="107" t="n">
        <v>140</v>
      </c>
      <c r="N436" s="108" t="n">
        <f aca="false" ca="false" dt2D="false" dtr="false" t="normal">SUM(P436:T436)</f>
        <v>790873.3</v>
      </c>
      <c r="O436" s="106" t="n"/>
      <c r="P436" s="114" t="n"/>
      <c r="Q436" s="114" t="n"/>
      <c r="R436" s="114" t="n">
        <v>396466.4</v>
      </c>
      <c r="S436" s="114" t="n">
        <v>394406.9</v>
      </c>
      <c r="T436" s="114" t="n"/>
      <c r="U436" s="106" t="n">
        <v>1279.01811968235</v>
      </c>
      <c r="V436" s="106" t="n">
        <v>1279.01811968235</v>
      </c>
      <c r="W436" s="110" t="n">
        <v>2023</v>
      </c>
      <c r="X436" s="9" t="e">
        <f aca="false" ca="false" dt2D="false" dtr="false" t="normal">+#REF!-'[9]Приложение №1'!$P1306</f>
        <v>#REF!</v>
      </c>
      <c r="Z436" s="113" t="n">
        <f aca="false" ca="false" dt2D="false" dtr="false" t="normal">SUM(AA436:AO436)</f>
        <v>62533714.20789399</v>
      </c>
      <c r="AA436" s="106" t="n">
        <v>6056878.33</v>
      </c>
      <c r="AB436" s="106" t="n">
        <v>3324136.35620388</v>
      </c>
      <c r="AC436" s="106" t="n">
        <v>3513858.26050854</v>
      </c>
      <c r="AD436" s="106" t="n">
        <v>2679346.79400948</v>
      </c>
      <c r="AE436" s="106" t="n">
        <v>1070344.19731806</v>
      </c>
      <c r="AF436" s="106" t="n"/>
      <c r="AG436" s="106" t="n">
        <v>285608.9438538</v>
      </c>
      <c r="AH436" s="106" t="n">
        <v>0</v>
      </c>
      <c r="AI436" s="106" t="n">
        <v>10232040.6523188</v>
      </c>
      <c r="AJ436" s="106" t="n">
        <v>0</v>
      </c>
      <c r="AK436" s="106" t="n">
        <v>19865564.963811</v>
      </c>
      <c r="AL436" s="106" t="n">
        <v>7812871.9105563</v>
      </c>
      <c r="AM436" s="106" t="n">
        <v>5963728.8812</v>
      </c>
      <c r="AN436" s="114" t="n">
        <v>570673.4087</v>
      </c>
      <c r="AO436" s="115" t="n">
        <v>1158661.50941414</v>
      </c>
      <c r="AP436" s="112" t="n">
        <f aca="false" ca="false" dt2D="false" dtr="false" t="normal">+N436-'Приложение №2'!E436</f>
        <v>0</v>
      </c>
      <c r="AQ436" s="9" t="n">
        <f aca="false" ca="false" dt2D="false" dtr="false" t="normal">1707386.79-112573.23-R132</f>
        <v>-387518.3999999999</v>
      </c>
      <c r="AR436" s="3" t="n">
        <f aca="false" ca="false" dt2D="false" dtr="false" t="normal">+(K436*10+L436*20)*12*0.85</f>
        <v>387518.39999999997</v>
      </c>
      <c r="AS436" s="3" t="n">
        <f aca="false" ca="false" dt2D="false" dtr="false" t="normal">+(K436*10+L436*20)*12*30-810211.65-S132</f>
        <v>2324580.0037593003</v>
      </c>
      <c r="AT436" s="9" t="n">
        <f aca="false" ca="false" dt2D="false" dtr="false" t="normal">+S436-AS436</f>
        <v>-1930173.1037593004</v>
      </c>
      <c r="AU436" s="9" t="e">
        <f aca="false" ca="false" dt2D="false" dtr="false" t="normal">+P436-'[5]Приложение №1'!$P335</f>
        <v>#REF!</v>
      </c>
      <c r="AV436" s="9" t="e">
        <f aca="false" ca="false" dt2D="false" dtr="false" t="normal">+Q436-'[5]Приложение №1'!$Q335</f>
        <v>#REF!</v>
      </c>
      <c r="AW436" s="113" t="n">
        <f aca="false" ca="true" dt2D="false" dtr="false" t="normal">SUBTOTAL(9, AX436:BL436)</f>
        <v>4587198.48624074</v>
      </c>
      <c r="AX436" s="106" t="n"/>
      <c r="AY436" s="106" t="n">
        <v>1950514.3</v>
      </c>
      <c r="AZ436" s="106" t="n"/>
      <c r="BA436" s="106" t="n">
        <v>1578269.9</v>
      </c>
      <c r="BB436" s="106" t="n"/>
      <c r="BC436" s="106" t="n"/>
      <c r="BD436" s="106" t="n"/>
      <c r="BE436" s="106" t="n"/>
      <c r="BF436" s="106" t="n"/>
      <c r="BG436" s="106" t="n"/>
      <c r="BH436" s="106" t="n"/>
      <c r="BI436" s="106" t="n"/>
      <c r="BJ436" s="106" t="n"/>
      <c r="BK436" s="114" t="n"/>
      <c r="BL436" s="187" t="n">
        <v>1058414.28624074</v>
      </c>
      <c r="BM436" s="113" t="n">
        <f aca="false" ca="true" dt2D="false" dtr="false" t="normal">SUBTOTAL(9, BN436:CB436)</f>
        <v>4587198.48624074</v>
      </c>
      <c r="BN436" s="106" t="n"/>
      <c r="BO436" s="106" t="n">
        <v>1950514.3</v>
      </c>
      <c r="BP436" s="106" t="n"/>
      <c r="BQ436" s="106" t="n">
        <v>1578269.9</v>
      </c>
      <c r="BR436" s="106" t="n"/>
      <c r="BS436" s="106" t="n"/>
      <c r="BT436" s="106" t="n"/>
      <c r="BU436" s="106" t="n"/>
      <c r="BV436" s="106" t="n"/>
      <c r="BW436" s="106" t="n"/>
      <c r="BX436" s="106" t="n"/>
      <c r="BY436" s="106" t="n"/>
      <c r="BZ436" s="106" t="n"/>
      <c r="CA436" s="114" t="n"/>
      <c r="CB436" s="115" t="n">
        <v>1058414.28624074</v>
      </c>
      <c r="CD436" s="116" t="n">
        <f aca="false" ca="false" dt2D="false" dtr="false" t="normal">+CD435+1</f>
        <v>415</v>
      </c>
      <c r="CE436" s="117" t="n">
        <v>205</v>
      </c>
      <c r="CF436" s="104" t="s">
        <v>111</v>
      </c>
      <c r="CG436" s="117" t="s">
        <v>198</v>
      </c>
      <c r="CH436" s="118" t="n">
        <f aca="false" ca="true" dt2D="false" dtr="false" t="normal">SUBTOTAL(9, CI436:CW436)</f>
        <v>1849287.58624074</v>
      </c>
      <c r="CI436" s="114" t="n"/>
      <c r="CJ436" s="114" t="n"/>
      <c r="CK436" s="114" t="n"/>
      <c r="CL436" s="114" t="n">
        <v>790873.3</v>
      </c>
      <c r="CM436" s="114" t="n"/>
      <c r="CN436" s="114" t="n"/>
      <c r="CO436" s="114" t="n"/>
      <c r="CP436" s="114" t="n"/>
      <c r="CQ436" s="114" t="n"/>
      <c r="CR436" s="114" t="n"/>
      <c r="CS436" s="114" t="n"/>
      <c r="CT436" s="114" t="n"/>
      <c r="CU436" s="114" t="n"/>
      <c r="CV436" s="114" t="n"/>
      <c r="CW436" s="115" t="n">
        <v>1058414.28624074</v>
      </c>
      <c r="CZ436" s="117" t="s">
        <v>198</v>
      </c>
      <c r="DA436" s="119" t="n">
        <f aca="false" ca="true" dt2D="false" dtr="false" t="normal">SUBTOTAL(9, DB436:DP436)</f>
        <v>790873.3</v>
      </c>
      <c r="DB436" s="114" t="n"/>
      <c r="DC436" s="114" t="n"/>
      <c r="DD436" s="114" t="n"/>
      <c r="DE436" s="114" t="n">
        <v>790873.3</v>
      </c>
      <c r="DF436" s="114" t="n"/>
      <c r="DG436" s="114" t="n"/>
      <c r="DH436" s="114" t="n"/>
      <c r="DI436" s="114" t="n"/>
      <c r="DJ436" s="114" t="n"/>
      <c r="DK436" s="114" t="n"/>
      <c r="DL436" s="114" t="n"/>
      <c r="DM436" s="114" t="n"/>
      <c r="DN436" s="114" t="n"/>
      <c r="DO436" s="114" t="n"/>
      <c r="DP436" s="122" t="n"/>
      <c r="DQ436" s="3" t="n">
        <f aca="false" ca="false" dt2D="false" dtr="false" t="normal">N436-DA436</f>
        <v>0</v>
      </c>
      <c r="DS436" s="9" t="n"/>
    </row>
    <row hidden="false" ht="15" outlineLevel="0" r="437">
      <c r="A437" s="183" t="n">
        <f aca="false" ca="false" dt2D="false" dtr="false" t="normal">+A436+1</f>
        <v>416</v>
      </c>
      <c r="B437" s="117" t="s">
        <v>463</v>
      </c>
      <c r="C437" s="117" t="s">
        <v>111</v>
      </c>
      <c r="D437" s="117" t="s">
        <v>394</v>
      </c>
      <c r="E437" s="105" t="n">
        <v>1994</v>
      </c>
      <c r="F437" s="105" t="n">
        <v>2005</v>
      </c>
      <c r="G437" s="105" t="s">
        <v>68</v>
      </c>
      <c r="H437" s="105" t="n">
        <v>5</v>
      </c>
      <c r="I437" s="105" t="n">
        <v>2</v>
      </c>
      <c r="J437" s="106" t="n">
        <v>2052</v>
      </c>
      <c r="K437" s="106" t="n">
        <v>1876.9</v>
      </c>
      <c r="L437" s="106" t="n">
        <v>0</v>
      </c>
      <c r="M437" s="107" t="n">
        <v>80</v>
      </c>
      <c r="N437" s="108" t="n">
        <f aca="false" ca="false" dt2D="false" dtr="false" t="normal">SUM(P437:T437)</f>
        <v>7589452.779999999</v>
      </c>
      <c r="O437" s="114" t="n"/>
      <c r="P437" s="114" t="n">
        <v>3592852.06</v>
      </c>
      <c r="Q437" s="114" t="n"/>
      <c r="R437" s="114" t="n">
        <v>866180.65</v>
      </c>
      <c r="S437" s="114" t="n">
        <v>3130420.07</v>
      </c>
      <c r="T437" s="114" t="n"/>
      <c r="U437" s="114" t="n">
        <v>14282.4062532414</v>
      </c>
      <c r="V437" s="114" t="n">
        <v>1336.283020064</v>
      </c>
      <c r="W437" s="110" t="n">
        <v>2023</v>
      </c>
      <c r="X437" s="9" t="e">
        <f aca="false" ca="false" dt2D="false" dtr="false" t="normal">+#REF!-'[9]Приложение №1'!$P1203</f>
        <v>#REF!</v>
      </c>
      <c r="Z437" s="113" t="n">
        <f aca="false" ca="false" dt2D="false" dtr="false" t="normal">SUM(AA437:AO437)</f>
        <v>30419518.07</v>
      </c>
      <c r="AA437" s="106" t="n">
        <v>4454647.72709502</v>
      </c>
      <c r="AB437" s="106" t="n">
        <v>1587374.11791714</v>
      </c>
      <c r="AC437" s="106" t="n">
        <v>1658452.76095254</v>
      </c>
      <c r="AD437" s="106" t="n">
        <v>1038296.28299628</v>
      </c>
      <c r="AE437" s="106" t="n">
        <v>635267.56802166</v>
      </c>
      <c r="AF437" s="106" t="n"/>
      <c r="AG437" s="106" t="n">
        <v>170937.02604636</v>
      </c>
      <c r="AH437" s="106" t="n">
        <v>0</v>
      </c>
      <c r="AI437" s="106" t="n">
        <v>8143773.8420052</v>
      </c>
      <c r="AJ437" s="106" t="n">
        <v>0</v>
      </c>
      <c r="AK437" s="106" t="n">
        <v>4228285.07826312</v>
      </c>
      <c r="AL437" s="106" t="n">
        <v>4560700.39308282</v>
      </c>
      <c r="AM437" s="106" t="n">
        <v>3058573.6594</v>
      </c>
      <c r="AN437" s="114" t="n">
        <v>304195.1807</v>
      </c>
      <c r="AO437" s="115" t="n">
        <v>579014.43351986</v>
      </c>
      <c r="AP437" s="112" t="n">
        <f aca="false" ca="false" dt2D="false" dtr="false" t="normal">+N437-'Приложение №2'!E424</f>
        <v>2968731.2579999994</v>
      </c>
      <c r="AQ437" s="1" t="n">
        <v>1111921.7</v>
      </c>
      <c r="AR437" s="3" t="n">
        <f aca="false" ca="false" dt2D="false" dtr="false" t="normal">+(K437*10.5+L437*21)*12*0.85</f>
        <v>201015.99000000002</v>
      </c>
      <c r="AS437" s="3" t="n">
        <f aca="false" ca="false" dt2D="false" dtr="false" t="normal">+(K437*10.5+L437*21)*12*30</f>
        <v>7094682.000000001</v>
      </c>
      <c r="AT437" s="9" t="n">
        <f aca="false" ca="false" dt2D="false" dtr="false" t="normal">+S437-AS437</f>
        <v>-3964261.930000001</v>
      </c>
      <c r="AU437" s="9" t="e">
        <f aca="false" ca="false" dt2D="false" dtr="false" t="normal">+P437-'[5]Приложение №1'!$P716</f>
        <v>#REF!</v>
      </c>
      <c r="AV437" s="9" t="e">
        <f aca="false" ca="false" dt2D="false" dtr="false" t="normal">+Q437-'[5]Приложение №1'!$Q716</f>
        <v>#REF!</v>
      </c>
      <c r="AW437" s="186" t="n">
        <f aca="false" ca="true" dt2D="false" dtr="false" t="normal">SUBTOTAL(9, AX437:BL437)</f>
        <v>26806648.296708696</v>
      </c>
      <c r="AX437" s="106" t="n">
        <v>4762837.6</v>
      </c>
      <c r="AY437" s="106" t="n">
        <v>1587374.11791714</v>
      </c>
      <c r="AZ437" s="106" t="n">
        <v>1658452.76095254</v>
      </c>
      <c r="BA437" s="106" t="n">
        <v>1129165.06</v>
      </c>
      <c r="BB437" s="106" t="n"/>
      <c r="BC437" s="106" t="n"/>
      <c r="BD437" s="106" t="n">
        <v>170937.02604636</v>
      </c>
      <c r="BE437" s="106" t="n">
        <v>0</v>
      </c>
      <c r="BF437" s="106" t="n">
        <v>8143773.8420052</v>
      </c>
      <c r="BG437" s="106" t="n">
        <v>0</v>
      </c>
      <c r="BH437" s="106" t="n">
        <v>4228285.07826312</v>
      </c>
      <c r="BI437" s="106" t="n">
        <v>4560700.39308282</v>
      </c>
      <c r="BJ437" s="106" t="n"/>
      <c r="BK437" s="114" t="n"/>
      <c r="BL437" s="187" t="n">
        <v>565122.41844152</v>
      </c>
      <c r="BM437" s="186" t="n">
        <f aca="false" ca="true" dt2D="false" dtr="false" t="normal">SUBTOTAL(9, BN437:CB437)</f>
        <v>26806648.296708696</v>
      </c>
      <c r="BN437" s="106" t="n">
        <v>4762837.6</v>
      </c>
      <c r="BO437" s="106" t="n">
        <v>1587374.11791714</v>
      </c>
      <c r="BP437" s="106" t="n">
        <v>1658452.76095254</v>
      </c>
      <c r="BQ437" s="106" t="n">
        <v>1129165.06</v>
      </c>
      <c r="BR437" s="106" t="n"/>
      <c r="BS437" s="106" t="n"/>
      <c r="BT437" s="106" t="n">
        <v>170937.02604636</v>
      </c>
      <c r="BU437" s="106" t="n">
        <v>0</v>
      </c>
      <c r="BV437" s="106" t="n">
        <v>8143773.8420052</v>
      </c>
      <c r="BW437" s="106" t="n">
        <v>0</v>
      </c>
      <c r="BX437" s="106" t="n">
        <v>4228285.07826312</v>
      </c>
      <c r="BY437" s="106" t="n">
        <v>4560700.39308282</v>
      </c>
      <c r="BZ437" s="106" t="n"/>
      <c r="CA437" s="114" t="n"/>
      <c r="CB437" s="115" t="n">
        <v>565122.41844152</v>
      </c>
      <c r="CD437" s="116" t="n">
        <f aca="false" ca="false" dt2D="false" dtr="false" t="normal">+CD436+1</f>
        <v>416</v>
      </c>
      <c r="CE437" s="117" t="s">
        <v>463</v>
      </c>
      <c r="CF437" s="104" t="s">
        <v>111</v>
      </c>
      <c r="CG437" s="117" t="s">
        <v>394</v>
      </c>
      <c r="CH437" s="188" t="n">
        <f aca="false" ca="true" dt2D="false" dtr="false" t="normal">SUBTOTAL(9, CI437:CW437)</f>
        <v>8154575.198441521</v>
      </c>
      <c r="CI437" s="114" t="n">
        <v>3126691.49</v>
      </c>
      <c r="CJ437" s="114" t="n">
        <v>1010526.62</v>
      </c>
      <c r="CK437" s="114" t="n"/>
      <c r="CL437" s="114" t="n">
        <v>965070.61</v>
      </c>
      <c r="CM437" s="114" t="n"/>
      <c r="CN437" s="114" t="n"/>
      <c r="CO437" s="114" t="n"/>
      <c r="CP437" s="114" t="n">
        <v>0</v>
      </c>
      <c r="CQ437" s="114" t="n"/>
      <c r="CR437" s="114" t="n">
        <v>0</v>
      </c>
      <c r="CS437" s="114" t="n"/>
      <c r="CT437" s="114" t="n">
        <v>2487164.06</v>
      </c>
      <c r="CU437" s="114" t="n"/>
      <c r="CV437" s="114" t="n"/>
      <c r="CW437" s="115" t="n">
        <v>565122.41844152</v>
      </c>
      <c r="CZ437" s="117" t="s">
        <v>394</v>
      </c>
      <c r="DA437" s="189" t="n">
        <f aca="false" ca="true" dt2D="false" dtr="false" t="normal">SUBTOTAL(9, DB437:DP437)</f>
        <v>7589452.780000001</v>
      </c>
      <c r="DB437" s="114" t="n">
        <v>3126691.49</v>
      </c>
      <c r="DC437" s="114" t="n">
        <v>1010526.62</v>
      </c>
      <c r="DD437" s="114" t="n"/>
      <c r="DE437" s="114" t="n">
        <v>965070.61</v>
      </c>
      <c r="DF437" s="114" t="n"/>
      <c r="DG437" s="114" t="n"/>
      <c r="DH437" s="114" t="n"/>
      <c r="DI437" s="114" t="n">
        <v>0</v>
      </c>
      <c r="DJ437" s="114" t="n"/>
      <c r="DK437" s="114" t="n">
        <v>0</v>
      </c>
      <c r="DL437" s="114" t="n"/>
      <c r="DM437" s="114" t="n">
        <v>2487164.06</v>
      </c>
      <c r="DN437" s="114" t="n"/>
      <c r="DO437" s="114" t="n"/>
      <c r="DP437" s="122" t="n"/>
      <c r="DQ437" s="3" t="n">
        <f aca="false" ca="false" dt2D="false" dtr="false" t="normal">N437-DA437</f>
        <v>0</v>
      </c>
      <c r="DS437" s="9" t="n"/>
    </row>
    <row hidden="false" ht="15" outlineLevel="0" r="438">
      <c r="A438" s="183" t="n">
        <f aca="false" ca="false" dt2D="false" dtr="false" t="normal">+A437+1</f>
        <v>417</v>
      </c>
      <c r="B438" s="117" t="n">
        <v>206</v>
      </c>
      <c r="C438" s="210" t="s">
        <v>200</v>
      </c>
      <c r="D438" s="210" t="s">
        <v>203</v>
      </c>
      <c r="E438" s="209" t="n">
        <v>1969</v>
      </c>
      <c r="F438" s="209" t="n">
        <v>2013</v>
      </c>
      <c r="G438" s="209" t="s">
        <v>68</v>
      </c>
      <c r="H438" s="209" t="n">
        <v>4</v>
      </c>
      <c r="I438" s="209" t="n">
        <v>4</v>
      </c>
      <c r="J438" s="212" t="n">
        <v>3016.9</v>
      </c>
      <c r="K438" s="212" t="n">
        <v>2778.3</v>
      </c>
      <c r="L438" s="212" t="n">
        <v>0</v>
      </c>
      <c r="M438" s="213" t="n">
        <v>148</v>
      </c>
      <c r="N438" s="108" t="n">
        <f aca="false" ca="false" dt2D="false" dtr="false" t="normal">SUM(P438:T438)</f>
        <v>1451159.65</v>
      </c>
      <c r="O438" s="212" t="n"/>
      <c r="P438" s="212" t="n">
        <v>582922.99</v>
      </c>
      <c r="Q438" s="114" t="n"/>
      <c r="R438" s="114" t="n">
        <v>618112.7</v>
      </c>
      <c r="S438" s="114" t="n">
        <v>250123.96</v>
      </c>
      <c r="T438" s="114" t="n"/>
      <c r="U438" s="114" t="n">
        <v>908.503456538171</v>
      </c>
      <c r="V438" s="114" t="n">
        <v>1343.283020064</v>
      </c>
      <c r="W438" s="110" t="n">
        <v>2023</v>
      </c>
      <c r="X438" s="9" t="e">
        <f aca="false" ca="false" dt2D="false" dtr="false" t="normal">+#REF!-'[9]Приложение №1'!$P1451</f>
        <v>#REF!</v>
      </c>
      <c r="Y438" s="1" t="s">
        <v>204</v>
      </c>
      <c r="Z438" s="113" t="n">
        <f aca="false" ca="false" dt2D="false" dtr="false" t="normal">SUM(AA438:AO438)</f>
        <v>43468971.050000004</v>
      </c>
      <c r="AA438" s="106" t="n">
        <v>6634698.56560602</v>
      </c>
      <c r="AB438" s="106" t="n">
        <v>2364215.85959706</v>
      </c>
      <c r="AC438" s="106" t="n">
        <v>2470079.51701938</v>
      </c>
      <c r="AD438" s="106" t="n">
        <v>0</v>
      </c>
      <c r="AE438" s="106" t="n">
        <v>946159.85291436</v>
      </c>
      <c r="AF438" s="106" t="n"/>
      <c r="AG438" s="106" t="n">
        <v>254591.55199296</v>
      </c>
      <c r="AH438" s="106" t="n">
        <v>0</v>
      </c>
      <c r="AI438" s="106" t="n">
        <v>12129238.4675742</v>
      </c>
      <c r="AJ438" s="106" t="n">
        <v>0</v>
      </c>
      <c r="AK438" s="106" t="n">
        <v>6297556.76407788</v>
      </c>
      <c r="AL438" s="106" t="n">
        <v>6792652.12438554</v>
      </c>
      <c r="AM438" s="106" t="n">
        <v>4316528.7305</v>
      </c>
      <c r="AN438" s="114" t="n">
        <v>434689.7105</v>
      </c>
      <c r="AO438" s="115" t="n">
        <v>828559.9058326</v>
      </c>
      <c r="AP438" s="112" t="n">
        <f aca="false" ca="false" dt2D="false" dtr="false" t="normal">+N438-'Приложение №2'!E438</f>
        <v>0</v>
      </c>
      <c r="AQ438" s="9" t="n">
        <f aca="false" ca="false" dt2D="false" dtr="false" t="normal">1456293.05-R136</f>
        <v>608495.8500000001</v>
      </c>
      <c r="AR438" s="3" t="n">
        <f aca="false" ca="false" dt2D="false" dtr="false" t="normal">+(K438*10.5+L438*21)*12*0.85</f>
        <v>297555.93000000005</v>
      </c>
      <c r="AS438" s="3" t="n">
        <f aca="false" ca="false" dt2D="false" dtr="false" t="normal">+(K438*10.5+L438*21)*12*30-7837046.47-R136</f>
        <v>1817130.3300000022</v>
      </c>
      <c r="AT438" s="9" t="n">
        <f aca="false" ca="false" dt2D="false" dtr="false" t="normal">+S438-AS438</f>
        <v>-1567006.3700000022</v>
      </c>
      <c r="AU438" s="9" t="e">
        <f aca="false" ca="false" dt2D="false" dtr="false" t="normal">+P438-'[5]Приложение №1'!$P623</f>
        <v>#REF!</v>
      </c>
      <c r="AV438" s="9" t="e">
        <f aca="false" ca="false" dt2D="false" dtr="false" t="normal">+Q438-'[5]Приложение №1'!$Q623</f>
        <v>#REF!</v>
      </c>
      <c r="AW438" s="186" t="n">
        <f aca="false" ca="true" dt2D="false" dtr="false" t="normal">SUBTOTAL(9, AX438:BL438)</f>
        <v>2524095.1533</v>
      </c>
      <c r="AX438" s="106" t="n"/>
      <c r="AY438" s="106" t="n"/>
      <c r="AZ438" s="106" t="n">
        <v>2470079.51701938</v>
      </c>
      <c r="BA438" s="106" t="n">
        <v>0</v>
      </c>
      <c r="BB438" s="106" t="n"/>
      <c r="BC438" s="106" t="n"/>
      <c r="BD438" s="106" t="n"/>
      <c r="BE438" s="106" t="n"/>
      <c r="BF438" s="106" t="n"/>
      <c r="BG438" s="106" t="n"/>
      <c r="BH438" s="106" t="n"/>
      <c r="BI438" s="106" t="n"/>
      <c r="BJ438" s="106" t="n"/>
      <c r="BK438" s="114" t="n"/>
      <c r="BL438" s="187" t="n">
        <v>54015.63628062</v>
      </c>
      <c r="BM438" s="113" t="n">
        <f aca="false" ca="true" dt2D="false" dtr="false" t="normal">SUBTOTAL(9, BN438:CB438)</f>
        <v>2524095.1533</v>
      </c>
      <c r="BN438" s="106" t="n"/>
      <c r="BO438" s="106" t="n"/>
      <c r="BP438" s="106" t="n">
        <v>2470079.51701938</v>
      </c>
      <c r="BQ438" s="106" t="n">
        <v>0</v>
      </c>
      <c r="BR438" s="106" t="n"/>
      <c r="BS438" s="106" t="n"/>
      <c r="BT438" s="106" t="n"/>
      <c r="BU438" s="106" t="n"/>
      <c r="BV438" s="106" t="n"/>
      <c r="BW438" s="106" t="n"/>
      <c r="BX438" s="106" t="n"/>
      <c r="BY438" s="106" t="n"/>
      <c r="BZ438" s="106" t="n"/>
      <c r="CA438" s="114" t="n"/>
      <c r="CB438" s="115" t="n">
        <v>54015.63628062</v>
      </c>
      <c r="CD438" s="116" t="n">
        <f aca="false" ca="false" dt2D="false" dtr="false" t="normal">+CD437+1</f>
        <v>417</v>
      </c>
      <c r="CE438" s="117" t="n">
        <v>206</v>
      </c>
      <c r="CF438" s="104" t="s">
        <v>200</v>
      </c>
      <c r="CG438" s="117" t="s">
        <v>203</v>
      </c>
      <c r="CH438" s="118" t="n">
        <f aca="false" ca="true" dt2D="false" dtr="false" t="normal">SUBTOTAL(9, CI438:CW438)</f>
        <v>1505175.28628062</v>
      </c>
      <c r="CI438" s="114" t="n"/>
      <c r="CJ438" s="114" t="n"/>
      <c r="CK438" s="114" t="n">
        <v>1451159.65</v>
      </c>
      <c r="CL438" s="114" t="n">
        <v>0</v>
      </c>
      <c r="CM438" s="114" t="n"/>
      <c r="CN438" s="114" t="n"/>
      <c r="CO438" s="114" t="n"/>
      <c r="CP438" s="114" t="n"/>
      <c r="CQ438" s="114" t="n"/>
      <c r="CR438" s="114" t="n"/>
      <c r="CS438" s="114" t="n"/>
      <c r="CT438" s="114" t="n"/>
      <c r="CU438" s="114" t="n"/>
      <c r="CV438" s="114" t="n"/>
      <c r="CW438" s="115" t="n">
        <v>54015.63628062</v>
      </c>
      <c r="CZ438" s="117" t="s">
        <v>203</v>
      </c>
      <c r="DA438" s="119" t="n">
        <f aca="false" ca="true" dt2D="false" dtr="false" t="normal">SUBTOTAL(9, DB438:DP438)</f>
        <v>1451159.65</v>
      </c>
      <c r="DB438" s="114" t="n"/>
      <c r="DC438" s="114" t="n"/>
      <c r="DD438" s="114" t="n">
        <v>1451159.65</v>
      </c>
      <c r="DE438" s="114" t="n">
        <v>0</v>
      </c>
      <c r="DF438" s="114" t="n"/>
      <c r="DG438" s="114" t="n"/>
      <c r="DH438" s="114" t="n"/>
      <c r="DI438" s="114" t="n"/>
      <c r="DJ438" s="114" t="n"/>
      <c r="DK438" s="114" t="n"/>
      <c r="DL438" s="114" t="n"/>
      <c r="DM438" s="114" t="n"/>
      <c r="DN438" s="114" t="n"/>
      <c r="DO438" s="114" t="n"/>
      <c r="DP438" s="122" t="n"/>
      <c r="DQ438" s="3" t="n">
        <f aca="false" ca="false" dt2D="false" dtr="false" t="normal">N438-DA438</f>
        <v>0</v>
      </c>
      <c r="DS438" s="9" t="n"/>
    </row>
    <row hidden="false" ht="15" outlineLevel="0" r="439">
      <c r="A439" s="183" t="n">
        <f aca="false" ca="false" dt2D="false" dtr="false" t="normal">+A438+1</f>
        <v>418</v>
      </c>
      <c r="B439" s="117" t="n">
        <f aca="false" ca="false" dt2D="false" dtr="false" t="normal">+B438+1</f>
        <v>207</v>
      </c>
      <c r="C439" s="210" t="s">
        <v>200</v>
      </c>
      <c r="D439" s="210" t="s">
        <v>206</v>
      </c>
      <c r="E439" s="209" t="n">
        <v>1962</v>
      </c>
      <c r="F439" s="209" t="n">
        <v>1962</v>
      </c>
      <c r="G439" s="209" t="s">
        <v>68</v>
      </c>
      <c r="H439" s="209" t="n">
        <v>2</v>
      </c>
      <c r="I439" s="209" t="n">
        <v>1</v>
      </c>
      <c r="J439" s="212" t="n">
        <v>618.7</v>
      </c>
      <c r="K439" s="212" t="n">
        <v>460.5</v>
      </c>
      <c r="L439" s="212" t="n">
        <v>0</v>
      </c>
      <c r="M439" s="213" t="n">
        <v>45</v>
      </c>
      <c r="N439" s="108" t="n">
        <f aca="false" ca="false" dt2D="false" dtr="false" t="normal">SUM(P439:T439)</f>
        <v>536702.36</v>
      </c>
      <c r="O439" s="212" t="n"/>
      <c r="P439" s="212" t="n">
        <v>0</v>
      </c>
      <c r="Q439" s="114" t="n"/>
      <c r="R439" s="114" t="n">
        <v>0</v>
      </c>
      <c r="S439" s="3" t="n">
        <v>536702.36</v>
      </c>
      <c r="T439" s="114" t="n"/>
      <c r="U439" s="114" t="n">
        <v>912.775148317047</v>
      </c>
      <c r="V439" s="114" t="n">
        <v>1344.283020064</v>
      </c>
      <c r="W439" s="110" t="n">
        <v>2023</v>
      </c>
      <c r="X439" s="9" t="e">
        <f aca="false" ca="false" dt2D="false" dtr="false" t="normal">+#REF!-'[9]Приложение №1'!$P977</f>
        <v>#REF!</v>
      </c>
      <c r="Z439" s="113" t="n">
        <f aca="false" ca="false" dt2D="false" dtr="false" t="normal">SUM(AA439:AO439)</f>
        <v>6521557.450000001</v>
      </c>
      <c r="AA439" s="106" t="n">
        <v>0</v>
      </c>
      <c r="AB439" s="106" t="n">
        <v>875995.49980992</v>
      </c>
      <c r="AC439" s="106" t="n">
        <v>411337.83054588</v>
      </c>
      <c r="AD439" s="106" t="n">
        <v>350714.74954488</v>
      </c>
      <c r="AE439" s="106" t="n">
        <v>0</v>
      </c>
      <c r="AF439" s="106" t="n"/>
      <c r="AG439" s="106" t="n">
        <v>0</v>
      </c>
      <c r="AH439" s="106" t="n">
        <v>0</v>
      </c>
      <c r="AI439" s="106" t="n">
        <v>4074971.6952378</v>
      </c>
      <c r="AJ439" s="106" t="n">
        <v>0</v>
      </c>
      <c r="AK439" s="106" t="n">
        <v>0</v>
      </c>
      <c r="AL439" s="106" t="n">
        <v>0</v>
      </c>
      <c r="AM439" s="106" t="n">
        <v>618389.9287</v>
      </c>
      <c r="AN439" s="114" t="n">
        <v>65215.5745</v>
      </c>
      <c r="AO439" s="115" t="n">
        <v>124932.17166152</v>
      </c>
      <c r="AP439" s="112" t="n">
        <f aca="false" ca="false" dt2D="false" dtr="false" t="normal">+N439-'Приложение №2'!E439</f>
        <v>0</v>
      </c>
      <c r="AQ439" s="9" t="n">
        <f aca="false" ca="false" dt2D="false" dtr="false" t="normal">248516.58-R138</f>
        <v>-4385.170000000013</v>
      </c>
      <c r="AR439" s="3" t="n">
        <f aca="false" ca="false" dt2D="false" dtr="false" t="normal">+(K439*10.5+L439*21)*12*0.85</f>
        <v>49319.549999999996</v>
      </c>
      <c r="AS439" s="3" t="n">
        <f aca="false" ca="false" dt2D="false" dtr="false" t="normal">+(K439*10.5+L439*21)*12*30-R138</f>
        <v>1487788.25</v>
      </c>
      <c r="AT439" s="9" t="n">
        <f aca="false" ca="false" dt2D="false" dtr="false" t="normal">+S439-AS439</f>
        <v>-951085.89</v>
      </c>
      <c r="AU439" s="9" t="e">
        <f aca="false" ca="false" dt2D="false" dtr="false" t="normal">+P439-'[5]Приложение №1'!$P624</f>
        <v>#REF!</v>
      </c>
      <c r="AV439" s="9" t="e">
        <f aca="false" ca="false" dt2D="false" dtr="false" t="normal">+Q439-'[5]Приложение №1'!$Q624</f>
        <v>#REF!</v>
      </c>
      <c r="AW439" s="186" t="n">
        <f aca="false" ca="true" dt2D="false" dtr="false" t="normal">SUBTOTAL(9, AX439:BL439)</f>
        <v>420332.9558</v>
      </c>
      <c r="AX439" s="106" t="n">
        <v>0</v>
      </c>
      <c r="AY439" s="106" t="n"/>
      <c r="AZ439" s="106" t="n">
        <v>411337.83054588</v>
      </c>
      <c r="BA439" s="106" t="n"/>
      <c r="BB439" s="106" t="n">
        <v>0</v>
      </c>
      <c r="BC439" s="106" t="n"/>
      <c r="BD439" s="106" t="n"/>
      <c r="BE439" s="106" t="n">
        <v>0</v>
      </c>
      <c r="BF439" s="106" t="n"/>
      <c r="BG439" s="106" t="n">
        <v>0</v>
      </c>
      <c r="BH439" s="106" t="n">
        <v>0</v>
      </c>
      <c r="BI439" s="106" t="n">
        <v>0</v>
      </c>
      <c r="BJ439" s="106" t="n"/>
      <c r="BK439" s="114" t="n"/>
      <c r="BL439" s="187" t="n">
        <v>8995.12525412</v>
      </c>
      <c r="BM439" s="113" t="n">
        <f aca="false" ca="true" dt2D="false" dtr="false" t="normal">SUBTOTAL(9, BN439:CB439)</f>
        <v>420332.9558</v>
      </c>
      <c r="BN439" s="106" t="n">
        <v>0</v>
      </c>
      <c r="BO439" s="106" t="n"/>
      <c r="BP439" s="106" t="n">
        <v>411337.83054588</v>
      </c>
      <c r="BQ439" s="106" t="n"/>
      <c r="BR439" s="106" t="n">
        <v>0</v>
      </c>
      <c r="BS439" s="106" t="n"/>
      <c r="BT439" s="106" t="n"/>
      <c r="BU439" s="106" t="n">
        <v>0</v>
      </c>
      <c r="BV439" s="106" t="n"/>
      <c r="BW439" s="106" t="n">
        <v>0</v>
      </c>
      <c r="BX439" s="106" t="n">
        <v>0</v>
      </c>
      <c r="BY439" s="106" t="n">
        <v>0</v>
      </c>
      <c r="BZ439" s="106" t="n"/>
      <c r="CA439" s="114" t="n"/>
      <c r="CB439" s="115" t="n">
        <v>8995.12525412</v>
      </c>
      <c r="CD439" s="116" t="n">
        <f aca="false" ca="false" dt2D="false" dtr="false" t="normal">+CD438+1</f>
        <v>418</v>
      </c>
      <c r="CE439" s="117" t="n">
        <f aca="false" ca="false" dt2D="false" dtr="false" t="normal">+CE438+1</f>
        <v>207</v>
      </c>
      <c r="CF439" s="104" t="s">
        <v>200</v>
      </c>
      <c r="CG439" s="117" t="s">
        <v>206</v>
      </c>
      <c r="CH439" s="118" t="n">
        <f aca="false" ca="true" dt2D="false" dtr="false" t="normal">SUBTOTAL(9, CI439:CW439)</f>
        <v>545697.48525412</v>
      </c>
      <c r="CI439" s="114" t="n">
        <v>0</v>
      </c>
      <c r="CJ439" s="114" t="n"/>
      <c r="CK439" s="114" t="n">
        <v>536702.36</v>
      </c>
      <c r="CL439" s="114" t="n"/>
      <c r="CM439" s="114" t="n">
        <v>0</v>
      </c>
      <c r="CN439" s="114" t="n"/>
      <c r="CO439" s="114" t="n"/>
      <c r="CP439" s="114" t="n">
        <v>0</v>
      </c>
      <c r="CQ439" s="114" t="n"/>
      <c r="CR439" s="114" t="n">
        <v>0</v>
      </c>
      <c r="CS439" s="114" t="n">
        <v>0</v>
      </c>
      <c r="CT439" s="114" t="n">
        <v>0</v>
      </c>
      <c r="CU439" s="114" t="n"/>
      <c r="CV439" s="114" t="n"/>
      <c r="CW439" s="115" t="n">
        <v>8995.12525412</v>
      </c>
      <c r="CZ439" s="117" t="s">
        <v>206</v>
      </c>
      <c r="DA439" s="119" t="n">
        <f aca="false" ca="true" dt2D="false" dtr="false" t="normal">SUBTOTAL(9, DB439:DP439)</f>
        <v>536702.36</v>
      </c>
      <c r="DB439" s="114" t="n">
        <v>0</v>
      </c>
      <c r="DC439" s="114" t="n"/>
      <c r="DD439" s="114" t="n">
        <v>536702.36</v>
      </c>
      <c r="DE439" s="114" t="n"/>
      <c r="DF439" s="114" t="n">
        <v>0</v>
      </c>
      <c r="DG439" s="114" t="n"/>
      <c r="DH439" s="114" t="n"/>
      <c r="DI439" s="114" t="n">
        <v>0</v>
      </c>
      <c r="DJ439" s="114" t="n"/>
      <c r="DK439" s="114" t="n">
        <v>0</v>
      </c>
      <c r="DL439" s="114" t="n">
        <v>0</v>
      </c>
      <c r="DM439" s="114" t="n">
        <v>0</v>
      </c>
      <c r="DN439" s="114" t="n"/>
      <c r="DO439" s="114" t="n"/>
      <c r="DP439" s="122" t="n"/>
      <c r="DQ439" s="3" t="n">
        <f aca="false" ca="false" dt2D="false" dtr="false" t="normal">N439-DA439</f>
        <v>0</v>
      </c>
      <c r="DS439" s="9" t="n"/>
    </row>
    <row hidden="false" ht="15" outlineLevel="0" r="440">
      <c r="A440" s="183" t="n">
        <f aca="false" ca="false" dt2D="false" dtr="false" t="normal">+A439+1</f>
        <v>419</v>
      </c>
      <c r="B440" s="117" t="n">
        <f aca="false" ca="false" dt2D="false" dtr="false" t="normal">+B439+1</f>
        <v>208</v>
      </c>
      <c r="C440" s="210" t="s">
        <v>396</v>
      </c>
      <c r="D440" s="210" t="s">
        <v>486</v>
      </c>
      <c r="E440" s="209" t="s">
        <v>487</v>
      </c>
      <c r="F440" s="209" t="n"/>
      <c r="G440" s="209" t="s">
        <v>68</v>
      </c>
      <c r="H440" s="209" t="s">
        <v>105</v>
      </c>
      <c r="I440" s="209" t="s">
        <v>105</v>
      </c>
      <c r="J440" s="210" t="n">
        <v>706.48</v>
      </c>
      <c r="K440" s="210" t="n">
        <v>667.89</v>
      </c>
      <c r="L440" s="210" t="n">
        <v>0</v>
      </c>
      <c r="M440" s="210" t="n">
        <v>23</v>
      </c>
      <c r="N440" s="108" t="n">
        <f aca="false" ca="false" dt2D="false" dtr="false" t="normal">SUM(P440:T440)</f>
        <v>5183657.059999997</v>
      </c>
      <c r="O440" s="210" t="n"/>
      <c r="P440" s="106" t="n">
        <v>1791115.96</v>
      </c>
      <c r="Q440" s="114" t="n">
        <v>507855.56</v>
      </c>
      <c r="R440" s="114" t="n">
        <v>480261.088486067</v>
      </c>
      <c r="S440" s="114" t="n">
        <v>2404424.45151393</v>
      </c>
      <c r="T440" s="13" t="n"/>
      <c r="U440" s="114" t="n">
        <v>8421.7620819582</v>
      </c>
      <c r="V440" s="114" t="n">
        <v>8421.7620819582</v>
      </c>
      <c r="W440" s="110" t="n">
        <v>2023</v>
      </c>
      <c r="X440" s="9" t="n"/>
      <c r="Z440" s="113" t="n"/>
      <c r="AA440" s="106" t="n"/>
      <c r="AB440" s="106" t="n"/>
      <c r="AC440" s="106" t="n"/>
      <c r="AD440" s="106" t="n"/>
      <c r="AE440" s="106" t="n"/>
      <c r="AF440" s="106" t="n"/>
      <c r="AG440" s="106" t="n"/>
      <c r="AH440" s="106" t="n"/>
      <c r="AI440" s="106" t="n"/>
      <c r="AJ440" s="106" t="n"/>
      <c r="AK440" s="106" t="n"/>
      <c r="AL440" s="106" t="n"/>
      <c r="AM440" s="106" t="n"/>
      <c r="AN440" s="114" t="n"/>
      <c r="AO440" s="115" t="n"/>
      <c r="AP440" s="112" t="n"/>
      <c r="AQ440" s="1" t="n">
        <v>381479.63</v>
      </c>
      <c r="AR440" s="3" t="n">
        <v>71531.019</v>
      </c>
      <c r="AS440" s="3" t="n">
        <v>2524624.2</v>
      </c>
      <c r="AT440" s="9" t="n">
        <f aca="false" ca="false" dt2D="false" dtr="false" t="normal">+S440-AS440</f>
        <v>-120199.74848606996</v>
      </c>
      <c r="AW440" s="113" t="n">
        <f aca="false" ca="false" dt2D="false" dtr="false" t="normal">SUM(AX440:BL440)</f>
        <v>5624810.676919058</v>
      </c>
      <c r="BH440" s="106" t="n">
        <v>5496610.92843299</v>
      </c>
      <c r="BJ440" s="106" t="n"/>
      <c r="BK440" s="114" t="n">
        <v>8000</v>
      </c>
      <c r="BL440" s="187" t="n">
        <v>120199.748486068</v>
      </c>
      <c r="BM440" s="113" t="n">
        <f aca="false" ca="false" dt2D="false" dtr="false" t="normal">SUM(BN440:CB440)</f>
        <v>5624810.676919058</v>
      </c>
      <c r="BN440" s="104" t="n"/>
      <c r="BO440" s="104" t="n"/>
      <c r="BP440" s="104" t="n"/>
      <c r="BQ440" s="104" t="n"/>
      <c r="BR440" s="104" t="n"/>
      <c r="BS440" s="104" t="n"/>
      <c r="BT440" s="104" t="n"/>
      <c r="BU440" s="104" t="n"/>
      <c r="BV440" s="104" t="n"/>
      <c r="BW440" s="104" t="n"/>
      <c r="BX440" s="106" t="n">
        <v>5496610.92843299</v>
      </c>
      <c r="BY440" s="104" t="n"/>
      <c r="BZ440" s="106" t="n"/>
      <c r="CA440" s="114" t="n">
        <v>8000</v>
      </c>
      <c r="CB440" s="115" t="n">
        <v>120199.748486068</v>
      </c>
      <c r="CD440" s="116" t="n">
        <f aca="false" ca="false" dt2D="false" dtr="false" t="normal">+CD439+1</f>
        <v>419</v>
      </c>
      <c r="CE440" s="117" t="n">
        <v>208</v>
      </c>
      <c r="CF440" s="104" t="s">
        <v>396</v>
      </c>
      <c r="CG440" s="117" t="s">
        <v>486</v>
      </c>
      <c r="CH440" s="118" t="n">
        <f aca="false" ca="false" dt2D="false" dtr="false" t="normal">SUM(CI440:CW440)</f>
        <v>5303856.808486068</v>
      </c>
      <c r="CI440" s="117" t="n"/>
      <c r="CJ440" s="114" t="n"/>
      <c r="CK440" s="114" t="n"/>
      <c r="CL440" s="114" t="n"/>
      <c r="CM440" s="114" t="n"/>
      <c r="CN440" s="114" t="n"/>
      <c r="CO440" s="114" t="n"/>
      <c r="CP440" s="114" t="n"/>
      <c r="CQ440" s="114" t="n"/>
      <c r="CR440" s="114" t="n"/>
      <c r="CS440" s="114" t="n">
        <v>5178857.06</v>
      </c>
      <c r="CT440" s="114" t="n"/>
      <c r="CU440" s="114" t="n"/>
      <c r="CV440" s="114" t="n">
        <v>4800</v>
      </c>
      <c r="CW440" s="115" t="n">
        <v>120199.748486068</v>
      </c>
      <c r="CZ440" s="117" t="s">
        <v>486</v>
      </c>
      <c r="DA440" s="119" t="n">
        <f aca="false" ca="false" dt2D="false" dtr="false" t="normal">SUM(DB440:DP440)</f>
        <v>5183657.06</v>
      </c>
      <c r="DB440" s="117" t="n"/>
      <c r="DC440" s="114" t="n"/>
      <c r="DD440" s="114" t="n"/>
      <c r="DE440" s="114" t="n"/>
      <c r="DF440" s="114" t="n"/>
      <c r="DG440" s="114" t="n"/>
      <c r="DH440" s="114" t="n"/>
      <c r="DI440" s="114" t="n"/>
      <c r="DJ440" s="114" t="n"/>
      <c r="DK440" s="114" t="n"/>
      <c r="DL440" s="114" t="n">
        <v>5178857.06</v>
      </c>
      <c r="DM440" s="114" t="n"/>
      <c r="DN440" s="114" t="n"/>
      <c r="DO440" s="114" t="n">
        <v>4800</v>
      </c>
      <c r="DP440" s="122" t="n"/>
      <c r="DQ440" s="3" t="n">
        <f aca="false" ca="false" dt2D="false" dtr="false" t="normal">N440-DA440</f>
        <v>0</v>
      </c>
      <c r="DS440" s="9" t="n"/>
    </row>
    <row hidden="false" ht="15" outlineLevel="0" r="441">
      <c r="A441" s="183" t="n">
        <f aca="false" ca="false" dt2D="false" dtr="false" t="normal">+A440+1</f>
        <v>420</v>
      </c>
      <c r="B441" s="117" t="n">
        <f aca="false" ca="false" dt2D="false" dtr="false" t="normal">+B440+1</f>
        <v>209</v>
      </c>
      <c r="C441" s="210" t="s">
        <v>396</v>
      </c>
      <c r="D441" s="210" t="s">
        <v>488</v>
      </c>
      <c r="E441" s="209" t="s">
        <v>487</v>
      </c>
      <c r="F441" s="209" t="n"/>
      <c r="G441" s="209" t="s">
        <v>68</v>
      </c>
      <c r="H441" s="209" t="s">
        <v>105</v>
      </c>
      <c r="I441" s="209" t="s">
        <v>105</v>
      </c>
      <c r="J441" s="210" t="n">
        <v>685.95</v>
      </c>
      <c r="K441" s="210" t="n">
        <v>641.14</v>
      </c>
      <c r="L441" s="210" t="n">
        <v>0</v>
      </c>
      <c r="M441" s="210" t="n">
        <v>27</v>
      </c>
      <c r="N441" s="108" t="n">
        <f aca="false" ca="false" dt2D="false" dtr="false" t="normal">SUM(P441:T441)</f>
        <v>4752736.23</v>
      </c>
      <c r="O441" s="210" t="n"/>
      <c r="P441" s="106" t="n">
        <v>1430686.83</v>
      </c>
      <c r="Q441" s="114" t="n">
        <v>507855.56</v>
      </c>
      <c r="R441" s="114" t="n">
        <v>506070.20759999</v>
      </c>
      <c r="S441" s="114" t="n">
        <v>2308123.63240001</v>
      </c>
      <c r="T441" s="13" t="n"/>
      <c r="U441" s="114" t="n">
        <v>8422.26183559063</v>
      </c>
      <c r="V441" s="114" t="n">
        <v>8422.26183559063</v>
      </c>
      <c r="W441" s="110" t="n">
        <v>2023</v>
      </c>
      <c r="X441" s="9" t="n"/>
      <c r="Z441" s="113" t="n"/>
      <c r="AA441" s="106" t="n"/>
      <c r="AB441" s="106" t="n"/>
      <c r="AC441" s="106" t="n"/>
      <c r="AD441" s="106" t="n"/>
      <c r="AE441" s="106" t="n"/>
      <c r="AF441" s="106" t="n"/>
      <c r="AG441" s="106" t="n"/>
      <c r="AH441" s="106" t="n"/>
      <c r="AI441" s="106" t="n"/>
      <c r="AJ441" s="106" t="n"/>
      <c r="AK441" s="106" t="n"/>
      <c r="AL441" s="106" t="n"/>
      <c r="AM441" s="106" t="n"/>
      <c r="AN441" s="114" t="n"/>
      <c r="AO441" s="115" t="n"/>
      <c r="AP441" s="112" t="n"/>
      <c r="AQ441" s="1" t="n">
        <v>374519.63</v>
      </c>
      <c r="AR441" s="3" t="n">
        <v>68666.094</v>
      </c>
      <c r="AS441" s="3" t="n">
        <v>2423509.2</v>
      </c>
      <c r="AT441" s="9" t="n">
        <f aca="false" ca="false" dt2D="false" dtr="false" t="normal">+S441-AS441</f>
        <v>-115385.5675999904</v>
      </c>
      <c r="AW441" s="113" t="n">
        <f aca="false" ca="false" dt2D="false" dtr="false" t="normal">SUM(AX441:BL441)</f>
        <v>5399848.953270581</v>
      </c>
      <c r="BH441" s="106" t="n">
        <v>5276463.38567059</v>
      </c>
      <c r="BJ441" s="106" t="n"/>
      <c r="BK441" s="114" t="n">
        <v>8000</v>
      </c>
      <c r="BL441" s="187" t="n">
        <v>115385.56759999</v>
      </c>
      <c r="BM441" s="113" t="n">
        <f aca="false" ca="false" dt2D="false" dtr="false" t="normal">SUM(BN441:CB441)</f>
        <v>5399848.953270581</v>
      </c>
      <c r="BN441" s="104" t="n"/>
      <c r="BO441" s="104" t="n"/>
      <c r="BP441" s="104" t="n"/>
      <c r="BQ441" s="104" t="n"/>
      <c r="BR441" s="104" t="n"/>
      <c r="BS441" s="104" t="n"/>
      <c r="BT441" s="104" t="n"/>
      <c r="BU441" s="104" t="n"/>
      <c r="BV441" s="104" t="n"/>
      <c r="BW441" s="104" t="n"/>
      <c r="BX441" s="106" t="n">
        <v>5276463.38567059</v>
      </c>
      <c r="BY441" s="104" t="n"/>
      <c r="BZ441" s="106" t="n"/>
      <c r="CA441" s="114" t="n">
        <v>8000</v>
      </c>
      <c r="CB441" s="115" t="n">
        <v>115385.56759999</v>
      </c>
      <c r="CD441" s="116" t="n">
        <f aca="false" ca="false" dt2D="false" dtr="false" t="normal">+CD440+1</f>
        <v>420</v>
      </c>
      <c r="CE441" s="117" t="n">
        <f aca="false" ca="false" dt2D="false" dtr="false" t="normal">+CE440+1</f>
        <v>209</v>
      </c>
      <c r="CF441" s="104" t="s">
        <v>396</v>
      </c>
      <c r="CG441" s="117" t="s">
        <v>488</v>
      </c>
      <c r="CH441" s="118" t="n">
        <f aca="false" ca="false" dt2D="false" dtr="false" t="normal">SUM(CI441:CW441)</f>
        <v>4868121.797599991</v>
      </c>
      <c r="CI441" s="117" t="n"/>
      <c r="CJ441" s="114" t="n"/>
      <c r="CK441" s="114" t="n"/>
      <c r="CL441" s="114" t="n"/>
      <c r="CM441" s="114" t="n"/>
      <c r="CN441" s="114" t="n"/>
      <c r="CO441" s="114" t="n"/>
      <c r="CP441" s="114" t="n"/>
      <c r="CQ441" s="114" t="n"/>
      <c r="CR441" s="114" t="n"/>
      <c r="CS441" s="114" t="n">
        <v>4728736.23</v>
      </c>
      <c r="CT441" s="114" t="n"/>
      <c r="CU441" s="114" t="n"/>
      <c r="CV441" s="114" t="n">
        <v>24000</v>
      </c>
      <c r="CW441" s="115" t="n">
        <v>115385.56759999</v>
      </c>
      <c r="CZ441" s="117" t="s">
        <v>488</v>
      </c>
      <c r="DA441" s="119" t="n">
        <f aca="false" ca="false" dt2D="false" dtr="false" t="normal">SUM(DB441:DP441)</f>
        <v>4752736.23</v>
      </c>
      <c r="DB441" s="117" t="n"/>
      <c r="DC441" s="114" t="n"/>
      <c r="DD441" s="114" t="n"/>
      <c r="DE441" s="114" t="n"/>
      <c r="DF441" s="114" t="n"/>
      <c r="DG441" s="114" t="n"/>
      <c r="DH441" s="114" t="n"/>
      <c r="DI441" s="114" t="n"/>
      <c r="DJ441" s="114" t="n"/>
      <c r="DK441" s="114" t="n"/>
      <c r="DL441" s="114" t="n">
        <v>4728736.23</v>
      </c>
      <c r="DM441" s="114" t="n"/>
      <c r="DN441" s="114" t="n"/>
      <c r="DO441" s="114" t="n">
        <v>24000</v>
      </c>
      <c r="DP441" s="122" t="n"/>
      <c r="DQ441" s="3" t="n">
        <f aca="false" ca="false" dt2D="false" dtr="false" t="normal">N441-DA441</f>
        <v>0</v>
      </c>
      <c r="DS441" s="9" t="n"/>
    </row>
    <row hidden="false" ht="15" outlineLevel="0" r="442">
      <c r="A442" s="183" t="n">
        <f aca="false" ca="false" dt2D="false" dtr="false" t="normal">+A441+1</f>
        <v>421</v>
      </c>
      <c r="B442" s="117" t="n">
        <f aca="false" ca="false" dt2D="false" dtr="false" t="normal">+B441+1</f>
        <v>210</v>
      </c>
      <c r="C442" s="210" t="s">
        <v>396</v>
      </c>
      <c r="D442" s="210" t="s">
        <v>489</v>
      </c>
      <c r="E442" s="209" t="s">
        <v>490</v>
      </c>
      <c r="F442" s="209" t="n"/>
      <c r="G442" s="209" t="s">
        <v>68</v>
      </c>
      <c r="H442" s="209" t="s">
        <v>105</v>
      </c>
      <c r="I442" s="209" t="s">
        <v>105</v>
      </c>
      <c r="J442" s="210" t="n">
        <v>785.98</v>
      </c>
      <c r="K442" s="210" t="n">
        <v>722.6</v>
      </c>
      <c r="L442" s="210" t="n">
        <v>0</v>
      </c>
      <c r="M442" s="210" t="n">
        <v>29</v>
      </c>
      <c r="N442" s="108" t="n">
        <f aca="false" ca="false" dt2D="false" dtr="false" t="normal">SUM(P442:T442)</f>
        <v>4847207.980000004</v>
      </c>
      <c r="O442" s="210" t="n"/>
      <c r="P442" s="106" t="n">
        <v>1189850.69</v>
      </c>
      <c r="Q442" s="114" t="n">
        <v>507855.56</v>
      </c>
      <c r="R442" s="114" t="n">
        <v>548119.603206714</v>
      </c>
      <c r="S442" s="114" t="n">
        <v>2601382.12679329</v>
      </c>
      <c r="T442" s="13" t="n"/>
      <c r="U442" s="114" t="n">
        <v>8420.85519364876</v>
      </c>
      <c r="V442" s="114" t="n">
        <v>8420.85519364876</v>
      </c>
      <c r="W442" s="110" t="n">
        <v>2023</v>
      </c>
      <c r="X442" s="9" t="n"/>
      <c r="Z442" s="113" t="n"/>
      <c r="AA442" s="106" t="n"/>
      <c r="AB442" s="106" t="n"/>
      <c r="AC442" s="106" t="n"/>
      <c r="AD442" s="106" t="n"/>
      <c r="AE442" s="106" t="n"/>
      <c r="AF442" s="106" t="n"/>
      <c r="AG442" s="106" t="n"/>
      <c r="AH442" s="106" t="n"/>
      <c r="AI442" s="106" t="n"/>
      <c r="AJ442" s="106" t="n"/>
      <c r="AK442" s="106" t="n"/>
      <c r="AL442" s="106" t="n"/>
      <c r="AM442" s="106" t="n"/>
      <c r="AN442" s="114" t="n"/>
      <c r="AO442" s="115" t="n"/>
      <c r="AP442" s="112" t="n"/>
      <c r="AQ442" s="1" t="n">
        <v>408593.99</v>
      </c>
      <c r="AR442" s="3" t="n">
        <v>77390.46</v>
      </c>
      <c r="AS442" s="3" t="n">
        <v>2731428</v>
      </c>
      <c r="AT442" s="9" t="n">
        <f aca="false" ca="false" dt2D="false" dtr="false" t="normal">+S442-AS442</f>
        <v>-130045.87320670998</v>
      </c>
      <c r="AW442" s="113" t="n">
        <f aca="false" ca="false" dt2D="false" dtr="false" t="normal">SUM(AX442:BL442)</f>
        <v>6084909.9629305955</v>
      </c>
      <c r="BH442" s="106" t="n">
        <v>5946864.08972388</v>
      </c>
      <c r="BJ442" s="106" t="n"/>
      <c r="BK442" s="114" t="n">
        <v>8000</v>
      </c>
      <c r="BL442" s="187" t="n">
        <v>130045.873206715</v>
      </c>
      <c r="BM442" s="113" t="n">
        <f aca="false" ca="false" dt2D="false" dtr="false" t="normal">SUM(BN442:CB442)</f>
        <v>6084909.9629305955</v>
      </c>
      <c r="BN442" s="104" t="n"/>
      <c r="BO442" s="104" t="n"/>
      <c r="BP442" s="104" t="n"/>
      <c r="BQ442" s="104" t="n"/>
      <c r="BR442" s="104" t="n"/>
      <c r="BS442" s="104" t="n"/>
      <c r="BT442" s="104" t="n"/>
      <c r="BU442" s="104" t="n"/>
      <c r="BV442" s="104" t="n"/>
      <c r="BW442" s="104" t="n"/>
      <c r="BX442" s="106" t="n">
        <v>5946864.08972388</v>
      </c>
      <c r="BY442" s="104" t="n"/>
      <c r="BZ442" s="106" t="n"/>
      <c r="CA442" s="114" t="n">
        <v>8000</v>
      </c>
      <c r="CB442" s="115" t="n">
        <v>130045.873206715</v>
      </c>
      <c r="CD442" s="116" t="n">
        <f aca="false" ca="false" dt2D="false" dtr="false" t="normal">+CD441+1</f>
        <v>421</v>
      </c>
      <c r="CE442" s="117" t="n">
        <f aca="false" ca="false" dt2D="false" dtr="false" t="normal">+CE441+1</f>
        <v>210</v>
      </c>
      <c r="CF442" s="104" t="s">
        <v>396</v>
      </c>
      <c r="CG442" s="117" t="s">
        <v>489</v>
      </c>
      <c r="CH442" s="118" t="n">
        <f aca="false" ca="false" dt2D="false" dtr="false" t="normal">SUM(CI442:CW442)</f>
        <v>4977253.853206716</v>
      </c>
      <c r="CI442" s="117" t="n"/>
      <c r="CJ442" s="114" t="n"/>
      <c r="CK442" s="114" t="n"/>
      <c r="CL442" s="114" t="n"/>
      <c r="CM442" s="114" t="n"/>
      <c r="CN442" s="114" t="n"/>
      <c r="CO442" s="114" t="n"/>
      <c r="CP442" s="114" t="n"/>
      <c r="CQ442" s="114" t="n"/>
      <c r="CR442" s="114" t="n"/>
      <c r="CS442" s="114" t="n">
        <v>4842407.98</v>
      </c>
      <c r="CT442" s="114" t="n"/>
      <c r="CU442" s="114" t="n"/>
      <c r="CV442" s="114" t="n">
        <v>4800</v>
      </c>
      <c r="CW442" s="115" t="n">
        <v>130045.873206715</v>
      </c>
      <c r="CZ442" s="117" t="s">
        <v>489</v>
      </c>
      <c r="DA442" s="119" t="n">
        <f aca="false" ca="false" dt2D="false" dtr="false" t="normal">SUM(DB442:DP442)</f>
        <v>4847207.98</v>
      </c>
      <c r="DB442" s="117" t="n"/>
      <c r="DC442" s="114" t="n"/>
      <c r="DD442" s="114" t="n"/>
      <c r="DE442" s="114" t="n"/>
      <c r="DF442" s="114" t="n"/>
      <c r="DG442" s="114" t="n"/>
      <c r="DH442" s="114" t="n"/>
      <c r="DI442" s="114" t="n"/>
      <c r="DJ442" s="114" t="n"/>
      <c r="DK442" s="114" t="n"/>
      <c r="DL442" s="114" t="n">
        <v>4842407.98</v>
      </c>
      <c r="DM442" s="114" t="n"/>
      <c r="DN442" s="114" t="n"/>
      <c r="DO442" s="114" t="n">
        <v>4800</v>
      </c>
      <c r="DP442" s="122" t="n"/>
      <c r="DQ442" s="3" t="n">
        <f aca="false" ca="false" dt2D="false" dtr="false" t="normal">N442-DA442</f>
        <v>0</v>
      </c>
      <c r="DS442" s="9" t="n"/>
    </row>
    <row hidden="false" ht="15" outlineLevel="0" r="443">
      <c r="A443" s="183" t="n">
        <f aca="false" ca="false" dt2D="false" dtr="false" t="normal">+A442+1</f>
        <v>422</v>
      </c>
      <c r="B443" s="117" t="n">
        <f aca="false" ca="false" dt2D="false" dtr="false" t="normal">+B442+1</f>
        <v>211</v>
      </c>
      <c r="C443" s="210" t="s">
        <v>396</v>
      </c>
      <c r="D443" s="210" t="s">
        <v>491</v>
      </c>
      <c r="E443" s="209" t="s">
        <v>490</v>
      </c>
      <c r="F443" s="209" t="n"/>
      <c r="G443" s="209" t="s">
        <v>68</v>
      </c>
      <c r="H443" s="209" t="s">
        <v>105</v>
      </c>
      <c r="I443" s="209" t="s">
        <v>105</v>
      </c>
      <c r="J443" s="210" t="n">
        <v>691.94</v>
      </c>
      <c r="K443" s="210" t="n">
        <v>653.61</v>
      </c>
      <c r="L443" s="210" t="n">
        <v>0</v>
      </c>
      <c r="M443" s="210" t="n">
        <v>26</v>
      </c>
      <c r="N443" s="108" t="n">
        <f aca="false" ca="false" dt2D="false" dtr="false" t="normal">SUM(P443:T443)</f>
        <v>4753460.039999997</v>
      </c>
      <c r="O443" s="210" t="n"/>
      <c r="P443" s="106" t="n">
        <v>1369860.41</v>
      </c>
      <c r="Q443" s="114" t="n">
        <v>507855.56</v>
      </c>
      <c r="R443" s="114" t="n">
        <v>579238.635755107</v>
      </c>
      <c r="S443" s="114" t="n">
        <v>2296505.43424489</v>
      </c>
      <c r="T443" s="13" t="n"/>
      <c r="U443" s="114" t="n">
        <v>8422.02377644015</v>
      </c>
      <c r="V443" s="114" t="n">
        <v>8422.02377644015</v>
      </c>
      <c r="W443" s="110" t="n">
        <v>2023</v>
      </c>
      <c r="X443" s="9" t="n"/>
      <c r="Z443" s="113" t="n"/>
      <c r="AA443" s="106" t="n"/>
      <c r="AB443" s="106" t="n"/>
      <c r="AC443" s="106" t="n"/>
      <c r="AD443" s="106" t="n"/>
      <c r="AE443" s="106" t="n"/>
      <c r="AF443" s="106" t="n"/>
      <c r="AG443" s="106" t="n"/>
      <c r="AH443" s="106" t="n"/>
      <c r="AI443" s="106" t="n"/>
      <c r="AJ443" s="106" t="n"/>
      <c r="AK443" s="106" t="n"/>
      <c r="AL443" s="106" t="n"/>
      <c r="AM443" s="106" t="n"/>
      <c r="AN443" s="114" t="n"/>
      <c r="AO443" s="115" t="n"/>
      <c r="AP443" s="112" t="n"/>
      <c r="AQ443" s="1" t="n">
        <v>396107.32</v>
      </c>
      <c r="AR443" s="3" t="n">
        <v>70001.631</v>
      </c>
      <c r="AS443" s="3" t="n">
        <v>2470645.8</v>
      </c>
      <c r="AT443" s="9" t="n">
        <f aca="false" ca="false" dt2D="false" dtr="false" t="normal">+S443-AS443</f>
        <v>-174140.36575510958</v>
      </c>
      <c r="AW443" s="113" t="n">
        <f aca="false" ca="false" dt2D="false" dtr="false" t="normal">SUM(AX443:BL443)</f>
        <v>5504718.960519048</v>
      </c>
      <c r="BH443" s="106" t="n">
        <v>5379089.17476394</v>
      </c>
      <c r="BJ443" s="106" t="n"/>
      <c r="BK443" s="114" t="n">
        <v>8000</v>
      </c>
      <c r="BL443" s="187" t="n">
        <v>117629.785755108</v>
      </c>
      <c r="BM443" s="113" t="n">
        <f aca="false" ca="false" dt2D="false" dtr="false" t="normal">SUM(BN443:CB443)</f>
        <v>5504718.960519048</v>
      </c>
      <c r="BN443" s="104" t="n"/>
      <c r="BO443" s="104" t="n"/>
      <c r="BP443" s="104" t="n"/>
      <c r="BQ443" s="104" t="n"/>
      <c r="BR443" s="104" t="n"/>
      <c r="BS443" s="104" t="n"/>
      <c r="BT443" s="104" t="n"/>
      <c r="BU443" s="104" t="n"/>
      <c r="BV443" s="104" t="n"/>
      <c r="BW443" s="104" t="n"/>
      <c r="BX443" s="106" t="n">
        <v>5379089.17476394</v>
      </c>
      <c r="BY443" s="104" t="n"/>
      <c r="BZ443" s="106" t="n"/>
      <c r="CA443" s="114" t="n">
        <v>8000</v>
      </c>
      <c r="CB443" s="115" t="n">
        <v>117629.785755108</v>
      </c>
      <c r="CD443" s="116" t="n">
        <f aca="false" ca="false" dt2D="false" dtr="false" t="normal">+CD442+1</f>
        <v>422</v>
      </c>
      <c r="CE443" s="117" t="n">
        <f aca="false" ca="false" dt2D="false" dtr="false" t="normal">+CE442+1</f>
        <v>211</v>
      </c>
      <c r="CF443" s="104" t="s">
        <v>396</v>
      </c>
      <c r="CG443" s="117" t="s">
        <v>491</v>
      </c>
      <c r="CH443" s="118" t="n">
        <f aca="false" ca="false" dt2D="false" dtr="false" t="normal">SUM(CI443:CW443)</f>
        <v>4871089.825755108</v>
      </c>
      <c r="CI443" s="117" t="n"/>
      <c r="CJ443" s="114" t="n"/>
      <c r="CK443" s="114" t="n"/>
      <c r="CL443" s="114" t="n"/>
      <c r="CM443" s="114" t="n"/>
      <c r="CN443" s="114" t="n"/>
      <c r="CO443" s="114" t="n"/>
      <c r="CP443" s="114" t="n"/>
      <c r="CQ443" s="114" t="n"/>
      <c r="CR443" s="114" t="n"/>
      <c r="CS443" s="114" t="n">
        <v>4747460.04</v>
      </c>
      <c r="CT443" s="114" t="n"/>
      <c r="CU443" s="114" t="n"/>
      <c r="CV443" s="114" t="n">
        <v>6000</v>
      </c>
      <c r="CW443" s="115" t="n">
        <v>117629.785755108</v>
      </c>
      <c r="CZ443" s="117" t="s">
        <v>491</v>
      </c>
      <c r="DA443" s="119" t="n">
        <f aca="false" ca="false" dt2D="false" dtr="false" t="normal">SUM(DB443:DP443)</f>
        <v>4753460.04</v>
      </c>
      <c r="DB443" s="117" t="n"/>
      <c r="DC443" s="114" t="n"/>
      <c r="DD443" s="114" t="n"/>
      <c r="DE443" s="114" t="n"/>
      <c r="DF443" s="114" t="n"/>
      <c r="DG443" s="114" t="n"/>
      <c r="DH443" s="114" t="n"/>
      <c r="DI443" s="114" t="n"/>
      <c r="DJ443" s="114" t="n"/>
      <c r="DK443" s="114" t="n"/>
      <c r="DL443" s="114" t="n">
        <v>4747460.04</v>
      </c>
      <c r="DM443" s="114" t="n"/>
      <c r="DN443" s="114" t="n"/>
      <c r="DO443" s="114" t="n">
        <v>6000</v>
      </c>
      <c r="DP443" s="122" t="n"/>
      <c r="DQ443" s="3" t="n">
        <f aca="false" ca="false" dt2D="false" dtr="false" t="normal">N443-DA443</f>
        <v>0</v>
      </c>
      <c r="DS443" s="9" t="n"/>
    </row>
    <row hidden="false" ht="15" outlineLevel="0" r="444">
      <c r="A444" s="183" t="n">
        <f aca="false" ca="false" dt2D="false" dtr="false" t="normal">+A443+1</f>
        <v>423</v>
      </c>
      <c r="B444" s="117" t="n">
        <f aca="false" ca="false" dt2D="false" dtr="false" t="normal">+B443+1</f>
        <v>212</v>
      </c>
      <c r="C444" s="210" t="s">
        <v>396</v>
      </c>
      <c r="D444" s="210" t="s">
        <v>492</v>
      </c>
      <c r="E444" s="209" t="s">
        <v>493</v>
      </c>
      <c r="F444" s="209" t="n"/>
      <c r="G444" s="209" t="s">
        <v>68</v>
      </c>
      <c r="H444" s="209" t="s">
        <v>105</v>
      </c>
      <c r="I444" s="209" t="s">
        <v>105</v>
      </c>
      <c r="J444" s="210" t="n">
        <v>681.08</v>
      </c>
      <c r="K444" s="210" t="n">
        <v>633.24</v>
      </c>
      <c r="L444" s="210" t="n">
        <v>0</v>
      </c>
      <c r="M444" s="210" t="n">
        <v>30</v>
      </c>
      <c r="N444" s="108" t="n">
        <f aca="false" ca="false" dt2D="false" dtr="false" t="normal">SUM(P444:T444)</f>
        <v>4872127.520000001</v>
      </c>
      <c r="O444" s="210" t="n"/>
      <c r="P444" s="106" t="n">
        <v>1593756.59</v>
      </c>
      <c r="Q444" s="114" t="n">
        <v>507855.56</v>
      </c>
      <c r="R444" s="114" t="n">
        <v>545581.389506532</v>
      </c>
      <c r="S444" s="114" t="n">
        <v>2224933.98049347</v>
      </c>
      <c r="T444" s="13" t="n"/>
      <c r="U444" s="114" t="n">
        <v>8422.41750234309</v>
      </c>
      <c r="V444" s="114" t="n">
        <v>8422.41750234309</v>
      </c>
      <c r="W444" s="110" t="n">
        <v>2023</v>
      </c>
      <c r="X444" s="9" t="n"/>
      <c r="Z444" s="113" t="n"/>
      <c r="AA444" s="106" t="n"/>
      <c r="AB444" s="106" t="n"/>
      <c r="AC444" s="106" t="n"/>
      <c r="AD444" s="106" t="n"/>
      <c r="AE444" s="106" t="n"/>
      <c r="AF444" s="106" t="n"/>
      <c r="AG444" s="106" t="n"/>
      <c r="AH444" s="106" t="n"/>
      <c r="AI444" s="106" t="n"/>
      <c r="AJ444" s="106" t="n"/>
      <c r="AK444" s="106" t="n"/>
      <c r="AL444" s="106" t="n"/>
      <c r="AM444" s="106" t="n"/>
      <c r="AN444" s="114" t="n"/>
      <c r="AO444" s="115" t="n"/>
      <c r="AP444" s="112" t="n"/>
      <c r="AQ444" s="1" t="n">
        <v>368732.53</v>
      </c>
      <c r="AR444" s="3" t="n">
        <v>67820.004</v>
      </c>
      <c r="AS444" s="3" t="n">
        <v>2393647.2</v>
      </c>
      <c r="AT444" s="9" t="n">
        <f aca="false" ca="false" dt2D="false" dtr="false" t="normal">+S444-AS444</f>
        <v>-168713.2195065301</v>
      </c>
      <c r="AW444" s="113" t="n">
        <f aca="false" ca="false" dt2D="false" dtr="false" t="normal">SUM(AX444:BL444)</f>
        <v>5333411.659183742</v>
      </c>
      <c r="BH444" s="106" t="n">
        <v>5211447.84967721</v>
      </c>
      <c r="BJ444" s="106" t="n"/>
      <c r="BK444" s="114" t="n">
        <v>8000</v>
      </c>
      <c r="BL444" s="187" t="n">
        <v>113963.809506532</v>
      </c>
      <c r="BM444" s="113" t="n">
        <f aca="false" ca="false" dt2D="false" dtr="false" t="normal">SUM(BN444:CB444)</f>
        <v>5333411.659183742</v>
      </c>
      <c r="BN444" s="104" t="n"/>
      <c r="BO444" s="104" t="n"/>
      <c r="BP444" s="104" t="n"/>
      <c r="BQ444" s="104" t="n"/>
      <c r="BR444" s="104" t="n"/>
      <c r="BS444" s="104" t="n"/>
      <c r="BT444" s="104" t="n"/>
      <c r="BU444" s="104" t="n"/>
      <c r="BV444" s="104" t="n"/>
      <c r="BW444" s="104" t="n"/>
      <c r="BX444" s="106" t="n">
        <v>5211447.84967721</v>
      </c>
      <c r="BY444" s="104" t="n"/>
      <c r="BZ444" s="106" t="n"/>
      <c r="CA444" s="114" t="n">
        <v>8000</v>
      </c>
      <c r="CB444" s="115" t="n">
        <v>113963.809506532</v>
      </c>
      <c r="CD444" s="116" t="n">
        <f aca="false" ca="false" dt2D="false" dtr="false" t="normal">+CD443+1</f>
        <v>423</v>
      </c>
      <c r="CE444" s="117" t="n">
        <f aca="false" ca="false" dt2D="false" dtr="false" t="normal">+CE443+1</f>
        <v>212</v>
      </c>
      <c r="CF444" s="104" t="s">
        <v>396</v>
      </c>
      <c r="CG444" s="117" t="s">
        <v>492</v>
      </c>
      <c r="CH444" s="118" t="n">
        <f aca="false" ca="false" dt2D="false" dtr="false" t="normal">SUM(CI444:CW444)</f>
        <v>4986091.329506531</v>
      </c>
      <c r="CI444" s="117" t="n"/>
      <c r="CJ444" s="114" t="n"/>
      <c r="CK444" s="114" t="n"/>
      <c r="CL444" s="114" t="n"/>
      <c r="CM444" s="114" t="n"/>
      <c r="CN444" s="114" t="n"/>
      <c r="CO444" s="114" t="n"/>
      <c r="CP444" s="114" t="n"/>
      <c r="CQ444" s="114" t="n"/>
      <c r="CR444" s="114" t="n"/>
      <c r="CS444" s="114" t="n">
        <v>4867327.52</v>
      </c>
      <c r="CT444" s="114" t="n"/>
      <c r="CU444" s="114" t="n"/>
      <c r="CV444" s="114" t="n">
        <v>4800</v>
      </c>
      <c r="CW444" s="115" t="n">
        <v>113963.809506532</v>
      </c>
      <c r="CZ444" s="117" t="s">
        <v>492</v>
      </c>
      <c r="DA444" s="119" t="n">
        <f aca="false" ca="false" dt2D="false" dtr="false" t="normal">SUM(DB444:DP444)</f>
        <v>4872127.52</v>
      </c>
      <c r="DB444" s="117" t="n"/>
      <c r="DC444" s="114" t="n"/>
      <c r="DD444" s="114" t="n"/>
      <c r="DE444" s="114" t="n"/>
      <c r="DF444" s="114" t="n"/>
      <c r="DG444" s="114" t="n"/>
      <c r="DH444" s="114" t="n"/>
      <c r="DI444" s="114" t="n"/>
      <c r="DJ444" s="114" t="n"/>
      <c r="DK444" s="114" t="n"/>
      <c r="DL444" s="114" t="n">
        <v>4867327.52</v>
      </c>
      <c r="DM444" s="114" t="n"/>
      <c r="DN444" s="114" t="n"/>
      <c r="DO444" s="114" t="n">
        <v>4800</v>
      </c>
      <c r="DP444" s="122" t="n"/>
      <c r="DQ444" s="3" t="n">
        <f aca="false" ca="false" dt2D="false" dtr="false" t="normal">N444-DA444</f>
        <v>0</v>
      </c>
      <c r="DS444" s="9" t="n"/>
    </row>
    <row hidden="false" ht="15" outlineLevel="0" r="445">
      <c r="A445" s="183" t="n">
        <f aca="false" ca="false" dt2D="false" dtr="false" t="normal">+A444+1</f>
        <v>424</v>
      </c>
      <c r="B445" s="117" t="n">
        <f aca="false" ca="false" dt2D="false" dtr="false" t="normal">+B444+1</f>
        <v>213</v>
      </c>
      <c r="C445" s="210" t="s">
        <v>396</v>
      </c>
      <c r="D445" s="210" t="s">
        <v>494</v>
      </c>
      <c r="E445" s="209" t="s">
        <v>384</v>
      </c>
      <c r="F445" s="209" t="n"/>
      <c r="G445" s="209" t="s">
        <v>68</v>
      </c>
      <c r="H445" s="209" t="s">
        <v>105</v>
      </c>
      <c r="I445" s="209" t="s">
        <v>105</v>
      </c>
      <c r="J445" s="210" t="n">
        <v>989.4</v>
      </c>
      <c r="K445" s="210" t="n">
        <v>861.1</v>
      </c>
      <c r="L445" s="210" t="n">
        <v>0</v>
      </c>
      <c r="M445" s="210" t="n">
        <v>40</v>
      </c>
      <c r="N445" s="108" t="n">
        <f aca="false" ca="false" dt2D="false" dtr="false" t="normal">SUM(P445:T445)</f>
        <v>7963657.869999995</v>
      </c>
      <c r="O445" s="210" t="n"/>
      <c r="P445" s="106" t="n">
        <v>3654295.31</v>
      </c>
      <c r="Q445" s="114" t="n">
        <v>507855.56</v>
      </c>
      <c r="R445" s="114" t="n">
        <v>701520.632186966</v>
      </c>
      <c r="S445" s="114" t="n">
        <v>3099986.36781303</v>
      </c>
      <c r="T445" s="13" t="n"/>
      <c r="U445" s="114" t="n">
        <v>8419.07450408283</v>
      </c>
      <c r="V445" s="114" t="n">
        <v>8419.07450408283</v>
      </c>
      <c r="W445" s="110" t="n">
        <v>2023</v>
      </c>
      <c r="X445" s="9" t="n"/>
      <c r="Z445" s="113" t="n"/>
      <c r="AA445" s="106" t="n"/>
      <c r="AB445" s="106" t="n"/>
      <c r="AC445" s="106" t="n"/>
      <c r="AD445" s="106" t="n"/>
      <c r="AE445" s="106" t="n"/>
      <c r="AF445" s="106" t="n"/>
      <c r="AG445" s="106" t="n"/>
      <c r="AH445" s="106" t="n"/>
      <c r="AI445" s="106" t="n"/>
      <c r="AJ445" s="106" t="n"/>
      <c r="AK445" s="106" t="n"/>
      <c r="AL445" s="106" t="n"/>
      <c r="AM445" s="106" t="n"/>
      <c r="AN445" s="114" t="n"/>
      <c r="AO445" s="115" t="n"/>
      <c r="AP445" s="112" t="n"/>
      <c r="AQ445" s="1" t="n">
        <v>533284.21</v>
      </c>
      <c r="AR445" s="3" t="n">
        <v>92223.81</v>
      </c>
      <c r="AS445" s="3" t="n">
        <v>3254958</v>
      </c>
      <c r="AT445" s="9" t="n">
        <f aca="false" ca="false" dt2D="false" dtr="false" t="normal">+S445-AS445</f>
        <v>-154971.6321869702</v>
      </c>
      <c r="AW445" s="113" t="n">
        <f aca="false" ca="false" dt2D="false" dtr="false" t="normal">SUM(AX445:BL445)</f>
        <v>7249665.055465727</v>
      </c>
      <c r="BH445" s="106" t="n">
        <v>7086693.42327876</v>
      </c>
      <c r="BJ445" s="106" t="n"/>
      <c r="BK445" s="114" t="n">
        <v>8000</v>
      </c>
      <c r="BL445" s="187" t="n">
        <v>154971.632186967</v>
      </c>
      <c r="BM445" s="113" t="n">
        <f aca="false" ca="false" dt2D="false" dtr="false" t="normal">SUM(BN445:CB445)</f>
        <v>7249665.055465727</v>
      </c>
      <c r="BN445" s="104" t="n"/>
      <c r="BO445" s="104" t="n"/>
      <c r="BP445" s="104" t="n"/>
      <c r="BQ445" s="104" t="n"/>
      <c r="BR445" s="104" t="n"/>
      <c r="BS445" s="104" t="n"/>
      <c r="BT445" s="104" t="n"/>
      <c r="BU445" s="104" t="n"/>
      <c r="BV445" s="104" t="n"/>
      <c r="BW445" s="104" t="n"/>
      <c r="BX445" s="106" t="n">
        <v>7086693.42327876</v>
      </c>
      <c r="BY445" s="104" t="n"/>
      <c r="BZ445" s="106" t="n"/>
      <c r="CA445" s="114" t="n">
        <v>8000</v>
      </c>
      <c r="CB445" s="115" t="n">
        <v>154971.632186967</v>
      </c>
      <c r="CD445" s="116" t="n">
        <f aca="false" ca="false" dt2D="false" dtr="false" t="normal">+CD444+1</f>
        <v>424</v>
      </c>
      <c r="CE445" s="117" t="n">
        <f aca="false" ca="false" dt2D="false" dtr="false" t="normal">+CE444+1</f>
        <v>213</v>
      </c>
      <c r="CF445" s="104" t="s">
        <v>396</v>
      </c>
      <c r="CG445" s="117" t="s">
        <v>494</v>
      </c>
      <c r="CH445" s="118" t="n">
        <f aca="false" ca="false" dt2D="false" dtr="false" t="normal">SUM(CI445:CW445)</f>
        <v>8118629.502186967</v>
      </c>
      <c r="CI445" s="117" t="n"/>
      <c r="CJ445" s="114" t="n"/>
      <c r="CK445" s="114" t="n"/>
      <c r="CL445" s="114" t="n"/>
      <c r="CM445" s="114" t="n"/>
      <c r="CN445" s="114" t="n"/>
      <c r="CO445" s="114" t="n"/>
      <c r="CP445" s="114" t="n"/>
      <c r="CQ445" s="114" t="n"/>
      <c r="CR445" s="114" t="n"/>
      <c r="CS445" s="114" t="n">
        <v>7955657.87</v>
      </c>
      <c r="CT445" s="114" t="n"/>
      <c r="CU445" s="114" t="n"/>
      <c r="CV445" s="114" t="n">
        <v>8000</v>
      </c>
      <c r="CW445" s="115" t="n">
        <v>154971.632186967</v>
      </c>
      <c r="CZ445" s="117" t="s">
        <v>494</v>
      </c>
      <c r="DA445" s="119" t="n">
        <f aca="false" ca="false" dt2D="false" dtr="false" t="normal">SUM(DB445:DP445)</f>
        <v>7963657.87</v>
      </c>
      <c r="DB445" s="117" t="n"/>
      <c r="DC445" s="114" t="n"/>
      <c r="DD445" s="114" t="n"/>
      <c r="DE445" s="114" t="n"/>
      <c r="DF445" s="114" t="n"/>
      <c r="DG445" s="114" t="n"/>
      <c r="DH445" s="114" t="n"/>
      <c r="DI445" s="114" t="n"/>
      <c r="DJ445" s="114" t="n"/>
      <c r="DK445" s="114" t="n"/>
      <c r="DL445" s="114" t="n">
        <v>7955657.87</v>
      </c>
      <c r="DM445" s="114" t="n"/>
      <c r="DN445" s="114" t="n"/>
      <c r="DO445" s="114" t="n">
        <v>8000</v>
      </c>
      <c r="DP445" s="122" t="n"/>
      <c r="DQ445" s="3" t="n">
        <f aca="false" ca="false" dt2D="false" dtr="false" t="normal">N445-DA445</f>
        <v>0</v>
      </c>
      <c r="DS445" s="9" t="n"/>
    </row>
    <row hidden="false" ht="15" outlineLevel="0" r="446">
      <c r="A446" s="183" t="n">
        <f aca="false" ca="false" dt2D="false" dtr="false" t="normal">+A445+1</f>
        <v>425</v>
      </c>
      <c r="B446" s="117" t="n">
        <f aca="false" ca="false" dt2D="false" dtr="false" t="normal">+B445+1</f>
        <v>214</v>
      </c>
      <c r="C446" s="210" t="s">
        <v>207</v>
      </c>
      <c r="D446" s="210" t="s">
        <v>495</v>
      </c>
      <c r="E446" s="209" t="n">
        <v>1985</v>
      </c>
      <c r="F446" s="209" t="n">
        <v>1985</v>
      </c>
      <c r="G446" s="209" t="s">
        <v>68</v>
      </c>
      <c r="H446" s="209" t="n">
        <v>2</v>
      </c>
      <c r="I446" s="209" t="n">
        <v>2</v>
      </c>
      <c r="J446" s="212" t="n">
        <v>914.7</v>
      </c>
      <c r="K446" s="212" t="n">
        <v>845.7</v>
      </c>
      <c r="L446" s="212" t="n">
        <v>0</v>
      </c>
      <c r="M446" s="213" t="n">
        <v>33</v>
      </c>
      <c r="N446" s="108" t="n">
        <f aca="false" ca="false" dt2D="false" dtr="false" t="normal">SUM(P446:T446)</f>
        <v>2107622.31</v>
      </c>
      <c r="O446" s="212" t="n"/>
      <c r="P446" s="212" t="n">
        <v>1110406.54</v>
      </c>
      <c r="Q446" s="114" t="n"/>
      <c r="R446" s="114" t="n">
        <v>468014.46</v>
      </c>
      <c r="S446" s="114" t="n">
        <v>529201.31</v>
      </c>
      <c r="T446" s="211" t="n"/>
      <c r="U446" s="114" t="n">
        <v>6484.70322809507</v>
      </c>
      <c r="V446" s="114" t="n">
        <v>1354.283020064</v>
      </c>
      <c r="W446" s="110" t="n">
        <v>2023</v>
      </c>
      <c r="X446" s="9" t="e">
        <f aca="false" ca="false" dt2D="false" dtr="false" t="normal">+#REF!-'[9]Приложение №1'!$P1120</f>
        <v>#REF!</v>
      </c>
      <c r="Z446" s="113" t="n">
        <f aca="false" ca="false" dt2D="false" dtr="false" t="normal">SUM(AA446:AO446)</f>
        <v>6296342.71</v>
      </c>
      <c r="AA446" s="106" t="n">
        <v>2467275.96512124</v>
      </c>
      <c r="AB446" s="106" t="n">
        <v>1501302.41982966</v>
      </c>
      <c r="AC446" s="106" t="n">
        <v>707414.26194726</v>
      </c>
      <c r="AD446" s="106" t="n">
        <v>602877.17677656</v>
      </c>
      <c r="AE446" s="106" t="n">
        <v>0</v>
      </c>
      <c r="AF446" s="106" t="n"/>
      <c r="AG446" s="106" t="n">
        <v>262232.90488164</v>
      </c>
      <c r="AH446" s="106" t="n">
        <v>0</v>
      </c>
      <c r="AI446" s="106" t="n">
        <v>0</v>
      </c>
      <c r="AJ446" s="106" t="n">
        <v>0</v>
      </c>
      <c r="AK446" s="106" t="n">
        <v>0</v>
      </c>
      <c r="AL446" s="106" t="n">
        <v>0</v>
      </c>
      <c r="AM446" s="106" t="n">
        <v>571103.8603</v>
      </c>
      <c r="AN446" s="114" t="n">
        <v>62963.4271</v>
      </c>
      <c r="AO446" s="115" t="n">
        <v>121172.69404364</v>
      </c>
      <c r="AP446" s="112" t="n">
        <f aca="false" ca="false" dt2D="false" dtr="false" t="normal">+N446-'Приложение №2'!E446</f>
        <v>0</v>
      </c>
      <c r="AQ446" s="121" t="n">
        <v>429198.67</v>
      </c>
      <c r="AR446" s="3" t="n">
        <f aca="false" ca="false" dt2D="false" dtr="false" t="normal">+(K446*10+L446*20)*12*0.85</f>
        <v>86261.4</v>
      </c>
      <c r="AS446" s="3" t="n">
        <f aca="false" ca="false" dt2D="false" dtr="false" t="normal">+(K446*10+L446*20)*12*30</f>
        <v>3044520</v>
      </c>
      <c r="AT446" s="9" t="n">
        <f aca="false" ca="false" dt2D="false" dtr="false" t="normal">+S446-AS446</f>
        <v>-2515318.69</v>
      </c>
      <c r="AU446" s="9" t="e">
        <f aca="false" ca="false" dt2D="false" dtr="false" t="normal">+P446-'[5]Приложение №1'!$P337</f>
        <v>#REF!</v>
      </c>
      <c r="AV446" s="9" t="e">
        <f aca="false" ca="false" dt2D="false" dtr="false" t="normal">+Q446-'[5]Приложение №1'!$Q337</f>
        <v>#REF!</v>
      </c>
      <c r="AW446" s="113" t="n">
        <f aca="false" ca="true" dt2D="false" dtr="false" t="normal">SUBTOTAL(9, AX446:BL446)</f>
        <v>5484113.5200000005</v>
      </c>
      <c r="AX446" s="106" t="n">
        <v>2690748.568494</v>
      </c>
      <c r="AY446" s="106" t="n">
        <v>1668343.007394</v>
      </c>
      <c r="AZ446" s="106" t="n"/>
      <c r="BA446" s="106" t="n">
        <v>685043.907198</v>
      </c>
      <c r="BB446" s="106" t="n">
        <v>0</v>
      </c>
      <c r="BC446" s="106" t="n"/>
      <c r="BD446" s="106" t="n">
        <v>262232.90488164</v>
      </c>
      <c r="BE446" s="106" t="n">
        <v>0</v>
      </c>
      <c r="BF446" s="106" t="n">
        <v>0</v>
      </c>
      <c r="BG446" s="106" t="n">
        <v>0</v>
      </c>
      <c r="BH446" s="106" t="n">
        <v>0</v>
      </c>
      <c r="BI446" s="106" t="n">
        <v>0</v>
      </c>
      <c r="BJ446" s="106" t="n">
        <v>40971.2413</v>
      </c>
      <c r="BK446" s="114" t="n">
        <v>20734.3613</v>
      </c>
      <c r="BL446" s="187" t="n">
        <v>116039.52943236</v>
      </c>
      <c r="BM446" s="113" t="n">
        <f aca="false" ca="true" dt2D="false" dtr="false" t="normal">SUBTOTAL(9, BN446:CB446)</f>
        <v>5484113.5200000005</v>
      </c>
      <c r="BN446" s="106" t="n">
        <v>2690748.568494</v>
      </c>
      <c r="BO446" s="106" t="n">
        <v>1668343.007394</v>
      </c>
      <c r="BP446" s="106" t="n"/>
      <c r="BQ446" s="106" t="n">
        <v>685043.907198</v>
      </c>
      <c r="BR446" s="106" t="n">
        <v>0</v>
      </c>
      <c r="BS446" s="106" t="n"/>
      <c r="BT446" s="106" t="n">
        <v>262232.90488164</v>
      </c>
      <c r="BU446" s="106" t="n">
        <v>0</v>
      </c>
      <c r="BV446" s="106" t="n">
        <v>0</v>
      </c>
      <c r="BW446" s="106" t="n">
        <v>0</v>
      </c>
      <c r="BX446" s="106" t="n">
        <v>0</v>
      </c>
      <c r="BY446" s="106" t="n">
        <v>0</v>
      </c>
      <c r="BZ446" s="106" t="n">
        <v>40971.2413</v>
      </c>
      <c r="CA446" s="114" t="n">
        <v>20734.3613</v>
      </c>
      <c r="CB446" s="115" t="n">
        <v>116039.52943236</v>
      </c>
      <c r="CD446" s="116" t="n">
        <f aca="false" ca="false" dt2D="false" dtr="false" t="normal">+CD445+1</f>
        <v>425</v>
      </c>
      <c r="CE446" s="117" t="n">
        <f aca="false" ca="false" dt2D="false" dtr="false" t="normal">+CE445+1</f>
        <v>214</v>
      </c>
      <c r="CF446" s="104" t="s">
        <v>207</v>
      </c>
      <c r="CG446" s="117" t="s">
        <v>495</v>
      </c>
      <c r="CH446" s="118" t="n">
        <f aca="false" ca="true" dt2D="false" dtr="false" t="normal">SUBTOTAL(9, CI446:CW446)</f>
        <v>2223661.83943236</v>
      </c>
      <c r="CI446" s="114" t="n">
        <v>992115.39</v>
      </c>
      <c r="CJ446" s="114" t="n">
        <v>816974.44</v>
      </c>
      <c r="CK446" s="114" t="n"/>
      <c r="CL446" s="114" t="n">
        <v>242295.61</v>
      </c>
      <c r="CM446" s="114" t="n">
        <v>0</v>
      </c>
      <c r="CN446" s="114" t="n"/>
      <c r="CO446" s="114" t="n"/>
      <c r="CP446" s="114" t="n">
        <v>0</v>
      </c>
      <c r="CQ446" s="114" t="n">
        <v>0</v>
      </c>
      <c r="CR446" s="114" t="n">
        <v>0</v>
      </c>
      <c r="CS446" s="114" t="n">
        <v>0</v>
      </c>
      <c r="CT446" s="114" t="n">
        <v>0</v>
      </c>
      <c r="CU446" s="114" t="n">
        <v>38236.87</v>
      </c>
      <c r="CV446" s="114" t="n">
        <v>18000</v>
      </c>
      <c r="CW446" s="115" t="n">
        <v>116039.52943236</v>
      </c>
      <c r="CZ446" s="117" t="s">
        <v>495</v>
      </c>
      <c r="DA446" s="119" t="n">
        <f aca="false" ca="true" dt2D="false" dtr="false" t="normal">SUBTOTAL(9, DB446:DP446)</f>
        <v>2107622.31</v>
      </c>
      <c r="DB446" s="114" t="n">
        <v>992115.39</v>
      </c>
      <c r="DC446" s="114" t="n">
        <v>816974.44</v>
      </c>
      <c r="DD446" s="114" t="n"/>
      <c r="DE446" s="114" t="n">
        <v>242295.61</v>
      </c>
      <c r="DF446" s="114" t="n">
        <v>0</v>
      </c>
      <c r="DG446" s="114" t="n"/>
      <c r="DH446" s="114" t="n"/>
      <c r="DI446" s="114" t="n">
        <v>0</v>
      </c>
      <c r="DJ446" s="114" t="n">
        <v>0</v>
      </c>
      <c r="DK446" s="114" t="n">
        <v>0</v>
      </c>
      <c r="DL446" s="114" t="n">
        <v>0</v>
      </c>
      <c r="DM446" s="114" t="n">
        <v>0</v>
      </c>
      <c r="DN446" s="114" t="n">
        <v>38236.87</v>
      </c>
      <c r="DO446" s="114" t="n">
        <v>18000</v>
      </c>
      <c r="DP446" s="122" t="n"/>
      <c r="DQ446" s="3" t="n">
        <f aca="false" ca="false" dt2D="false" dtr="false" t="normal">N446-DA446</f>
        <v>0</v>
      </c>
      <c r="DS446" s="9" t="n"/>
    </row>
    <row hidden="false" ht="15" outlineLevel="0" r="447">
      <c r="A447" s="183" t="n">
        <f aca="false" ca="false" dt2D="false" dtr="false" t="normal">+A446+1</f>
        <v>426</v>
      </c>
      <c r="B447" s="117" t="n">
        <f aca="false" ca="false" dt2D="false" dtr="false" t="normal">+B446+1</f>
        <v>215</v>
      </c>
      <c r="C447" s="210" t="s">
        <v>207</v>
      </c>
      <c r="D447" s="210" t="s">
        <v>496</v>
      </c>
      <c r="E447" s="209" t="n">
        <v>1985</v>
      </c>
      <c r="F447" s="209" t="n">
        <v>2009</v>
      </c>
      <c r="G447" s="209" t="s">
        <v>68</v>
      </c>
      <c r="H447" s="209" t="n">
        <v>2</v>
      </c>
      <c r="I447" s="209" t="n">
        <v>3</v>
      </c>
      <c r="J447" s="212" t="n">
        <v>1493.5</v>
      </c>
      <c r="K447" s="212" t="n">
        <v>1376.8</v>
      </c>
      <c r="L447" s="212" t="n">
        <v>0</v>
      </c>
      <c r="M447" s="213" t="n">
        <v>60</v>
      </c>
      <c r="N447" s="108" t="n">
        <f aca="false" ca="false" dt2D="false" dtr="false" t="normal">SUM(P447:T447)</f>
        <v>3055335.8200000003</v>
      </c>
      <c r="O447" s="212" t="n"/>
      <c r="P447" s="212" t="n"/>
      <c r="Q447" s="114" t="n"/>
      <c r="R447" s="114" t="n">
        <v>848133.93</v>
      </c>
      <c r="S447" s="114" t="n">
        <v>2207201.89</v>
      </c>
      <c r="T447" s="114" t="n"/>
      <c r="U447" s="114" t="n">
        <v>7465.96000145264</v>
      </c>
      <c r="V447" s="114" t="n">
        <v>1355.283020064</v>
      </c>
      <c r="W447" s="110" t="n">
        <v>2023</v>
      </c>
      <c r="X447" s="9" t="e">
        <f aca="false" ca="false" dt2D="false" dtr="false" t="normal">+#REF!-'[9]Приложение №1'!$P1515</f>
        <v>#REF!</v>
      </c>
      <c r="Z447" s="113" t="n">
        <f aca="false" ca="false" dt2D="false" dtr="false" t="normal">SUM(AA447:AO447)</f>
        <v>10279133.73</v>
      </c>
      <c r="AA447" s="106" t="n">
        <v>4027966.8255372</v>
      </c>
      <c r="AB447" s="106" t="n">
        <v>2450960.67448344</v>
      </c>
      <c r="AC447" s="106" t="n">
        <v>1154893.5828969</v>
      </c>
      <c r="AD447" s="106" t="n">
        <v>984230.91881016</v>
      </c>
      <c r="AE447" s="106" t="n">
        <v>0</v>
      </c>
      <c r="AF447" s="106" t="n"/>
      <c r="AG447" s="106" t="n">
        <v>428109.96493608</v>
      </c>
      <c r="AH447" s="106" t="n">
        <v>0</v>
      </c>
      <c r="AI447" s="106" t="n">
        <v>0</v>
      </c>
      <c r="AJ447" s="106" t="n">
        <v>0</v>
      </c>
      <c r="AK447" s="106" t="n">
        <v>0</v>
      </c>
      <c r="AL447" s="106" t="n">
        <v>0</v>
      </c>
      <c r="AM447" s="106" t="n">
        <v>932359.1854</v>
      </c>
      <c r="AN447" s="114" t="n">
        <v>102791.3373</v>
      </c>
      <c r="AO447" s="115" t="n">
        <v>197821.24063622</v>
      </c>
      <c r="AP447" s="112" t="n">
        <f aca="false" ca="false" dt2D="false" dtr="false" t="normal">+N447-'Приложение №2'!E447</f>
        <v>0</v>
      </c>
      <c r="AQ447" s="121" t="n">
        <v>707700.33</v>
      </c>
      <c r="AR447" s="3" t="n">
        <f aca="false" ca="false" dt2D="false" dtr="false" t="normal">+(K447*10+L447*20)*12*0.85</f>
        <v>140433.6</v>
      </c>
      <c r="AS447" s="3" t="n">
        <f aca="false" ca="false" dt2D="false" dtr="false" t="normal">+(K447*10+L447*20)*12*30</f>
        <v>4956480</v>
      </c>
      <c r="AT447" s="9" t="n">
        <f aca="false" ca="false" dt2D="false" dtr="false" t="normal">+S447-AS447</f>
        <v>-2749278.11</v>
      </c>
      <c r="AU447" s="9" t="e">
        <f aca="false" ca="false" dt2D="false" dtr="false" t="normal">+P447-'[5]Приложение №1'!$P338</f>
        <v>#REF!</v>
      </c>
      <c r="AV447" s="9" t="e">
        <f aca="false" ca="false" dt2D="false" dtr="false" t="normal">+Q447-'[5]Приложение №1'!$Q338</f>
        <v>#REF!</v>
      </c>
      <c r="AW447" s="113" t="n">
        <f aca="false" ca="true" dt2D="false" dtr="false" t="normal">SUBTOTAL(9, AX447:BL447)</f>
        <v>10279133.729999997</v>
      </c>
      <c r="AX447" s="106" t="n">
        <v>4401647.229924</v>
      </c>
      <c r="AY447" s="106" t="n">
        <v>2728944.70632</v>
      </c>
      <c r="AZ447" s="106" t="n">
        <v>1282797.702354</v>
      </c>
      <c r="BA447" s="106" t="n">
        <v>1125093.53313</v>
      </c>
      <c r="BB447" s="106" t="n">
        <v>0</v>
      </c>
      <c r="BC447" s="106" t="n"/>
      <c r="BD447" s="106" t="n">
        <v>428109.96493608</v>
      </c>
      <c r="BE447" s="106" t="n">
        <v>0</v>
      </c>
      <c r="BF447" s="106" t="n">
        <v>0</v>
      </c>
      <c r="BG447" s="106" t="n">
        <v>0</v>
      </c>
      <c r="BH447" s="106" t="n">
        <v>0</v>
      </c>
      <c r="BI447" s="106" t="n">
        <v>0</v>
      </c>
      <c r="BJ447" s="106" t="n">
        <v>66127.3886</v>
      </c>
      <c r="BK447" s="114" t="n">
        <v>28463.9986</v>
      </c>
      <c r="BL447" s="187" t="n">
        <v>217949.20613592</v>
      </c>
      <c r="BM447" s="113" t="n">
        <f aca="false" ca="true" dt2D="false" dtr="false" t="normal">SUBTOTAL(9, BN447:CB447)</f>
        <v>10279133.729999997</v>
      </c>
      <c r="BN447" s="106" t="n">
        <v>4401647.229924</v>
      </c>
      <c r="BO447" s="106" t="n">
        <v>2728944.70632</v>
      </c>
      <c r="BP447" s="106" t="n">
        <v>1282797.702354</v>
      </c>
      <c r="BQ447" s="106" t="n">
        <v>1125093.53313</v>
      </c>
      <c r="BR447" s="106" t="n">
        <v>0</v>
      </c>
      <c r="BS447" s="106" t="n"/>
      <c r="BT447" s="106" t="n">
        <v>428109.96493608</v>
      </c>
      <c r="BU447" s="106" t="n">
        <v>0</v>
      </c>
      <c r="BV447" s="106" t="n">
        <v>0</v>
      </c>
      <c r="BW447" s="106" t="n">
        <v>0</v>
      </c>
      <c r="BX447" s="106" t="n">
        <v>0</v>
      </c>
      <c r="BY447" s="106" t="n">
        <v>0</v>
      </c>
      <c r="BZ447" s="106" t="n">
        <v>66127.3886</v>
      </c>
      <c r="CA447" s="114" t="n">
        <v>28463.9986</v>
      </c>
      <c r="CB447" s="115" t="n">
        <v>217949.20613592</v>
      </c>
      <c r="CD447" s="116" t="n">
        <f aca="false" ca="false" dt2D="false" dtr="false" t="normal">+CD446+1</f>
        <v>426</v>
      </c>
      <c r="CE447" s="117" t="n">
        <f aca="false" ca="false" dt2D="false" dtr="false" t="normal">+CE446+1</f>
        <v>215</v>
      </c>
      <c r="CF447" s="104" t="s">
        <v>207</v>
      </c>
      <c r="CG447" s="117" t="s">
        <v>496</v>
      </c>
      <c r="CH447" s="118" t="n">
        <f aca="false" ca="true" dt2D="false" dtr="false" t="normal">SUBTOTAL(9, CI447:CW447)</f>
        <v>3273285.0261359196</v>
      </c>
      <c r="CI447" s="114" t="n">
        <v>1703436.36</v>
      </c>
      <c r="CJ447" s="114" t="n">
        <v>859294.68</v>
      </c>
      <c r="CK447" s="114" t="n"/>
      <c r="CL447" s="114" t="n">
        <v>422101.36</v>
      </c>
      <c r="CM447" s="114" t="n">
        <v>0</v>
      </c>
      <c r="CN447" s="114" t="n"/>
      <c r="CO447" s="114" t="n"/>
      <c r="CP447" s="114" t="n">
        <v>0</v>
      </c>
      <c r="CQ447" s="114" t="n">
        <v>0</v>
      </c>
      <c r="CR447" s="114" t="n">
        <v>0</v>
      </c>
      <c r="CS447" s="114" t="n">
        <v>0</v>
      </c>
      <c r="CT447" s="114" t="n">
        <v>0</v>
      </c>
      <c r="CU447" s="114" t="n">
        <v>52503.42</v>
      </c>
      <c r="CV447" s="114" t="n">
        <v>18000</v>
      </c>
      <c r="CW447" s="115" t="n">
        <v>217949.20613592</v>
      </c>
      <c r="CZ447" s="117" t="s">
        <v>496</v>
      </c>
      <c r="DA447" s="119" t="n">
        <f aca="false" ca="true" dt2D="false" dtr="false" t="normal">SUBTOTAL(9, DB447:DP447)</f>
        <v>3055335.82</v>
      </c>
      <c r="DB447" s="114" t="n">
        <v>1703436.36</v>
      </c>
      <c r="DC447" s="114" t="n">
        <v>859294.68</v>
      </c>
      <c r="DD447" s="114" t="n"/>
      <c r="DE447" s="114" t="n">
        <v>422101.36</v>
      </c>
      <c r="DF447" s="114" t="n">
        <v>0</v>
      </c>
      <c r="DG447" s="114" t="n"/>
      <c r="DH447" s="114" t="n"/>
      <c r="DI447" s="114" t="n">
        <v>0</v>
      </c>
      <c r="DJ447" s="114" t="n">
        <v>0</v>
      </c>
      <c r="DK447" s="114" t="n">
        <v>0</v>
      </c>
      <c r="DL447" s="114" t="n">
        <v>0</v>
      </c>
      <c r="DM447" s="114" t="n">
        <v>0</v>
      </c>
      <c r="DN447" s="114" t="n">
        <v>52503.42</v>
      </c>
      <c r="DO447" s="114" t="n">
        <v>18000</v>
      </c>
      <c r="DP447" s="122" t="n"/>
      <c r="DQ447" s="3" t="n">
        <f aca="false" ca="false" dt2D="false" dtr="false" t="normal">N447-DA447</f>
        <v>0</v>
      </c>
      <c r="DS447" s="9" t="n"/>
    </row>
    <row hidden="false" ht="15" outlineLevel="0" r="448">
      <c r="A448" s="183" t="n">
        <f aca="false" ca="false" dt2D="false" dtr="false" t="normal">+A447+1</f>
        <v>427</v>
      </c>
      <c r="B448" s="117" t="n">
        <f aca="false" ca="false" dt2D="false" dtr="false" t="normal">+B447+1</f>
        <v>216</v>
      </c>
      <c r="C448" s="104" t="s">
        <v>209</v>
      </c>
      <c r="D448" s="104" t="s">
        <v>211</v>
      </c>
      <c r="E448" s="105" t="n">
        <v>1964</v>
      </c>
      <c r="F448" s="105" t="n">
        <v>1964</v>
      </c>
      <c r="G448" s="105" t="s">
        <v>68</v>
      </c>
      <c r="H448" s="105" t="n">
        <v>2</v>
      </c>
      <c r="I448" s="105" t="n">
        <v>2</v>
      </c>
      <c r="J448" s="106" t="n">
        <v>816.77</v>
      </c>
      <c r="K448" s="106" t="n">
        <v>598.05</v>
      </c>
      <c r="L448" s="106" t="n">
        <v>218.72</v>
      </c>
      <c r="M448" s="107" t="n">
        <v>23</v>
      </c>
      <c r="N448" s="108" t="n">
        <f aca="false" ca="false" dt2D="false" dtr="false" t="normal">SUM(P448:T448)</f>
        <v>226071.44</v>
      </c>
      <c r="O448" s="106" t="n"/>
      <c r="P448" s="106" t="n"/>
      <c r="Q448" s="114" t="n"/>
      <c r="R448" s="114" t="n">
        <v>226071.44</v>
      </c>
      <c r="S448" s="114" t="n"/>
      <c r="T448" s="114" t="n"/>
      <c r="U448" s="106" t="n">
        <v>708.253383224163</v>
      </c>
      <c r="V448" s="106" t="n">
        <v>708.253383224163</v>
      </c>
      <c r="W448" s="110" t="n">
        <v>2023</v>
      </c>
      <c r="X448" s="9" t="e">
        <f aca="false" ca="false" dt2D="false" dtr="false" t="normal">+#REF!-'[9]Приложение №1'!$P753</f>
        <v>#REF!</v>
      </c>
      <c r="Z448" s="113" t="n">
        <f aca="false" ca="false" dt2D="false" dtr="false" t="normal">SUM(AA448:AO448)</f>
        <v>6301561.369999999</v>
      </c>
      <c r="AA448" s="106" t="n">
        <v>0</v>
      </c>
      <c r="AB448" s="106" t="n">
        <v>0</v>
      </c>
      <c r="AC448" s="106" t="n">
        <v>499972.95528432</v>
      </c>
      <c r="AD448" s="106" t="n">
        <v>0</v>
      </c>
      <c r="AE448" s="106" t="n">
        <v>0</v>
      </c>
      <c r="AF448" s="106" t="n"/>
      <c r="AG448" s="106" t="n">
        <v>0</v>
      </c>
      <c r="AH448" s="106" t="n">
        <v>0</v>
      </c>
      <c r="AI448" s="106" t="n">
        <v>5044446.5320746</v>
      </c>
      <c r="AJ448" s="106" t="n">
        <v>0</v>
      </c>
      <c r="AK448" s="106" t="n">
        <v>0</v>
      </c>
      <c r="AL448" s="106" t="n">
        <v>0</v>
      </c>
      <c r="AM448" s="106" t="n">
        <v>572881.0441</v>
      </c>
      <c r="AN448" s="114" t="n">
        <v>63015.6137</v>
      </c>
      <c r="AO448" s="115" t="n">
        <v>121245.22484108</v>
      </c>
      <c r="AP448" s="112" t="n">
        <f aca="false" ca="false" dt2D="false" dtr="false" t="normal">+N448-'Приложение №2'!E448</f>
        <v>0</v>
      </c>
      <c r="AQ448" s="1" t="n">
        <f aca="false" ca="false" dt2D="false" dtr="false" t="normal">223283.02-99067.28</f>
        <v>124215.73999999999</v>
      </c>
      <c r="AR448" s="3" t="n">
        <f aca="false" ca="false" dt2D="false" dtr="false" t="normal">+(K448*10+L448*20)*12*0.85</f>
        <v>105619.97999999998</v>
      </c>
      <c r="AS448" s="3" t="n">
        <f aca="false" ca="false" dt2D="false" dtr="false" t="normal">+(K448*10+L448*20)*12*30-29457.72</f>
        <v>3698306.2799999993</v>
      </c>
      <c r="AT448" s="9" t="n">
        <f aca="false" ca="false" dt2D="false" dtr="false" t="normal">+S448-AS448</f>
        <v>-3698306.2799999993</v>
      </c>
      <c r="AU448" s="9" t="e">
        <f aca="false" ca="false" dt2D="false" dtr="false" t="normal">+P448-'[5]Приложение №1'!$P343</f>
        <v>#REF!</v>
      </c>
      <c r="AV448" s="9" t="e">
        <f aca="false" ca="false" dt2D="false" dtr="false" t="normal">+Q448-'[5]Приложение №1'!$Q343</f>
        <v>#REF!</v>
      </c>
      <c r="AW448" s="113" t="n">
        <f aca="false" ca="true" dt2D="false" dtr="false" t="normal">SUBTOTAL(9, AX448:BL448)</f>
        <v>578480.1158159999</v>
      </c>
      <c r="AX448" s="106" t="n">
        <v>0</v>
      </c>
      <c r="AY448" s="106" t="n">
        <v>0</v>
      </c>
      <c r="AZ448" s="106" t="n">
        <v>448683.30486</v>
      </c>
      <c r="BA448" s="106" t="n">
        <v>0</v>
      </c>
      <c r="BB448" s="106" t="n">
        <v>0</v>
      </c>
      <c r="BC448" s="106" t="n"/>
      <c r="BD448" s="106" t="n"/>
      <c r="BE448" s="106" t="n">
        <v>0</v>
      </c>
      <c r="BF448" s="106" t="n"/>
      <c r="BG448" s="106" t="n">
        <v>0</v>
      </c>
      <c r="BH448" s="106" t="n">
        <v>0</v>
      </c>
      <c r="BI448" s="106" t="n">
        <v>0</v>
      </c>
      <c r="BJ448" s="106" t="n"/>
      <c r="BK448" s="114" t="n"/>
      <c r="BL448" s="187" t="n">
        <v>129796.810956</v>
      </c>
      <c r="BM448" s="113" t="n">
        <f aca="false" ca="true" dt2D="false" dtr="false" t="normal">SUBTOTAL(9, BN448:CB448)</f>
        <v>578480.1158159999</v>
      </c>
      <c r="BN448" s="106" t="n">
        <v>0</v>
      </c>
      <c r="BO448" s="106" t="n">
        <v>0</v>
      </c>
      <c r="BP448" s="106" t="n">
        <v>448683.30486</v>
      </c>
      <c r="BQ448" s="106" t="n">
        <v>0</v>
      </c>
      <c r="BR448" s="106" t="n">
        <v>0</v>
      </c>
      <c r="BS448" s="106" t="n"/>
      <c r="BT448" s="106" t="n"/>
      <c r="BU448" s="106" t="n">
        <v>0</v>
      </c>
      <c r="BV448" s="106" t="n"/>
      <c r="BW448" s="106" t="n">
        <v>0</v>
      </c>
      <c r="BX448" s="106" t="n">
        <v>0</v>
      </c>
      <c r="BY448" s="106" t="n">
        <v>0</v>
      </c>
      <c r="BZ448" s="106" t="n"/>
      <c r="CA448" s="114" t="n"/>
      <c r="CB448" s="115" t="n">
        <v>129796.810956</v>
      </c>
      <c r="CD448" s="116" t="n">
        <f aca="false" ca="false" dt2D="false" dtr="false" t="normal">+CD447+1</f>
        <v>427</v>
      </c>
      <c r="CE448" s="117" t="n">
        <f aca="false" ca="false" dt2D="false" dtr="false" t="normal">+CE447+1</f>
        <v>216</v>
      </c>
      <c r="CF448" s="104" t="s">
        <v>209</v>
      </c>
      <c r="CG448" s="117" t="s">
        <v>211</v>
      </c>
      <c r="CH448" s="118" t="n">
        <f aca="false" ca="true" dt2D="false" dtr="false" t="normal">SUBTOTAL(9, CI448:CW448)</f>
        <v>355868.250956</v>
      </c>
      <c r="CI448" s="114" t="n">
        <v>0</v>
      </c>
      <c r="CJ448" s="114" t="n">
        <v>0</v>
      </c>
      <c r="CK448" s="114" t="n">
        <v>226071.44</v>
      </c>
      <c r="CL448" s="114" t="n">
        <v>0</v>
      </c>
      <c r="CM448" s="114" t="n">
        <v>0</v>
      </c>
      <c r="CN448" s="114" t="n"/>
      <c r="CO448" s="114" t="n"/>
      <c r="CP448" s="114" t="n">
        <v>0</v>
      </c>
      <c r="CQ448" s="114" t="n"/>
      <c r="CR448" s="114" t="n">
        <v>0</v>
      </c>
      <c r="CS448" s="114" t="n">
        <v>0</v>
      </c>
      <c r="CT448" s="114" t="n">
        <v>0</v>
      </c>
      <c r="CU448" s="114" t="n"/>
      <c r="CV448" s="114" t="n"/>
      <c r="CW448" s="115" t="n">
        <v>129796.810956</v>
      </c>
      <c r="CZ448" s="117" t="s">
        <v>211</v>
      </c>
      <c r="DA448" s="119" t="n">
        <f aca="false" ca="true" dt2D="false" dtr="false" t="normal">SUBTOTAL(9, DB448:DP448)</f>
        <v>226071.44</v>
      </c>
      <c r="DB448" s="114" t="n">
        <v>0</v>
      </c>
      <c r="DC448" s="114" t="n">
        <v>0</v>
      </c>
      <c r="DD448" s="114" t="n">
        <v>226071.44</v>
      </c>
      <c r="DE448" s="114" t="n">
        <v>0</v>
      </c>
      <c r="DF448" s="114" t="n">
        <v>0</v>
      </c>
      <c r="DG448" s="114" t="n"/>
      <c r="DH448" s="114" t="n"/>
      <c r="DI448" s="114" t="n">
        <v>0</v>
      </c>
      <c r="DJ448" s="114" t="n"/>
      <c r="DK448" s="114" t="n">
        <v>0</v>
      </c>
      <c r="DL448" s="114" t="n">
        <v>0</v>
      </c>
      <c r="DM448" s="114" t="n">
        <v>0</v>
      </c>
      <c r="DN448" s="114" t="n"/>
      <c r="DO448" s="114" t="n"/>
      <c r="DP448" s="122" t="n"/>
      <c r="DQ448" s="3" t="n">
        <f aca="false" ca="false" dt2D="false" dtr="false" t="normal">N448-DA448</f>
        <v>0</v>
      </c>
      <c r="DS448" s="9" t="n"/>
    </row>
    <row hidden="false" ht="15" outlineLevel="0" r="449">
      <c r="A449" s="183" t="n">
        <f aca="false" ca="false" dt2D="false" dtr="false" t="normal">+A448+1</f>
        <v>428</v>
      </c>
      <c r="B449" s="117" t="n">
        <f aca="false" ca="false" dt2D="false" dtr="false" t="normal">+B448+1</f>
        <v>217</v>
      </c>
      <c r="C449" s="104" t="s">
        <v>209</v>
      </c>
      <c r="D449" s="104" t="s">
        <v>214</v>
      </c>
      <c r="E449" s="105" t="n">
        <v>1964</v>
      </c>
      <c r="F449" s="105" t="n">
        <v>1964</v>
      </c>
      <c r="G449" s="105" t="s">
        <v>68</v>
      </c>
      <c r="H449" s="105" t="n">
        <v>2</v>
      </c>
      <c r="I449" s="105" t="n">
        <v>2</v>
      </c>
      <c r="J449" s="106" t="n">
        <v>868.87</v>
      </c>
      <c r="K449" s="106" t="n">
        <v>613.56</v>
      </c>
      <c r="L449" s="106" t="n">
        <v>255.31</v>
      </c>
      <c r="M449" s="107" t="n">
        <v>26</v>
      </c>
      <c r="N449" s="108" t="n">
        <f aca="false" ca="false" dt2D="false" dtr="false" t="normal">SUM(P449:T449)</f>
        <v>240520.96</v>
      </c>
      <c r="O449" s="106" t="n"/>
      <c r="P449" s="114" t="n"/>
      <c r="Q449" s="114" t="n"/>
      <c r="R449" s="114" t="n">
        <v>240520.96</v>
      </c>
      <c r="S449" s="114" t="n"/>
      <c r="T449" s="114" t="n"/>
      <c r="U449" s="106" t="n">
        <v>691.924015716966</v>
      </c>
      <c r="V449" s="106" t="n">
        <v>691.924015716966</v>
      </c>
      <c r="W449" s="110" t="n">
        <v>2023</v>
      </c>
      <c r="X449" s="9" t="e">
        <f aca="false" ca="false" dt2D="false" dtr="false" t="normal">+#REF!-'[9]Приложение №1'!$P756</f>
        <v>#REF!</v>
      </c>
      <c r="Z449" s="113" t="n">
        <f aca="false" ca="false" dt2D="false" dtr="false" t="normal">SUM(AA449:AO449)</f>
        <v>6504868.24</v>
      </c>
      <c r="AA449" s="106" t="n">
        <v>0</v>
      </c>
      <c r="AB449" s="106" t="n">
        <v>0</v>
      </c>
      <c r="AC449" s="106" t="n">
        <v>516103.55464626</v>
      </c>
      <c r="AD449" s="106" t="n">
        <v>0</v>
      </c>
      <c r="AE449" s="106" t="n">
        <v>0</v>
      </c>
      <c r="AF449" s="106" t="n"/>
      <c r="AG449" s="106" t="n">
        <v>0</v>
      </c>
      <c r="AH449" s="106" t="n">
        <v>0</v>
      </c>
      <c r="AI449" s="106" t="n">
        <v>5207195.182707</v>
      </c>
      <c r="AJ449" s="106" t="n">
        <v>0</v>
      </c>
      <c r="AK449" s="106" t="n">
        <v>0</v>
      </c>
      <c r="AL449" s="106" t="n">
        <v>0</v>
      </c>
      <c r="AM449" s="106" t="n">
        <v>591363.8685</v>
      </c>
      <c r="AN449" s="114" t="n">
        <v>65048.6824</v>
      </c>
      <c r="AO449" s="115" t="n">
        <v>125156.95174674</v>
      </c>
      <c r="AP449" s="112" t="n">
        <f aca="false" ca="false" dt2D="false" dtr="false" t="normal">+N449-'Приложение №2'!E449</f>
        <v>0</v>
      </c>
      <c r="AQ449" s="1" t="n">
        <f aca="false" ca="false" dt2D="false" dtr="false" t="normal">278417.8-100860.31</f>
        <v>177557.49</v>
      </c>
      <c r="AR449" s="3" t="n">
        <f aca="false" ca="false" dt2D="false" dtr="false" t="normal">+(K449*10+L449*20)*12*0.85</f>
        <v>114666.35999999997</v>
      </c>
      <c r="AS449" s="3" t="n">
        <f aca="false" ca="false" dt2D="false" dtr="false" t="normal">+(K449*10+L449*20)*12*30-29524.86</f>
        <v>4017523.139999999</v>
      </c>
      <c r="AT449" s="9" t="n">
        <f aca="false" ca="false" dt2D="false" dtr="false" t="normal">+S449-AS449</f>
        <v>-4017523.139999999</v>
      </c>
      <c r="AU449" s="9" t="e">
        <f aca="false" ca="false" dt2D="false" dtr="false" t="normal">+P449-'[5]Приложение №1'!$P346</f>
        <v>#REF!</v>
      </c>
      <c r="AV449" s="9" t="e">
        <f aca="false" ca="false" dt2D="false" dtr="false" t="normal">+Q449-'[5]Приложение №1'!$Q346</f>
        <v>#REF!</v>
      </c>
      <c r="AW449" s="113" t="n">
        <f aca="false" ca="true" dt2D="false" dtr="false" t="normal">SUBTOTAL(9, AX449:BL449)</f>
        <v>601192.019536</v>
      </c>
      <c r="AX449" s="106" t="n">
        <v>0</v>
      </c>
      <c r="AY449" s="106" t="n">
        <v>0</v>
      </c>
      <c r="AZ449" s="106" t="n">
        <v>467037.623094</v>
      </c>
      <c r="BA449" s="106" t="n">
        <v>0</v>
      </c>
      <c r="BB449" s="106" t="n">
        <v>0</v>
      </c>
      <c r="BC449" s="106" t="n"/>
      <c r="BD449" s="106" t="n"/>
      <c r="BE449" s="106" t="n">
        <v>0</v>
      </c>
      <c r="BF449" s="106" t="n"/>
      <c r="BG449" s="106" t="n">
        <v>0</v>
      </c>
      <c r="BH449" s="106" t="n">
        <v>0</v>
      </c>
      <c r="BI449" s="106" t="n">
        <v>0</v>
      </c>
      <c r="BJ449" s="106" t="n"/>
      <c r="BK449" s="114" t="n"/>
      <c r="BL449" s="187" t="n">
        <v>134154.396442</v>
      </c>
      <c r="BM449" s="113" t="n">
        <f aca="false" ca="true" dt2D="false" dtr="false" t="normal">SUBTOTAL(9, BN449:CB449)</f>
        <v>601192.019536</v>
      </c>
      <c r="BN449" s="106" t="n">
        <v>0</v>
      </c>
      <c r="BO449" s="106" t="n">
        <v>0</v>
      </c>
      <c r="BP449" s="106" t="n">
        <v>467037.623094</v>
      </c>
      <c r="BQ449" s="106" t="n">
        <v>0</v>
      </c>
      <c r="BR449" s="106" t="n">
        <v>0</v>
      </c>
      <c r="BS449" s="106" t="n"/>
      <c r="BT449" s="106" t="n"/>
      <c r="BU449" s="106" t="n">
        <v>0</v>
      </c>
      <c r="BV449" s="106" t="n"/>
      <c r="BW449" s="106" t="n">
        <v>0</v>
      </c>
      <c r="BX449" s="106" t="n">
        <v>0</v>
      </c>
      <c r="BY449" s="106" t="n">
        <v>0</v>
      </c>
      <c r="BZ449" s="106" t="n"/>
      <c r="CA449" s="114" t="n"/>
      <c r="CB449" s="115" t="n">
        <v>134154.396442</v>
      </c>
      <c r="CD449" s="116" t="n">
        <f aca="false" ca="false" dt2D="false" dtr="false" t="normal">+CD448+1</f>
        <v>428</v>
      </c>
      <c r="CE449" s="117" t="n">
        <f aca="false" ca="false" dt2D="false" dtr="false" t="normal">+CE448+1</f>
        <v>217</v>
      </c>
      <c r="CF449" s="104" t="s">
        <v>209</v>
      </c>
      <c r="CG449" s="117" t="s">
        <v>214</v>
      </c>
      <c r="CH449" s="118" t="n">
        <f aca="false" ca="true" dt2D="false" dtr="false" t="normal">SUBTOTAL(9, CI449:CW449)</f>
        <v>374675.356442</v>
      </c>
      <c r="CI449" s="114" t="n">
        <v>0</v>
      </c>
      <c r="CJ449" s="114" t="n">
        <v>0</v>
      </c>
      <c r="CK449" s="114" t="n">
        <v>240520.96</v>
      </c>
      <c r="CL449" s="114" t="n">
        <v>0</v>
      </c>
      <c r="CM449" s="114" t="n">
        <v>0</v>
      </c>
      <c r="CN449" s="114" t="n"/>
      <c r="CO449" s="114" t="n"/>
      <c r="CP449" s="114" t="n">
        <v>0</v>
      </c>
      <c r="CQ449" s="114" t="n"/>
      <c r="CR449" s="114" t="n">
        <v>0</v>
      </c>
      <c r="CS449" s="114" t="n">
        <v>0</v>
      </c>
      <c r="CT449" s="114" t="n">
        <v>0</v>
      </c>
      <c r="CU449" s="114" t="n"/>
      <c r="CV449" s="114" t="n"/>
      <c r="CW449" s="115" t="n">
        <v>134154.396442</v>
      </c>
      <c r="CZ449" s="117" t="s">
        <v>214</v>
      </c>
      <c r="DA449" s="119" t="n">
        <f aca="false" ca="true" dt2D="false" dtr="false" t="normal">SUBTOTAL(9, DB449:DP449)</f>
        <v>240520.96</v>
      </c>
      <c r="DB449" s="114" t="n">
        <v>0</v>
      </c>
      <c r="DC449" s="114" t="n">
        <v>0</v>
      </c>
      <c r="DD449" s="114" t="n">
        <v>240520.96</v>
      </c>
      <c r="DE449" s="114" t="n">
        <v>0</v>
      </c>
      <c r="DF449" s="114" t="n">
        <v>0</v>
      </c>
      <c r="DG449" s="114" t="n"/>
      <c r="DH449" s="114" t="n"/>
      <c r="DI449" s="114" t="n">
        <v>0</v>
      </c>
      <c r="DJ449" s="114" t="n"/>
      <c r="DK449" s="114" t="n">
        <v>0</v>
      </c>
      <c r="DL449" s="114" t="n">
        <v>0</v>
      </c>
      <c r="DM449" s="114" t="n">
        <v>0</v>
      </c>
      <c r="DN449" s="114" t="n"/>
      <c r="DO449" s="114" t="n"/>
      <c r="DP449" s="122" t="n"/>
      <c r="DQ449" s="3" t="n">
        <f aca="false" ca="false" dt2D="false" dtr="false" t="normal">N449-DA449</f>
        <v>0</v>
      </c>
      <c r="DS449" s="9" t="n"/>
    </row>
    <row hidden="false" ht="15" outlineLevel="0" r="450">
      <c r="A450" s="183" t="n">
        <f aca="false" ca="false" dt2D="false" dtr="false" t="normal">+A449+1</f>
        <v>429</v>
      </c>
      <c r="B450" s="117" t="n">
        <f aca="false" ca="false" dt2D="false" dtr="false" t="normal">+B449+1</f>
        <v>218</v>
      </c>
      <c r="C450" s="104" t="s">
        <v>209</v>
      </c>
      <c r="D450" s="104" t="s">
        <v>497</v>
      </c>
      <c r="E450" s="105" t="n">
        <v>1962</v>
      </c>
      <c r="F450" s="105" t="n">
        <v>2017</v>
      </c>
      <c r="G450" s="105" t="s">
        <v>68</v>
      </c>
      <c r="H450" s="105" t="n">
        <v>2</v>
      </c>
      <c r="I450" s="105" t="n">
        <v>2</v>
      </c>
      <c r="J450" s="106" t="n">
        <v>1087.26</v>
      </c>
      <c r="K450" s="106" t="n">
        <v>641.25</v>
      </c>
      <c r="L450" s="106" t="n">
        <v>254.58</v>
      </c>
      <c r="M450" s="107" t="n">
        <v>29</v>
      </c>
      <c r="N450" s="108" t="n">
        <f aca="false" ca="false" dt2D="false" dtr="false" t="normal">SUM(P450:T450)</f>
        <v>253456.48</v>
      </c>
      <c r="O450" s="106" t="n"/>
      <c r="P450" s="114" t="n"/>
      <c r="Q450" s="114" t="n"/>
      <c r="R450" s="9" t="n">
        <v>253456.48</v>
      </c>
      <c r="S450" s="114" t="n"/>
      <c r="T450" s="190" t="n"/>
      <c r="U450" s="106" t="n">
        <v>612.93393835884</v>
      </c>
      <c r="V450" s="106" t="n">
        <v>612.93393835884</v>
      </c>
      <c r="W450" s="110" t="n">
        <v>2023</v>
      </c>
      <c r="X450" s="9" t="e">
        <f aca="false" ca="false" dt2D="false" dtr="false" t="normal">+#REF!-'[9]Приложение №1'!$P757</f>
        <v>#REF!</v>
      </c>
      <c r="Z450" s="113" t="n">
        <f aca="false" ca="false" dt2D="false" dtr="false" t="normal">SUM(AA450:AO450)</f>
        <v>616949</v>
      </c>
      <c r="AA450" s="106" t="n">
        <v>0</v>
      </c>
      <c r="AB450" s="106" t="n">
        <v>0</v>
      </c>
      <c r="AC450" s="106" t="n">
        <v>537334.199346</v>
      </c>
      <c r="AD450" s="106" t="n">
        <v>0</v>
      </c>
      <c r="AE450" s="106" t="n">
        <v>0</v>
      </c>
      <c r="AF450" s="106" t="n"/>
      <c r="AG450" s="106" t="n">
        <v>0</v>
      </c>
      <c r="AH450" s="106" t="n">
        <v>0</v>
      </c>
      <c r="AI450" s="106" t="n">
        <v>0</v>
      </c>
      <c r="AJ450" s="106" t="n">
        <v>0</v>
      </c>
      <c r="AK450" s="106" t="n">
        <v>0</v>
      </c>
      <c r="AL450" s="106" t="n">
        <v>0</v>
      </c>
      <c r="AM450" s="106" t="n">
        <v>61694.9</v>
      </c>
      <c r="AN450" s="114" t="n">
        <v>6169.49</v>
      </c>
      <c r="AO450" s="115" t="n">
        <v>11750.410654</v>
      </c>
      <c r="AP450" s="112" t="n">
        <f aca="false" ca="false" dt2D="false" dtr="false" t="normal">+N450-'Приложение №2'!E450</f>
        <v>0</v>
      </c>
      <c r="AQ450" s="1" t="n">
        <f aca="false" ca="false" dt2D="false" dtr="false" t="normal">309756.66-132948.3</f>
        <v>176808.36</v>
      </c>
      <c r="AR450" s="3" t="n">
        <f aca="false" ca="false" dt2D="false" dtr="false" t="normal">+(K450*10+L450*20)*12*0.85</f>
        <v>117341.82</v>
      </c>
      <c r="AS450" s="3" t="n">
        <f aca="false" ca="false" dt2D="false" dtr="false" t="normal">+(K450*10+L450*20)*12*30-30726.12</f>
        <v>4110749.8800000004</v>
      </c>
      <c r="AT450" s="9" t="n">
        <f aca="false" ca="false" dt2D="false" dtr="false" t="normal">+S450-AS450</f>
        <v>-4110749.8800000004</v>
      </c>
      <c r="AU450" s="9" t="e">
        <f aca="false" ca="false" dt2D="false" dtr="false" t="normal">+P450-'[5]Приложение №1'!$P347</f>
        <v>#REF!</v>
      </c>
      <c r="AV450" s="9" t="e">
        <f aca="false" ca="false" dt2D="false" dtr="false" t="normal">+Q450-'[5]Приложение №1'!$Q347</f>
        <v>#REF!</v>
      </c>
      <c r="AW450" s="113" t="n">
        <f aca="false" ca="true" dt2D="false" dtr="false" t="normal">SUBTOTAL(9, AX450:BL450)</f>
        <v>549084.61</v>
      </c>
      <c r="AX450" s="106" t="n">
        <v>0</v>
      </c>
      <c r="AY450" s="106" t="n">
        <v>0</v>
      </c>
      <c r="AZ450" s="106" t="n">
        <v>537334.199346</v>
      </c>
      <c r="BA450" s="106" t="n">
        <v>0</v>
      </c>
      <c r="BB450" s="106" t="n">
        <v>0</v>
      </c>
      <c r="BC450" s="106" t="n"/>
      <c r="BD450" s="106" t="n"/>
      <c r="BE450" s="106" t="n">
        <v>0</v>
      </c>
      <c r="BF450" s="106" t="n">
        <v>0</v>
      </c>
      <c r="BG450" s="106" t="n">
        <v>0</v>
      </c>
      <c r="BH450" s="106" t="n">
        <v>0</v>
      </c>
      <c r="BI450" s="106" t="n">
        <v>0</v>
      </c>
      <c r="BJ450" s="106" t="n"/>
      <c r="BK450" s="114" t="n"/>
      <c r="BL450" s="187" t="n">
        <v>11750.410654</v>
      </c>
      <c r="BM450" s="113" t="n">
        <f aca="false" ca="true" dt2D="false" dtr="false" t="normal">SUBTOTAL(9, BN450:CB450)</f>
        <v>549084.61</v>
      </c>
      <c r="BN450" s="106" t="n">
        <v>0</v>
      </c>
      <c r="BO450" s="106" t="n">
        <v>0</v>
      </c>
      <c r="BP450" s="106" t="n">
        <v>537334.199346</v>
      </c>
      <c r="BQ450" s="106" t="n">
        <v>0</v>
      </c>
      <c r="BR450" s="106" t="n">
        <v>0</v>
      </c>
      <c r="BS450" s="106" t="n"/>
      <c r="BT450" s="106" t="n"/>
      <c r="BU450" s="106" t="n">
        <v>0</v>
      </c>
      <c r="BV450" s="106" t="n">
        <v>0</v>
      </c>
      <c r="BW450" s="106" t="n">
        <v>0</v>
      </c>
      <c r="BX450" s="106" t="n">
        <v>0</v>
      </c>
      <c r="BY450" s="106" t="n">
        <v>0</v>
      </c>
      <c r="BZ450" s="106" t="n"/>
      <c r="CA450" s="114" t="n"/>
      <c r="CB450" s="115" t="n">
        <v>11750.410654</v>
      </c>
      <c r="CD450" s="116" t="n">
        <f aca="false" ca="false" dt2D="false" dtr="false" t="normal">+CD449+1</f>
        <v>429</v>
      </c>
      <c r="CE450" s="117" t="n">
        <f aca="false" ca="false" dt2D="false" dtr="false" t="normal">+CE449+1</f>
        <v>218</v>
      </c>
      <c r="CF450" s="104" t="s">
        <v>209</v>
      </c>
      <c r="CG450" s="117" t="s">
        <v>497</v>
      </c>
      <c r="CH450" s="118" t="n">
        <f aca="false" ca="true" dt2D="false" dtr="false" t="normal">SUBTOTAL(9, CI450:CW450)</f>
        <v>265206.890654</v>
      </c>
      <c r="CI450" s="114" t="n">
        <v>0</v>
      </c>
      <c r="CJ450" s="114" t="n">
        <v>0</v>
      </c>
      <c r="CK450" s="114" t="n">
        <v>253456.48</v>
      </c>
      <c r="CL450" s="114" t="n">
        <v>0</v>
      </c>
      <c r="CM450" s="114" t="n">
        <v>0</v>
      </c>
      <c r="CN450" s="114" t="n"/>
      <c r="CO450" s="114" t="n"/>
      <c r="CP450" s="114" t="n">
        <v>0</v>
      </c>
      <c r="CQ450" s="114" t="n">
        <v>0</v>
      </c>
      <c r="CR450" s="114" t="n">
        <v>0</v>
      </c>
      <c r="CS450" s="114" t="n">
        <v>0</v>
      </c>
      <c r="CT450" s="114" t="n">
        <v>0</v>
      </c>
      <c r="CU450" s="114" t="n"/>
      <c r="CV450" s="114" t="n"/>
      <c r="CW450" s="115" t="n">
        <v>11750.410654</v>
      </c>
      <c r="CZ450" s="117" t="s">
        <v>497</v>
      </c>
      <c r="DA450" s="119" t="n">
        <f aca="false" ca="true" dt2D="false" dtr="false" t="normal">SUBTOTAL(9, DB450:DP450)</f>
        <v>253456.48</v>
      </c>
      <c r="DB450" s="114" t="n">
        <v>0</v>
      </c>
      <c r="DC450" s="114" t="n">
        <v>0</v>
      </c>
      <c r="DD450" s="114" t="n">
        <v>253456.48</v>
      </c>
      <c r="DE450" s="114" t="n">
        <v>0</v>
      </c>
      <c r="DF450" s="114" t="n">
        <v>0</v>
      </c>
      <c r="DG450" s="114" t="n"/>
      <c r="DH450" s="114" t="n"/>
      <c r="DI450" s="114" t="n">
        <v>0</v>
      </c>
      <c r="DJ450" s="114" t="n">
        <v>0</v>
      </c>
      <c r="DK450" s="114" t="n">
        <v>0</v>
      </c>
      <c r="DL450" s="114" t="n">
        <v>0</v>
      </c>
      <c r="DM450" s="114" t="n">
        <v>0</v>
      </c>
      <c r="DN450" s="114" t="n"/>
      <c r="DO450" s="114" t="n"/>
      <c r="DP450" s="122" t="n"/>
      <c r="DQ450" s="3" t="n">
        <f aca="false" ca="false" dt2D="false" dtr="false" t="normal">N450-DA450</f>
        <v>0</v>
      </c>
      <c r="DS450" s="9" t="n"/>
    </row>
    <row hidden="false" ht="15" outlineLevel="0" r="451">
      <c r="A451" s="183" t="n">
        <f aca="false" ca="false" dt2D="false" dtr="false" t="normal">+A450+1</f>
        <v>430</v>
      </c>
      <c r="B451" s="117" t="n">
        <f aca="false" ca="false" dt2D="false" dtr="false" t="normal">+B450+1</f>
        <v>219</v>
      </c>
      <c r="C451" s="104" t="s">
        <v>209</v>
      </c>
      <c r="D451" s="104" t="s">
        <v>498</v>
      </c>
      <c r="E451" s="105" t="n">
        <v>1984</v>
      </c>
      <c r="F451" s="105" t="n">
        <v>2009</v>
      </c>
      <c r="G451" s="105" t="s">
        <v>68</v>
      </c>
      <c r="H451" s="105" t="n">
        <v>2</v>
      </c>
      <c r="I451" s="105" t="n">
        <v>2</v>
      </c>
      <c r="J451" s="106" t="n">
        <v>1164.7</v>
      </c>
      <c r="K451" s="106" t="n">
        <v>745.9</v>
      </c>
      <c r="L451" s="106" t="n">
        <v>304.1</v>
      </c>
      <c r="M451" s="107" t="n">
        <v>37</v>
      </c>
      <c r="N451" s="108" t="n">
        <f aca="false" ca="false" dt2D="false" dtr="false" t="normal">SUM(P451:T451)</f>
        <v>620415.33</v>
      </c>
      <c r="O451" s="106" t="n"/>
      <c r="P451" s="114" t="n"/>
      <c r="Q451" s="114" t="n"/>
      <c r="R451" s="114" t="n">
        <v>200191.26628904</v>
      </c>
      <c r="S451" s="114" t="n">
        <v>420224.06371096</v>
      </c>
      <c r="T451" s="190" t="n"/>
      <c r="U451" s="106" t="n">
        <v>4171.53659415809</v>
      </c>
      <c r="V451" s="106" t="n">
        <v>4171.53659415809</v>
      </c>
      <c r="W451" s="110" t="n">
        <v>2023</v>
      </c>
      <c r="X451" s="9" t="e">
        <f aca="false" ca="false" dt2D="false" dtr="false" t="normal">+#REF!-'[9]Приложение №1'!$P1836</f>
        <v>#REF!</v>
      </c>
      <c r="Z451" s="113" t="n">
        <f aca="false" ca="false" dt2D="false" dtr="false" t="normal">SUM(AA451:AO451)</f>
        <v>12533218.82</v>
      </c>
      <c r="AA451" s="106" t="n">
        <v>2147390.797461</v>
      </c>
      <c r="AB451" s="106" t="n">
        <v>1306656.8383722</v>
      </c>
      <c r="AC451" s="106" t="n">
        <v>615697.18809396</v>
      </c>
      <c r="AD451" s="106" t="n">
        <v>524713.46015088</v>
      </c>
      <c r="AE451" s="106" t="n">
        <v>0</v>
      </c>
      <c r="AF451" s="106" t="n"/>
      <c r="AG451" s="106" t="n">
        <v>228234.10595496</v>
      </c>
      <c r="AH451" s="106" t="n">
        <v>0</v>
      </c>
      <c r="AI451" s="106" t="n">
        <v>6212039.0494932</v>
      </c>
      <c r="AJ451" s="106" t="n">
        <v>0</v>
      </c>
      <c r="AK451" s="106" t="n">
        <v>0</v>
      </c>
      <c r="AL451" s="106" t="n">
        <v>0</v>
      </c>
      <c r="AM451" s="106" t="n">
        <v>1131847.9648</v>
      </c>
      <c r="AN451" s="114" t="n">
        <v>125332.1882</v>
      </c>
      <c r="AO451" s="115" t="n">
        <v>241307.2274738</v>
      </c>
      <c r="AP451" s="112" t="e">
        <f aca="false" ca="false" dt2D="false" dtr="false" t="normal">+N451-#REF!</f>
        <v>#REF!</v>
      </c>
      <c r="AQ451" s="1" t="n">
        <v>397731.31</v>
      </c>
      <c r="AR451" s="3" t="n">
        <f aca="false" ca="false" dt2D="false" dtr="false" t="normal">+(K451*10+L451*20)*12*0.85</f>
        <v>138118.19999999998</v>
      </c>
      <c r="AS451" s="3" t="n">
        <f aca="false" ca="false" dt2D="false" dtr="false" t="normal">+(K451*10+L451*20)*12*30</f>
        <v>4874760</v>
      </c>
      <c r="AT451" s="9" t="n">
        <f aca="false" ca="false" dt2D="false" dtr="false" t="normal">+S451-AS451</f>
        <v>-4454535.93628904</v>
      </c>
      <c r="AU451" s="9" t="e">
        <f aca="false" ca="false" dt2D="false" dtr="false" t="normal">+P451-'[5]Приложение №1'!$P653</f>
        <v>#REF!</v>
      </c>
      <c r="AV451" s="9" t="e">
        <f aca="false" ca="false" dt2D="false" dtr="false" t="normal">+Q451-'[5]Приложение №1'!$Q653</f>
        <v>#REF!</v>
      </c>
      <c r="AW451" s="113" t="n">
        <f aca="false" ca="true" dt2D="false" dtr="false" t="normal">SUBTOTAL(9, AX451:BL451)</f>
        <v>4380113.423866</v>
      </c>
      <c r="AX451" s="106" t="n">
        <v>2339408.797698</v>
      </c>
      <c r="AY451" s="106" t="n">
        <v>1449960.637524</v>
      </c>
      <c r="AZ451" s="106" t="n"/>
      <c r="BA451" s="106" t="n"/>
      <c r="BB451" s="106" t="n">
        <v>0</v>
      </c>
      <c r="BC451" s="106" t="n"/>
      <c r="BD451" s="106" t="n">
        <v>228234.10595496</v>
      </c>
      <c r="BE451" s="106" t="n">
        <v>0</v>
      </c>
      <c r="BF451" s="106" t="n"/>
      <c r="BG451" s="106" t="n">
        <v>0</v>
      </c>
      <c r="BH451" s="106" t="n">
        <v>0</v>
      </c>
      <c r="BI451" s="106" t="n">
        <v>0</v>
      </c>
      <c r="BJ451" s="106" t="n">
        <v>99074.3682</v>
      </c>
      <c r="BK451" s="114" t="n">
        <v>26379.8482</v>
      </c>
      <c r="BL451" s="187" t="n">
        <v>237055.66628904</v>
      </c>
      <c r="BM451" s="113" t="n">
        <f aca="false" ca="true" dt2D="false" dtr="false" t="normal">SUBTOTAL(9, BN451:CB451)</f>
        <v>4380113.423866</v>
      </c>
      <c r="BN451" s="106" t="n">
        <v>2339408.797698</v>
      </c>
      <c r="BO451" s="106" t="n">
        <v>1449960.637524</v>
      </c>
      <c r="BP451" s="106" t="n"/>
      <c r="BQ451" s="106" t="n"/>
      <c r="BR451" s="106" t="n">
        <v>0</v>
      </c>
      <c r="BS451" s="106" t="n"/>
      <c r="BT451" s="106" t="n">
        <v>228234.10595496</v>
      </c>
      <c r="BU451" s="106" t="n">
        <v>0</v>
      </c>
      <c r="BV451" s="106" t="n"/>
      <c r="BW451" s="106" t="n">
        <v>0</v>
      </c>
      <c r="BX451" s="106" t="n">
        <v>0</v>
      </c>
      <c r="BY451" s="106" t="n">
        <v>0</v>
      </c>
      <c r="BZ451" s="106" t="n">
        <v>99074.3682</v>
      </c>
      <c r="CA451" s="114" t="n">
        <v>26379.8482</v>
      </c>
      <c r="CB451" s="115" t="n">
        <v>237055.66628904</v>
      </c>
      <c r="CD451" s="116" t="n">
        <f aca="false" ca="false" dt2D="false" dtr="false" t="normal">+CD450+1</f>
        <v>430</v>
      </c>
      <c r="CE451" s="117" t="n">
        <f aca="false" ca="false" dt2D="false" dtr="false" t="normal">+CE450+1</f>
        <v>219</v>
      </c>
      <c r="CF451" s="104" t="s">
        <v>209</v>
      </c>
      <c r="CG451" s="117" t="s">
        <v>498</v>
      </c>
      <c r="CH451" s="118" t="n">
        <f aca="false" ca="true" dt2D="false" dtr="false" t="normal">SUBTOTAL(9, CI451:CW451)</f>
        <v>857470.99628904</v>
      </c>
      <c r="CI451" s="114" t="n"/>
      <c r="CJ451" s="114" t="n">
        <v>601824.37</v>
      </c>
      <c r="CK451" s="114" t="n"/>
      <c r="CL451" s="114" t="n"/>
      <c r="CM451" s="114" t="n">
        <v>0</v>
      </c>
      <c r="CN451" s="114" t="n"/>
      <c r="CO451" s="114" t="n"/>
      <c r="CP451" s="114" t="n">
        <v>0</v>
      </c>
      <c r="CQ451" s="114" t="n"/>
      <c r="CR451" s="114" t="n">
        <v>0</v>
      </c>
      <c r="CS451" s="114" t="n">
        <v>0</v>
      </c>
      <c r="CT451" s="114" t="n">
        <v>0</v>
      </c>
      <c r="CU451" s="114" t="n">
        <v>13790.96</v>
      </c>
      <c r="CV451" s="114" t="n">
        <v>4800</v>
      </c>
      <c r="CW451" s="115" t="n">
        <v>237055.66628904</v>
      </c>
      <c r="CZ451" s="117" t="s">
        <v>498</v>
      </c>
      <c r="DA451" s="119" t="n">
        <f aca="false" ca="true" dt2D="false" dtr="false" t="normal">SUBTOTAL(9, DB451:DP451)</f>
        <v>620415.33</v>
      </c>
      <c r="DB451" s="114" t="n"/>
      <c r="DC451" s="114" t="n">
        <v>601824.37</v>
      </c>
      <c r="DD451" s="114" t="n"/>
      <c r="DE451" s="114" t="n"/>
      <c r="DF451" s="114" t="n">
        <v>0</v>
      </c>
      <c r="DG451" s="114" t="n"/>
      <c r="DH451" s="114" t="n"/>
      <c r="DI451" s="114" t="n">
        <v>0</v>
      </c>
      <c r="DJ451" s="114" t="n"/>
      <c r="DK451" s="114" t="n">
        <v>0</v>
      </c>
      <c r="DL451" s="114" t="n">
        <v>0</v>
      </c>
      <c r="DM451" s="114" t="n">
        <v>0</v>
      </c>
      <c r="DN451" s="114" t="n">
        <v>13790.96</v>
      </c>
      <c r="DO451" s="114" t="n">
        <v>4800</v>
      </c>
      <c r="DP451" s="122" t="n"/>
      <c r="DQ451" s="3" t="n">
        <f aca="false" ca="false" dt2D="false" dtr="false" t="normal">N451-DA451</f>
        <v>0</v>
      </c>
      <c r="DS451" s="9" t="n"/>
    </row>
    <row hidden="false" ht="15" outlineLevel="0" r="452">
      <c r="A452" s="183" t="n">
        <f aca="false" ca="false" dt2D="false" dtr="false" t="normal">+A451+1</f>
        <v>431</v>
      </c>
      <c r="B452" s="117" t="s">
        <v>463</v>
      </c>
      <c r="C452" s="104" t="s">
        <v>209</v>
      </c>
      <c r="D452" s="104" t="s">
        <v>210</v>
      </c>
      <c r="E452" s="105" t="n">
        <v>1976</v>
      </c>
      <c r="F452" s="105" t="n">
        <v>2008</v>
      </c>
      <c r="G452" s="105" t="s">
        <v>68</v>
      </c>
      <c r="H452" s="105" t="n">
        <v>4</v>
      </c>
      <c r="I452" s="105" t="n">
        <v>4</v>
      </c>
      <c r="J452" s="106" t="n">
        <v>4257.32</v>
      </c>
      <c r="K452" s="106" t="n">
        <v>3128.38</v>
      </c>
      <c r="L452" s="106" t="n">
        <v>991.08</v>
      </c>
      <c r="M452" s="107" t="n">
        <v>124</v>
      </c>
      <c r="N452" s="108" t="n">
        <f aca="false" ca="false" dt2D="false" dtr="false" t="normal">SUM(P452:T452)</f>
        <v>223889.01</v>
      </c>
      <c r="O452" s="106" t="n"/>
      <c r="P452" s="114" t="n"/>
      <c r="Q452" s="114" t="n"/>
      <c r="R452" s="114" t="n">
        <v>223889.01</v>
      </c>
      <c r="S452" s="114" t="n"/>
      <c r="T452" s="190" t="n"/>
      <c r="U452" s="106" t="n">
        <v>1050.5361310074</v>
      </c>
      <c r="V452" s="106" t="n">
        <v>1050.5361310074</v>
      </c>
      <c r="W452" s="110" t="n">
        <v>2023</v>
      </c>
      <c r="X452" s="9" t="e">
        <f aca="false" ca="false" dt2D="false" dtr="false" t="normal">+#REF!-'[9]Приложение №1'!$P814</f>
        <v>#REF!</v>
      </c>
      <c r="Z452" s="113" t="n">
        <f aca="false" ca="false" dt2D="false" dtr="false" t="normal">SUM(AA452:AO452)</f>
        <v>16411728.57</v>
      </c>
      <c r="AA452" s="106" t="n">
        <v>7185234.17054898</v>
      </c>
      <c r="AB452" s="106" t="n">
        <v>2542217.28366648</v>
      </c>
      <c r="AC452" s="106" t="n">
        <v>0</v>
      </c>
      <c r="AD452" s="106" t="n">
        <v>1662855.463857</v>
      </c>
      <c r="AE452" s="106" t="n">
        <v>2127796.98241194</v>
      </c>
      <c r="AF452" s="106" t="n"/>
      <c r="AG452" s="106" t="n">
        <v>285097.02429768</v>
      </c>
      <c r="AH452" s="106" t="n">
        <v>0</v>
      </c>
      <c r="AI452" s="106" t="n">
        <v>0</v>
      </c>
      <c r="AJ452" s="106" t="n">
        <v>0</v>
      </c>
      <c r="AK452" s="106" t="n">
        <v>0</v>
      </c>
      <c r="AL452" s="106" t="n">
        <v>0</v>
      </c>
      <c r="AM452" s="106" t="n">
        <v>2142562.3115</v>
      </c>
      <c r="AN452" s="114" t="n">
        <v>164117.2857</v>
      </c>
      <c r="AO452" s="115" t="n">
        <v>301848.04801792</v>
      </c>
      <c r="AP452" s="112" t="n">
        <f aca="false" ca="false" dt2D="false" dtr="false" t="normal">+N452-'Приложение №2'!E438</f>
        <v>-1227270.64</v>
      </c>
      <c r="AQ452" s="9" t="n">
        <f aca="false" ca="false" dt2D="false" dtr="false" t="normal">1377282.4-565094.81-R191</f>
        <v>645001.5199999998</v>
      </c>
      <c r="AR452" s="3" t="n">
        <f aca="false" ca="false" dt2D="false" dtr="false" t="normal">+(K452*10+L452*20)*12*0.85</f>
        <v>521275.08</v>
      </c>
      <c r="AS452" s="3" t="n">
        <f aca="false" ca="false" dt2D="false" dtr="false" t="normal">+(K452*10+L452*20)*12*30-180969.62-S191</f>
        <v>17384046.41</v>
      </c>
      <c r="AT452" s="9" t="n">
        <f aca="false" ca="false" dt2D="false" dtr="false" t="normal">+S452-AS452</f>
        <v>-17384046.41</v>
      </c>
      <c r="AU452" s="9" t="e">
        <f aca="false" ca="false" dt2D="false" dtr="false" t="normal">+P452-'[5]Приложение №1'!$P404</f>
        <v>#REF!</v>
      </c>
      <c r="AV452" s="9" t="e">
        <f aca="false" ca="false" dt2D="false" dtr="false" t="normal">+Q452-'[5]Приложение №1'!$Q404</f>
        <v>#REF!</v>
      </c>
      <c r="AW452" s="113" t="n">
        <f aca="false" ca="true" dt2D="false" dtr="false" t="normal">SUBTOTAL(9, AX452:BL452)</f>
        <v>3488921.06023974</v>
      </c>
      <c r="AX452" s="106" t="n"/>
      <c r="AY452" s="106" t="n"/>
      <c r="AZ452" s="106" t="n">
        <v>0</v>
      </c>
      <c r="BA452" s="106" t="n">
        <v>1796569.131756</v>
      </c>
      <c r="BB452" s="106" t="n"/>
      <c r="BC452" s="106" t="n"/>
      <c r="BD452" s="106" t="n"/>
      <c r="BE452" s="106" t="n">
        <v>0</v>
      </c>
      <c r="BF452" s="106" t="n">
        <v>0</v>
      </c>
      <c r="BG452" s="106" t="n">
        <v>1450733.92</v>
      </c>
      <c r="BH452" s="106" t="n">
        <v>0</v>
      </c>
      <c r="BI452" s="106" t="n"/>
      <c r="BJ452" s="106" t="n"/>
      <c r="BK452" s="114" t="n"/>
      <c r="BL452" s="187" t="n">
        <v>241618.00848374</v>
      </c>
      <c r="BM452" s="113" t="n">
        <f aca="false" ca="true" dt2D="false" dtr="false" t="normal">SUBTOTAL(9, BN452:CB452)</f>
        <v>4327641.5702397395</v>
      </c>
      <c r="BN452" s="106" t="n"/>
      <c r="BO452" s="106" t="n"/>
      <c r="BP452" s="106" t="n">
        <v>0</v>
      </c>
      <c r="BQ452" s="106" t="n">
        <v>1796569.131756</v>
      </c>
      <c r="BR452" s="106" t="n"/>
      <c r="BS452" s="106" t="n"/>
      <c r="BT452" s="106" t="n"/>
      <c r="BU452" s="106" t="n">
        <v>0</v>
      </c>
      <c r="BV452" s="106" t="n">
        <v>0</v>
      </c>
      <c r="BW452" s="106" t="n">
        <v>2289454.43</v>
      </c>
      <c r="BX452" s="106" t="n">
        <v>0</v>
      </c>
      <c r="BY452" s="106" t="n"/>
      <c r="BZ452" s="106" t="n"/>
      <c r="CA452" s="114" t="n"/>
      <c r="CB452" s="115" t="n">
        <v>241618.00848374</v>
      </c>
      <c r="CD452" s="116" t="n">
        <f aca="false" ca="false" dt2D="false" dtr="false" t="normal">+CD451+1</f>
        <v>431</v>
      </c>
      <c r="CE452" s="117" t="s">
        <v>463</v>
      </c>
      <c r="CF452" s="104" t="s">
        <v>209</v>
      </c>
      <c r="CG452" s="117" t="s">
        <v>210</v>
      </c>
      <c r="CH452" s="118" t="n">
        <f aca="false" ca="true" dt2D="false" dtr="false" t="normal">SUBTOTAL(9, CI452:CW452)</f>
        <v>465507.01848374004</v>
      </c>
      <c r="CI452" s="114" t="n"/>
      <c r="CJ452" s="114" t="n"/>
      <c r="CK452" s="114" t="n">
        <v>0</v>
      </c>
      <c r="CL452" s="114" t="n">
        <v>223889.01</v>
      </c>
      <c r="CM452" s="114" t="n"/>
      <c r="CN452" s="114" t="n"/>
      <c r="CO452" s="114" t="n"/>
      <c r="CP452" s="114" t="n">
        <v>0</v>
      </c>
      <c r="CQ452" s="114" t="n">
        <v>0</v>
      </c>
      <c r="CR452" s="114" t="n"/>
      <c r="CS452" s="114" t="n">
        <v>0</v>
      </c>
      <c r="CT452" s="114" t="n"/>
      <c r="CU452" s="114" t="n"/>
      <c r="CV452" s="114" t="n"/>
      <c r="CW452" s="115" t="n">
        <v>241618.00848374</v>
      </c>
      <c r="CZ452" s="117" t="s">
        <v>210</v>
      </c>
      <c r="DA452" s="119" t="n">
        <f aca="false" ca="true" dt2D="false" dtr="false" t="normal">SUBTOTAL(9, DB452:DP452)</f>
        <v>223889.01</v>
      </c>
      <c r="DB452" s="114" t="n"/>
      <c r="DC452" s="114" t="n"/>
      <c r="DD452" s="114" t="n">
        <v>0</v>
      </c>
      <c r="DE452" s="114" t="n">
        <v>223889.01</v>
      </c>
      <c r="DF452" s="114" t="n"/>
      <c r="DG452" s="114" t="n"/>
      <c r="DH452" s="114" t="n"/>
      <c r="DI452" s="114" t="n">
        <v>0</v>
      </c>
      <c r="DJ452" s="114" t="n">
        <v>0</v>
      </c>
      <c r="DK452" s="114" t="n"/>
      <c r="DL452" s="114" t="n">
        <v>0</v>
      </c>
      <c r="DM452" s="114" t="n"/>
      <c r="DN452" s="114" t="n"/>
      <c r="DO452" s="114" t="n"/>
      <c r="DP452" s="122" t="n"/>
      <c r="DQ452" s="3" t="n">
        <f aca="false" ca="false" dt2D="false" dtr="false" t="normal">N452-DA452</f>
        <v>0</v>
      </c>
      <c r="DS452" s="9" t="n"/>
    </row>
    <row hidden="false" ht="15" outlineLevel="0" r="453">
      <c r="A453" s="183" t="n">
        <f aca="false" ca="false" dt2D="false" dtr="false" t="normal">+A452+1</f>
        <v>432</v>
      </c>
      <c r="B453" s="117" t="s">
        <v>463</v>
      </c>
      <c r="C453" s="117" t="s">
        <v>209</v>
      </c>
      <c r="D453" s="117" t="s">
        <v>212</v>
      </c>
      <c r="E453" s="105" t="n">
        <v>1975</v>
      </c>
      <c r="F453" s="105" t="n">
        <v>2008</v>
      </c>
      <c r="G453" s="105" t="s">
        <v>68</v>
      </c>
      <c r="H453" s="105" t="n">
        <v>4</v>
      </c>
      <c r="I453" s="105" t="n">
        <v>4</v>
      </c>
      <c r="J453" s="106" t="n">
        <v>4182.96</v>
      </c>
      <c r="K453" s="106" t="n">
        <v>3048.03</v>
      </c>
      <c r="L453" s="106" t="n">
        <v>978.37</v>
      </c>
      <c r="M453" s="107" t="n">
        <v>135</v>
      </c>
      <c r="N453" s="108" t="n">
        <f aca="false" ca="false" dt2D="false" dtr="false" t="normal">SUM(P453:T453)</f>
        <v>223889.01</v>
      </c>
      <c r="O453" s="114" t="n"/>
      <c r="P453" s="114" t="n"/>
      <c r="Q453" s="114" t="n"/>
      <c r="R453" s="3" t="n">
        <v>223889.01</v>
      </c>
      <c r="S453" s="114" t="n"/>
      <c r="T453" s="190" t="n"/>
      <c r="U453" s="106" t="n">
        <v>1849.23882793194</v>
      </c>
      <c r="V453" s="106" t="n">
        <v>1849.23882793194</v>
      </c>
      <c r="W453" s="110" t="n">
        <v>2023</v>
      </c>
      <c r="X453" s="9" t="e">
        <f aca="false" ca="false" dt2D="false" dtr="false" t="normal">+#REF!-'[9]Приложение №1'!$P816</f>
        <v>#REF!</v>
      </c>
      <c r="Z453" s="113" t="n">
        <f aca="false" ca="false" dt2D="false" dtr="false" t="normal">SUM(AA453:AO453)</f>
        <v>16048675.259999998</v>
      </c>
      <c r="AA453" s="106" t="n">
        <v>7026285.46716642</v>
      </c>
      <c r="AB453" s="106" t="n">
        <v>2485979.42679534</v>
      </c>
      <c r="AC453" s="106" t="n">
        <v>0</v>
      </c>
      <c r="AD453" s="106" t="n">
        <v>1626070.4809314</v>
      </c>
      <c r="AE453" s="106" t="n">
        <v>2080726.75788894</v>
      </c>
      <c r="AF453" s="106" t="n"/>
      <c r="AG453" s="106" t="n">
        <v>278790.22600296</v>
      </c>
      <c r="AH453" s="106" t="n">
        <v>0</v>
      </c>
      <c r="AI453" s="106" t="n">
        <v>0</v>
      </c>
      <c r="AJ453" s="106" t="n">
        <v>0</v>
      </c>
      <c r="AK453" s="106" t="n">
        <v>0</v>
      </c>
      <c r="AL453" s="106" t="n">
        <v>0</v>
      </c>
      <c r="AM453" s="106" t="n">
        <v>2095165.4553</v>
      </c>
      <c r="AN453" s="114" t="n">
        <v>160486.7526</v>
      </c>
      <c r="AO453" s="115" t="n">
        <v>295170.69331494</v>
      </c>
      <c r="AP453" s="112" t="n">
        <f aca="false" ca="false" dt2D="false" dtr="false" t="normal">+N453-'Приложение №2'!E439</f>
        <v>-312813.35</v>
      </c>
      <c r="AQ453" s="1" t="n">
        <f aca="false" ca="false" dt2D="false" dtr="false" t="normal">1500891.17-445165.35</f>
        <v>1055725.8199999998</v>
      </c>
      <c r="AR453" s="3" t="n">
        <f aca="false" ca="false" dt2D="false" dtr="false" t="normal">+(K453*10+L453*20)*12*0.85</f>
        <v>510486.54</v>
      </c>
      <c r="AS453" s="3" t="n">
        <f aca="false" ca="false" dt2D="false" dtr="false" t="normal">+(K453*10+L453*20)*12*30-179374.89</f>
        <v>17837797.11</v>
      </c>
      <c r="AT453" s="9" t="n">
        <f aca="false" ca="false" dt2D="false" dtr="false" t="normal">+S453-AS453</f>
        <v>-17837797.11</v>
      </c>
      <c r="AU453" s="9" t="e">
        <f aca="false" ca="false" dt2D="false" dtr="false" t="normal">+P453-'[5]Приложение №1'!$P406</f>
        <v>#REF!</v>
      </c>
      <c r="AV453" s="9" t="e">
        <f aca="false" ca="false" dt2D="false" dtr="false" t="normal">+Q453-'[5]Приложение №1'!$Q406</f>
        <v>#REF!</v>
      </c>
      <c r="AW453" s="113" t="n">
        <f aca="false" ca="true" dt2D="false" dtr="false" t="normal">SUBTOTAL(9, AX453:BL453)</f>
        <v>6482605.136785161</v>
      </c>
      <c r="AX453" s="106" t="n"/>
      <c r="AY453" s="106" t="n">
        <v>2485979.42679534</v>
      </c>
      <c r="AZ453" s="106" t="n">
        <v>0</v>
      </c>
      <c r="BA453" s="106" t="n">
        <v>1661185.08</v>
      </c>
      <c r="BB453" s="106" t="n"/>
      <c r="BC453" s="106" t="n"/>
      <c r="BD453" s="106" t="n"/>
      <c r="BE453" s="106" t="n">
        <v>0</v>
      </c>
      <c r="BF453" s="106" t="n">
        <v>0</v>
      </c>
      <c r="BG453" s="106" t="n">
        <v>2047663.62</v>
      </c>
      <c r="BH453" s="106" t="n">
        <v>0</v>
      </c>
      <c r="BI453" s="106" t="n"/>
      <c r="BJ453" s="106" t="n"/>
      <c r="BK453" s="114" t="n"/>
      <c r="BL453" s="187" t="n">
        <v>287777.00998982</v>
      </c>
      <c r="BM453" s="113" t="n">
        <f aca="false" ca="true" dt2D="false" dtr="false" t="normal">SUBTOTAL(9, BN453:CB453)</f>
        <v>7445775.216785161</v>
      </c>
      <c r="BN453" s="106" t="n"/>
      <c r="BO453" s="106" t="n">
        <v>2485979.42679534</v>
      </c>
      <c r="BP453" s="106" t="n">
        <v>0</v>
      </c>
      <c r="BQ453" s="106" t="n">
        <v>1661185.08</v>
      </c>
      <c r="BR453" s="106" t="n"/>
      <c r="BS453" s="106" t="n"/>
      <c r="BT453" s="106" t="n"/>
      <c r="BU453" s="106" t="n">
        <v>0</v>
      </c>
      <c r="BV453" s="106" t="n">
        <v>0</v>
      </c>
      <c r="BW453" s="106" t="n">
        <v>3010833.7</v>
      </c>
      <c r="BX453" s="106" t="n">
        <v>0</v>
      </c>
      <c r="BY453" s="106" t="n"/>
      <c r="BZ453" s="106" t="n"/>
      <c r="CA453" s="114" t="n"/>
      <c r="CB453" s="115" t="n">
        <v>287777.00998982</v>
      </c>
      <c r="CD453" s="116" t="n">
        <f aca="false" ca="false" dt2D="false" dtr="false" t="normal">+CD452+1</f>
        <v>432</v>
      </c>
      <c r="CE453" s="117" t="s">
        <v>463</v>
      </c>
      <c r="CF453" s="104" t="s">
        <v>209</v>
      </c>
      <c r="CG453" s="117" t="s">
        <v>212</v>
      </c>
      <c r="CH453" s="118" t="n">
        <f aca="false" ca="true" dt2D="false" dtr="false" t="normal">SUBTOTAL(9, CI453:CW453)</f>
        <v>511666.01998982</v>
      </c>
      <c r="CI453" s="114" t="n"/>
      <c r="CJ453" s="114" t="n"/>
      <c r="CK453" s="114" t="n">
        <v>0</v>
      </c>
      <c r="CL453" s="114" t="n">
        <v>223889.01</v>
      </c>
      <c r="CM453" s="114" t="n"/>
      <c r="CN453" s="114" t="n"/>
      <c r="CO453" s="114" t="n"/>
      <c r="CP453" s="114" t="n">
        <v>0</v>
      </c>
      <c r="CQ453" s="114" t="n">
        <v>0</v>
      </c>
      <c r="CR453" s="114" t="n"/>
      <c r="CS453" s="114" t="n">
        <v>0</v>
      </c>
      <c r="CT453" s="114" t="n"/>
      <c r="CU453" s="114" t="n"/>
      <c r="CV453" s="114" t="n"/>
      <c r="CW453" s="115" t="n">
        <v>287777.00998982</v>
      </c>
      <c r="CZ453" s="117" t="s">
        <v>212</v>
      </c>
      <c r="DA453" s="119" t="n">
        <f aca="false" ca="true" dt2D="false" dtr="false" t="normal">SUBTOTAL(9, DB453:DP453)</f>
        <v>223889.01</v>
      </c>
      <c r="DB453" s="114" t="n"/>
      <c r="DC453" s="114" t="n"/>
      <c r="DD453" s="114" t="n">
        <v>0</v>
      </c>
      <c r="DE453" s="114" t="n">
        <v>223889.01</v>
      </c>
      <c r="DF453" s="114" t="n"/>
      <c r="DG453" s="114" t="n"/>
      <c r="DH453" s="114" t="n"/>
      <c r="DI453" s="114" t="n">
        <v>0</v>
      </c>
      <c r="DJ453" s="114" t="n">
        <v>0</v>
      </c>
      <c r="DK453" s="114" t="n"/>
      <c r="DL453" s="114" t="n">
        <v>0</v>
      </c>
      <c r="DM453" s="114" t="n"/>
      <c r="DN453" s="114" t="n"/>
      <c r="DO453" s="114" t="n"/>
      <c r="DP453" s="122" t="n"/>
      <c r="DQ453" s="3" t="n">
        <f aca="false" ca="false" dt2D="false" dtr="false" t="normal">N453-DA453</f>
        <v>0</v>
      </c>
      <c r="DS453" s="9" t="n"/>
    </row>
    <row hidden="false" ht="15" outlineLevel="0" r="454">
      <c r="A454" s="183" t="n">
        <f aca="false" ca="false" dt2D="false" dtr="false" t="normal">+A453+1</f>
        <v>433</v>
      </c>
      <c r="B454" s="117" t="n">
        <v>220</v>
      </c>
      <c r="C454" s="104" t="s">
        <v>209</v>
      </c>
      <c r="D454" s="104" t="s">
        <v>213</v>
      </c>
      <c r="E454" s="105" t="n">
        <v>1978</v>
      </c>
      <c r="F454" s="105" t="n">
        <v>2007</v>
      </c>
      <c r="G454" s="105" t="s">
        <v>68</v>
      </c>
      <c r="H454" s="105" t="n">
        <v>4</v>
      </c>
      <c r="I454" s="105" t="n">
        <v>4</v>
      </c>
      <c r="J454" s="106" t="n">
        <v>3576.31</v>
      </c>
      <c r="K454" s="106" t="n">
        <v>2733.31</v>
      </c>
      <c r="L454" s="106" t="n">
        <v>843</v>
      </c>
      <c r="M454" s="107" t="n">
        <v>110</v>
      </c>
      <c r="N454" s="108" t="n">
        <f aca="false" ca="false" dt2D="false" dtr="false" t="normal">SUM(P454:T454)</f>
        <v>2917814.5300000003</v>
      </c>
      <c r="O454" s="106" t="n"/>
      <c r="P454" s="106" t="n">
        <v>1242484.12</v>
      </c>
      <c r="Q454" s="114" t="n"/>
      <c r="R454" s="114" t="n">
        <v>750843.5951458</v>
      </c>
      <c r="S454" s="114" t="n">
        <v>924486.8148542</v>
      </c>
      <c r="T454" s="190" t="n"/>
      <c r="U454" s="106" t="n">
        <v>865.450742565885</v>
      </c>
      <c r="V454" s="106" t="n">
        <v>865.450742565885</v>
      </c>
      <c r="W454" s="110" t="n">
        <v>2023</v>
      </c>
      <c r="X454" s="9" t="e">
        <f aca="false" ca="false" dt2D="false" dtr="false" t="normal">+#REF!-'[9]Приложение №1'!$P755</f>
        <v>#REF!</v>
      </c>
      <c r="Z454" s="113" t="n">
        <f aca="false" ca="false" dt2D="false" dtr="false" t="normal">SUM(AA454:AO454)</f>
        <v>14323988.610000001</v>
      </c>
      <c r="AA454" s="106" t="n">
        <v>6271198.80065406</v>
      </c>
      <c r="AB454" s="106" t="n">
        <v>2218821.2026701</v>
      </c>
      <c r="AC454" s="106" t="n">
        <v>0</v>
      </c>
      <c r="AD454" s="106" t="n">
        <v>1451323.22117916</v>
      </c>
      <c r="AE454" s="106" t="n">
        <v>1857119.41303938</v>
      </c>
      <c r="AF454" s="106" t="n"/>
      <c r="AG454" s="106" t="n">
        <v>248829.75972036</v>
      </c>
      <c r="AH454" s="106" t="n">
        <v>0</v>
      </c>
      <c r="AI454" s="106" t="n">
        <v>0</v>
      </c>
      <c r="AJ454" s="106" t="n">
        <v>0</v>
      </c>
      <c r="AK454" s="106" t="n">
        <v>0</v>
      </c>
      <c r="AL454" s="106" t="n">
        <v>0</v>
      </c>
      <c r="AM454" s="106" t="n">
        <v>1870006.4418</v>
      </c>
      <c r="AN454" s="114" t="n">
        <v>143239.8861</v>
      </c>
      <c r="AO454" s="115" t="n">
        <v>263449.88483694</v>
      </c>
      <c r="AP454" s="112" t="n">
        <f aca="false" ca="false" dt2D="false" dtr="false" t="normal">+N454-'Приложение №2'!E454</f>
        <v>0</v>
      </c>
      <c r="AQ454" s="1" t="n">
        <f aca="false" ca="false" dt2D="false" dtr="false" t="normal">1278728.82-485172.67</f>
        <v>793556.1500000001</v>
      </c>
      <c r="AR454" s="3" t="n">
        <f aca="false" ca="false" dt2D="false" dtr="false" t="normal">+(K454*10+L454*20)*12*0.85</f>
        <v>450769.61999999994</v>
      </c>
      <c r="AS454" s="3" t="n">
        <f aca="false" ca="false" dt2D="false" dtr="false" t="normal">+(K454*10+L454*20)*12*30-175262.76</f>
        <v>15734253.239999998</v>
      </c>
      <c r="AT454" s="9" t="n">
        <f aca="false" ca="false" dt2D="false" dtr="false" t="normal">+S454-AS454</f>
        <v>-14809766.425145797</v>
      </c>
      <c r="AU454" s="9" t="e">
        <f aca="false" ca="false" dt2D="false" dtr="false" t="normal">+P454-'[5]Приложение №1'!$P345</f>
        <v>#REF!</v>
      </c>
      <c r="AV454" s="9" t="e">
        <f aca="false" ca="false" dt2D="false" dtr="false" t="normal">+Q454-'[5]Приложение №1'!$Q345</f>
        <v>#REF!</v>
      </c>
      <c r="AW454" s="113" t="n">
        <f aca="false" ca="true" dt2D="false" dtr="false" t="normal">SUBTOTAL(9, AX454:BL454)</f>
        <v>3095120.1451458</v>
      </c>
      <c r="AX454" s="106" t="n"/>
      <c r="AY454" s="106" t="n"/>
      <c r="AZ454" s="106" t="n">
        <v>0</v>
      </c>
      <c r="BA454" s="106" t="n">
        <v>1490189.54</v>
      </c>
      <c r="BB454" s="106" t="n"/>
      <c r="BC454" s="106" t="n"/>
      <c r="BD454" s="106" t="n"/>
      <c r="BE454" s="106" t="n">
        <v>0</v>
      </c>
      <c r="BF454" s="106" t="n">
        <v>0</v>
      </c>
      <c r="BG454" s="106" t="n">
        <v>1396600.96</v>
      </c>
      <c r="BH454" s="106" t="n">
        <v>0</v>
      </c>
      <c r="BI454" s="106" t="n"/>
      <c r="BJ454" s="106" t="n"/>
      <c r="BK454" s="114" t="n"/>
      <c r="BL454" s="187" t="n">
        <v>208329.6451458</v>
      </c>
      <c r="BM454" s="113" t="n">
        <f aca="false" ca="true" dt2D="false" dtr="false" t="normal">SUBTOTAL(9, BN454:CB454)</f>
        <v>3095120.1451458</v>
      </c>
      <c r="BN454" s="106" t="n"/>
      <c r="BO454" s="106" t="n"/>
      <c r="BP454" s="106" t="n">
        <v>0</v>
      </c>
      <c r="BQ454" s="106" t="n">
        <v>1490189.54</v>
      </c>
      <c r="BR454" s="106" t="n"/>
      <c r="BS454" s="106" t="n"/>
      <c r="BT454" s="106" t="n"/>
      <c r="BU454" s="106" t="n">
        <v>0</v>
      </c>
      <c r="BV454" s="106" t="n">
        <v>0</v>
      </c>
      <c r="BW454" s="106" t="n">
        <v>1396600.96</v>
      </c>
      <c r="BX454" s="106" t="n">
        <v>0</v>
      </c>
      <c r="BY454" s="106" t="n"/>
      <c r="BZ454" s="106" t="n"/>
      <c r="CA454" s="114" t="n"/>
      <c r="CB454" s="115" t="n">
        <v>208329.6451458</v>
      </c>
      <c r="CD454" s="116" t="n">
        <f aca="false" ca="false" dt2D="false" dtr="false" t="normal">+CD453+1</f>
        <v>433</v>
      </c>
      <c r="CE454" s="117" t="n">
        <v>220</v>
      </c>
      <c r="CF454" s="104" t="s">
        <v>209</v>
      </c>
      <c r="CG454" s="117" t="s">
        <v>213</v>
      </c>
      <c r="CH454" s="118" t="n">
        <f aca="false" ca="true" dt2D="false" dtr="false" t="normal">SUBTOTAL(9, CI454:CW454)</f>
        <v>3126144.1751458</v>
      </c>
      <c r="CI454" s="114" t="n"/>
      <c r="CJ454" s="114" t="n"/>
      <c r="CK454" s="114" t="n">
        <v>0</v>
      </c>
      <c r="CL454" s="114" t="n">
        <v>278729.45</v>
      </c>
      <c r="CM454" s="114" t="n"/>
      <c r="CN454" s="114" t="n"/>
      <c r="CO454" s="114" t="n"/>
      <c r="CP454" s="114" t="n">
        <v>0</v>
      </c>
      <c r="CQ454" s="114" t="n">
        <v>0</v>
      </c>
      <c r="CR454" s="114" t="n">
        <v>2639085.08</v>
      </c>
      <c r="CS454" s="114" t="n">
        <v>0</v>
      </c>
      <c r="CT454" s="114" t="n"/>
      <c r="CU454" s="114" t="n"/>
      <c r="CV454" s="114" t="n"/>
      <c r="CW454" s="115" t="n">
        <v>208329.6451458</v>
      </c>
      <c r="CZ454" s="117" t="s">
        <v>213</v>
      </c>
      <c r="DA454" s="119" t="n">
        <f aca="false" ca="true" dt2D="false" dtr="false" t="normal">SUBTOTAL(9, DB454:DP454)</f>
        <v>2917814.5300000003</v>
      </c>
      <c r="DB454" s="114" t="n"/>
      <c r="DC454" s="114" t="n"/>
      <c r="DD454" s="114" t="n">
        <v>0</v>
      </c>
      <c r="DE454" s="114" t="n">
        <v>278729.45</v>
      </c>
      <c r="DF454" s="114" t="n"/>
      <c r="DG454" s="114" t="n"/>
      <c r="DH454" s="114" t="n"/>
      <c r="DI454" s="114" t="n">
        <v>0</v>
      </c>
      <c r="DJ454" s="114" t="n">
        <v>0</v>
      </c>
      <c r="DK454" s="114" t="n">
        <v>2639085.08</v>
      </c>
      <c r="DL454" s="114" t="n">
        <v>0</v>
      </c>
      <c r="DM454" s="114" t="n"/>
      <c r="DN454" s="114" t="n"/>
      <c r="DO454" s="114" t="n"/>
      <c r="DP454" s="122" t="n"/>
      <c r="DQ454" s="3" t="n">
        <f aca="false" ca="false" dt2D="false" dtr="false" t="normal">N454-DA454</f>
        <v>0</v>
      </c>
      <c r="DS454" s="9" t="n"/>
    </row>
    <row hidden="false" ht="15" outlineLevel="0" r="455">
      <c r="A455" s="183" t="n">
        <f aca="false" ca="false" dt2D="false" dtr="false" t="normal">+A454+1</f>
        <v>434</v>
      </c>
      <c r="B455" s="117" t="n">
        <f aca="false" ca="false" dt2D="false" dtr="false" t="normal">+B454+1</f>
        <v>221</v>
      </c>
      <c r="C455" s="104" t="s">
        <v>404</v>
      </c>
      <c r="D455" s="104" t="s">
        <v>499</v>
      </c>
      <c r="E455" s="105" t="n">
        <v>1984</v>
      </c>
      <c r="F455" s="105" t="n">
        <v>2010</v>
      </c>
      <c r="G455" s="105" t="s">
        <v>68</v>
      </c>
      <c r="H455" s="105" t="n">
        <v>5</v>
      </c>
      <c r="I455" s="105" t="n">
        <v>4</v>
      </c>
      <c r="J455" s="106" t="n">
        <v>3209.1</v>
      </c>
      <c r="K455" s="106" t="n">
        <v>1814.6</v>
      </c>
      <c r="L455" s="106" t="n">
        <v>635</v>
      </c>
      <c r="M455" s="107" t="n">
        <v>66</v>
      </c>
      <c r="N455" s="108" t="n">
        <f aca="false" ca="false" dt2D="false" dtr="false" t="normal">SUM(P455:T455)</f>
        <v>492037.06</v>
      </c>
      <c r="O455" s="106" t="n"/>
      <c r="P455" s="114" t="n">
        <v>6743.23999999999</v>
      </c>
      <c r="Q455" s="114" t="n"/>
      <c r="R455" s="114" t="n">
        <v>485293.82</v>
      </c>
      <c r="S455" s="114" t="n"/>
      <c r="T455" s="190" t="n"/>
      <c r="U455" s="114" t="n">
        <v>214.883368496289</v>
      </c>
      <c r="V455" s="114" t="n">
        <v>214.883368496289</v>
      </c>
      <c r="W455" s="110" t="n">
        <v>2023</v>
      </c>
      <c r="X455" s="9" t="e">
        <f aca="false" ca="false" dt2D="false" dtr="false" t="normal">+#REF!-'[9]Приложение №1'!$P1748</f>
        <v>#REF!</v>
      </c>
      <c r="Z455" s="113" t="n">
        <f aca="false" ca="false" dt2D="false" dtr="false" t="normal">SUM(AA455:AO455)</f>
        <v>1865966.0654482802</v>
      </c>
      <c r="AA455" s="106" t="n"/>
      <c r="AB455" s="106" t="n"/>
      <c r="AC455" s="106" t="n"/>
      <c r="AD455" s="106" t="n">
        <v>1570389.57681701</v>
      </c>
      <c r="AE455" s="106" t="n">
        <v>0</v>
      </c>
      <c r="AF455" s="106" t="n"/>
      <c r="AG455" s="106" t="n">
        <v>0</v>
      </c>
      <c r="AH455" s="106" t="n">
        <v>0</v>
      </c>
      <c r="AI455" s="106" t="n">
        <v>0</v>
      </c>
      <c r="AJ455" s="106" t="n">
        <v>0</v>
      </c>
      <c r="AK455" s="106" t="n">
        <v>0</v>
      </c>
      <c r="AL455" s="106" t="n">
        <v>0</v>
      </c>
      <c r="AM455" s="106" t="n">
        <v>242575.588508277</v>
      </c>
      <c r="AN455" s="114" t="n">
        <v>18659.6606544829</v>
      </c>
      <c r="AO455" s="115" t="n">
        <v>34341.2394685102</v>
      </c>
      <c r="AP455" s="112" t="n">
        <f aca="false" ca="false" dt2D="false" dtr="false" t="normal">+N455-'Приложение №2'!E455</f>
        <v>0</v>
      </c>
      <c r="AQ455" s="1" t="n">
        <v>1304593.93</v>
      </c>
      <c r="AR455" s="3" t="n">
        <f aca="false" ca="false" dt2D="false" dtr="false" t="normal">+(K455*10+L455*20)*12*0.85</f>
        <v>314629.2</v>
      </c>
      <c r="AS455" s="3" t="n">
        <f aca="false" ca="false" dt2D="false" dtr="false" t="normal">+(K455*10+L455*20)*12*30</f>
        <v>11104560</v>
      </c>
      <c r="AT455" s="9" t="n">
        <f aca="false" ca="false" dt2D="false" dtr="false" t="normal">+S455-AS455</f>
        <v>-11104560</v>
      </c>
      <c r="AW455" s="113" t="n">
        <f aca="false" ca="true" dt2D="false" dtr="false" t="normal">SUBTOTAL(9, AX455:BL455)</f>
        <v>526378.2994685102</v>
      </c>
      <c r="AX455" s="106" t="n"/>
      <c r="AY455" s="106" t="n"/>
      <c r="AZ455" s="106" t="n"/>
      <c r="BA455" s="106" t="n">
        <v>492037.06</v>
      </c>
      <c r="BB455" s="106" t="n">
        <v>0</v>
      </c>
      <c r="BC455" s="106" t="n"/>
      <c r="BD455" s="106" t="n"/>
      <c r="BE455" s="106" t="n">
        <v>0</v>
      </c>
      <c r="BF455" s="106" t="n">
        <v>0</v>
      </c>
      <c r="BG455" s="106" t="n">
        <v>0</v>
      </c>
      <c r="BH455" s="106" t="n">
        <v>0</v>
      </c>
      <c r="BI455" s="106" t="n">
        <v>0</v>
      </c>
      <c r="BJ455" s="106" t="n"/>
      <c r="BK455" s="114" t="n"/>
      <c r="BL455" s="187" t="n">
        <v>34341.2394685102</v>
      </c>
      <c r="BM455" s="113" t="n">
        <f aca="false" ca="true" dt2D="false" dtr="false" t="normal">SUBTOTAL(9, BN455:CB455)</f>
        <v>526378.2994685102</v>
      </c>
      <c r="BN455" s="106" t="n"/>
      <c r="BO455" s="106" t="n"/>
      <c r="BP455" s="106" t="n"/>
      <c r="BQ455" s="106" t="n">
        <v>492037.06</v>
      </c>
      <c r="BR455" s="106" t="n">
        <v>0</v>
      </c>
      <c r="BS455" s="106" t="n"/>
      <c r="BT455" s="106" t="n"/>
      <c r="BU455" s="106" t="n">
        <v>0</v>
      </c>
      <c r="BV455" s="106" t="n">
        <v>0</v>
      </c>
      <c r="BW455" s="106" t="n">
        <v>0</v>
      </c>
      <c r="BX455" s="106" t="n">
        <v>0</v>
      </c>
      <c r="BY455" s="106" t="n">
        <v>0</v>
      </c>
      <c r="BZ455" s="106" t="n"/>
      <c r="CA455" s="114" t="n"/>
      <c r="CB455" s="115" t="n">
        <v>34341.2394685102</v>
      </c>
      <c r="CD455" s="116" t="n">
        <f aca="false" ca="false" dt2D="false" dtr="false" t="normal">+CD454+1</f>
        <v>434</v>
      </c>
      <c r="CE455" s="117" t="n">
        <v>221</v>
      </c>
      <c r="CF455" s="104" t="s">
        <v>404</v>
      </c>
      <c r="CG455" s="117" t="s">
        <v>499</v>
      </c>
      <c r="CH455" s="118" t="n">
        <f aca="false" ca="true" dt2D="false" dtr="false" t="normal">SUBTOTAL(9, CI455:CW455)</f>
        <v>526378.2994685102</v>
      </c>
      <c r="CI455" s="114" t="n"/>
      <c r="CJ455" s="114" t="n"/>
      <c r="CK455" s="114" t="n"/>
      <c r="CL455" s="114" t="n">
        <v>492037.06</v>
      </c>
      <c r="CM455" s="114" t="n">
        <v>0</v>
      </c>
      <c r="CN455" s="114" t="n"/>
      <c r="CO455" s="114" t="n"/>
      <c r="CP455" s="114" t="n">
        <v>0</v>
      </c>
      <c r="CQ455" s="114" t="n">
        <v>0</v>
      </c>
      <c r="CR455" s="114" t="n">
        <v>0</v>
      </c>
      <c r="CS455" s="114" t="n">
        <v>0</v>
      </c>
      <c r="CT455" s="114" t="n">
        <v>0</v>
      </c>
      <c r="CU455" s="114" t="n"/>
      <c r="CV455" s="114" t="n"/>
      <c r="CW455" s="115" t="n">
        <v>34341.2394685102</v>
      </c>
      <c r="CZ455" s="117" t="s">
        <v>499</v>
      </c>
      <c r="DA455" s="119" t="n">
        <f aca="false" ca="true" dt2D="false" dtr="false" t="normal">SUBTOTAL(9, DB455:DP455)</f>
        <v>492037.06</v>
      </c>
      <c r="DB455" s="114" t="n"/>
      <c r="DC455" s="114" t="n"/>
      <c r="DD455" s="114" t="n"/>
      <c r="DE455" s="114" t="n">
        <v>492037.06</v>
      </c>
      <c r="DF455" s="114" t="n">
        <v>0</v>
      </c>
      <c r="DG455" s="114" t="n"/>
      <c r="DH455" s="114" t="n"/>
      <c r="DI455" s="114" t="n">
        <v>0</v>
      </c>
      <c r="DJ455" s="114" t="n">
        <v>0</v>
      </c>
      <c r="DK455" s="114" t="n">
        <v>0</v>
      </c>
      <c r="DL455" s="114" t="n">
        <v>0</v>
      </c>
      <c r="DM455" s="114" t="n">
        <v>0</v>
      </c>
      <c r="DN455" s="114" t="n"/>
      <c r="DO455" s="114" t="n"/>
      <c r="DP455" s="122" t="n"/>
      <c r="DQ455" s="3" t="n">
        <f aca="false" ca="false" dt2D="false" dtr="false" t="normal">N455-DA455</f>
        <v>0</v>
      </c>
      <c r="DS455" s="9" t="n"/>
    </row>
    <row hidden="false" ht="15" outlineLevel="0" r="456">
      <c r="A456" s="183" t="n">
        <f aca="false" ca="false" dt2D="false" dtr="false" t="normal">+A455+1</f>
        <v>435</v>
      </c>
      <c r="B456" s="117" t="n">
        <f aca="false" ca="false" dt2D="false" dtr="false" t="normal">+B455+1</f>
        <v>222</v>
      </c>
      <c r="C456" s="104" t="s">
        <v>404</v>
      </c>
      <c r="D456" s="104" t="s">
        <v>500</v>
      </c>
      <c r="E456" s="105" t="n">
        <v>1979</v>
      </c>
      <c r="F456" s="105" t="n">
        <v>2013</v>
      </c>
      <c r="G456" s="105" t="s">
        <v>68</v>
      </c>
      <c r="H456" s="105" t="n">
        <v>5</v>
      </c>
      <c r="I456" s="105" t="n">
        <v>4</v>
      </c>
      <c r="J456" s="106" t="n">
        <v>3313.8</v>
      </c>
      <c r="K456" s="106" t="n">
        <v>2402.9</v>
      </c>
      <c r="L456" s="106" t="n">
        <v>0</v>
      </c>
      <c r="M456" s="107" t="n">
        <v>83</v>
      </c>
      <c r="N456" s="108" t="n">
        <f aca="false" ca="false" dt2D="false" dtr="false" t="normal">SUM(P456:T456)</f>
        <v>422534</v>
      </c>
      <c r="O456" s="106" t="n"/>
      <c r="P456" s="114" t="n">
        <v>2800.76000000001</v>
      </c>
      <c r="Q456" s="114" t="n"/>
      <c r="R456" s="114" t="n">
        <v>419733.24</v>
      </c>
      <c r="S456" s="114" t="n"/>
      <c r="T456" s="190" t="n"/>
      <c r="U456" s="114" t="n">
        <v>194.121344473719</v>
      </c>
      <c r="V456" s="114" t="n">
        <v>194.121344473719</v>
      </c>
      <c r="W456" s="110" t="n">
        <v>2023</v>
      </c>
      <c r="X456" s="9" t="e">
        <f aca="false" ca="false" dt2D="false" dtr="false" t="normal">+#REF!-'[9]Приложение №1'!$P1539</f>
        <v>#REF!</v>
      </c>
      <c r="Z456" s="113" t="n">
        <f aca="false" ca="false" dt2D="false" dtr="false" t="normal">SUM(AA456:AO456)</f>
        <v>2386447.437290719</v>
      </c>
      <c r="AA456" s="106" t="n"/>
      <c r="AB456" s="106" t="n"/>
      <c r="AC456" s="106" t="n"/>
      <c r="AD456" s="106" t="n">
        <v>2008424.61743412</v>
      </c>
      <c r="AE456" s="106" t="n">
        <v>0</v>
      </c>
      <c r="AF456" s="106" t="n"/>
      <c r="AG456" s="106" t="n">
        <v>0</v>
      </c>
      <c r="AH456" s="106" t="n">
        <v>0</v>
      </c>
      <c r="AI456" s="106" t="n">
        <v>0</v>
      </c>
      <c r="AJ456" s="106" t="n">
        <v>0</v>
      </c>
      <c r="AK456" s="106" t="n">
        <v>0</v>
      </c>
      <c r="AL456" s="106" t="n">
        <v>0</v>
      </c>
      <c r="AM456" s="106" t="n">
        <v>310238.166847793</v>
      </c>
      <c r="AN456" s="114" t="n">
        <v>23864.4743729072</v>
      </c>
      <c r="AO456" s="115" t="n">
        <v>43920.1786358984</v>
      </c>
      <c r="AP456" s="112" t="n">
        <f aca="false" ca="false" dt2D="false" dtr="false" t="normal">+N456-'Приложение №2'!E456</f>
        <v>0</v>
      </c>
      <c r="AQ456" s="1" t="n">
        <f aca="false" ca="false" dt2D="false" dtr="false" t="normal">846724.36-198805.3544</f>
        <v>647919.0056</v>
      </c>
      <c r="AR456" s="3" t="n">
        <f aca="false" ca="false" dt2D="false" dtr="false" t="normal">+(K456*10+L456*20)*12*0.85</f>
        <v>245095.8</v>
      </c>
      <c r="AS456" s="3" t="n">
        <f aca="false" ca="false" dt2D="false" dtr="false" t="normal">+(K456*10+L456*20)*12*30-658098.6</f>
        <v>7992341.4</v>
      </c>
      <c r="AT456" s="9" t="n">
        <f aca="false" ca="false" dt2D="false" dtr="false" t="normal">+S456-AS456</f>
        <v>-7992341.4</v>
      </c>
      <c r="AW456" s="113" t="n">
        <f aca="false" ca="true" dt2D="false" dtr="false" t="normal">SUBTOTAL(9, AX456:BL456)</f>
        <v>466454.1786358984</v>
      </c>
      <c r="AX456" s="106" t="n"/>
      <c r="AY456" s="106" t="n"/>
      <c r="AZ456" s="106" t="n"/>
      <c r="BA456" s="106" t="n">
        <v>422534</v>
      </c>
      <c r="BB456" s="106" t="n">
        <v>0</v>
      </c>
      <c r="BC456" s="106" t="n"/>
      <c r="BD456" s="106" t="n"/>
      <c r="BE456" s="106" t="n">
        <v>0</v>
      </c>
      <c r="BF456" s="106" t="n">
        <v>0</v>
      </c>
      <c r="BG456" s="106" t="n">
        <v>0</v>
      </c>
      <c r="BH456" s="106" t="n">
        <v>0</v>
      </c>
      <c r="BI456" s="106" t="n">
        <v>0</v>
      </c>
      <c r="BJ456" s="106" t="n"/>
      <c r="BK456" s="114" t="n"/>
      <c r="BL456" s="187" t="n">
        <v>43920.1786358984</v>
      </c>
      <c r="BM456" s="113" t="n">
        <f aca="false" ca="true" dt2D="false" dtr="false" t="normal">SUBTOTAL(9, BN456:CB456)</f>
        <v>466454.1786358984</v>
      </c>
      <c r="BN456" s="106" t="n"/>
      <c r="BO456" s="106" t="n"/>
      <c r="BP456" s="106" t="n"/>
      <c r="BQ456" s="106" t="n">
        <v>422534</v>
      </c>
      <c r="BR456" s="106" t="n">
        <v>0</v>
      </c>
      <c r="BS456" s="106" t="n"/>
      <c r="BT456" s="106" t="n"/>
      <c r="BU456" s="106" t="n">
        <v>0</v>
      </c>
      <c r="BV456" s="106" t="n">
        <v>0</v>
      </c>
      <c r="BW456" s="106" t="n">
        <v>0</v>
      </c>
      <c r="BX456" s="106" t="n">
        <v>0</v>
      </c>
      <c r="BY456" s="106" t="n">
        <v>0</v>
      </c>
      <c r="BZ456" s="106" t="n"/>
      <c r="CA456" s="114" t="n"/>
      <c r="CB456" s="115" t="n">
        <v>43920.1786358984</v>
      </c>
      <c r="CD456" s="116" t="n">
        <f aca="false" ca="false" dt2D="false" dtr="false" t="normal">+CD455+1</f>
        <v>435</v>
      </c>
      <c r="CE456" s="117" t="n">
        <v>222</v>
      </c>
      <c r="CF456" s="104" t="s">
        <v>404</v>
      </c>
      <c r="CG456" s="117" t="s">
        <v>500</v>
      </c>
      <c r="CH456" s="118" t="n">
        <f aca="false" ca="true" dt2D="false" dtr="false" t="normal">SUBTOTAL(9, CI456:CW456)</f>
        <v>466454.1786358984</v>
      </c>
      <c r="CI456" s="114" t="n"/>
      <c r="CJ456" s="114" t="n"/>
      <c r="CK456" s="114" t="n"/>
      <c r="CL456" s="114" t="n">
        <v>422534</v>
      </c>
      <c r="CM456" s="114" t="n">
        <v>0</v>
      </c>
      <c r="CN456" s="114" t="n"/>
      <c r="CO456" s="114" t="n"/>
      <c r="CP456" s="114" t="n">
        <v>0</v>
      </c>
      <c r="CQ456" s="114" t="n">
        <v>0</v>
      </c>
      <c r="CR456" s="114" t="n">
        <v>0</v>
      </c>
      <c r="CS456" s="114" t="n">
        <v>0</v>
      </c>
      <c r="CT456" s="114" t="n">
        <v>0</v>
      </c>
      <c r="CU456" s="114" t="n"/>
      <c r="CV456" s="114" t="n"/>
      <c r="CW456" s="115" t="n">
        <v>43920.1786358984</v>
      </c>
      <c r="CZ456" s="117" t="s">
        <v>500</v>
      </c>
      <c r="DA456" s="119" t="n">
        <f aca="false" ca="true" dt2D="false" dtr="false" t="normal">SUBTOTAL(9, DB456:DP456)</f>
        <v>422534</v>
      </c>
      <c r="DB456" s="114" t="n"/>
      <c r="DC456" s="114" t="n"/>
      <c r="DD456" s="114" t="n"/>
      <c r="DE456" s="114" t="n">
        <v>422534</v>
      </c>
      <c r="DF456" s="114" t="n">
        <v>0</v>
      </c>
      <c r="DG456" s="114" t="n"/>
      <c r="DH456" s="114" t="n"/>
      <c r="DI456" s="114" t="n">
        <v>0</v>
      </c>
      <c r="DJ456" s="114" t="n">
        <v>0</v>
      </c>
      <c r="DK456" s="114" t="n">
        <v>0</v>
      </c>
      <c r="DL456" s="114" t="n">
        <v>0</v>
      </c>
      <c r="DM456" s="114" t="n">
        <v>0</v>
      </c>
      <c r="DN456" s="114" t="n"/>
      <c r="DO456" s="114" t="n"/>
      <c r="DP456" s="122" t="n"/>
      <c r="DQ456" s="3" t="n">
        <f aca="false" ca="false" dt2D="false" dtr="false" t="normal">N456-DA456</f>
        <v>0</v>
      </c>
      <c r="DS456" s="9" t="n"/>
    </row>
    <row hidden="false" ht="15" outlineLevel="0" r="457">
      <c r="A457" s="183" t="n">
        <f aca="false" ca="false" dt2D="false" dtr="false" t="normal">+A456+1</f>
        <v>436</v>
      </c>
      <c r="B457" s="117" t="n">
        <f aca="false" ca="false" dt2D="false" dtr="false" t="normal">+B456+1</f>
        <v>223</v>
      </c>
      <c r="C457" s="104" t="s">
        <v>404</v>
      </c>
      <c r="D457" s="104" t="s">
        <v>501</v>
      </c>
      <c r="E457" s="105" t="n">
        <v>1983</v>
      </c>
      <c r="F457" s="105" t="n">
        <v>2013</v>
      </c>
      <c r="G457" s="105" t="s">
        <v>68</v>
      </c>
      <c r="H457" s="105" t="n">
        <v>5</v>
      </c>
      <c r="I457" s="105" t="n">
        <v>4</v>
      </c>
      <c r="J457" s="106" t="n">
        <v>3317.4</v>
      </c>
      <c r="K457" s="106" t="n">
        <v>2427.1</v>
      </c>
      <c r="L457" s="106" t="n">
        <v>0</v>
      </c>
      <c r="M457" s="107" t="n">
        <v>71</v>
      </c>
      <c r="N457" s="108" t="n">
        <f aca="false" ca="false" dt2D="false" dtr="false" t="normal">SUM(P457:T457)</f>
        <v>548136.26</v>
      </c>
      <c r="O457" s="106" t="n"/>
      <c r="P457" s="114" t="n"/>
      <c r="Q457" s="114" t="n"/>
      <c r="R457" s="114" t="n">
        <v>548136.26</v>
      </c>
      <c r="S457" s="114" t="n"/>
      <c r="T457" s="114" t="n"/>
      <c r="U457" s="106" t="n">
        <v>1644.38630481231</v>
      </c>
      <c r="V457" s="106" t="n">
        <v>1644.38630481231</v>
      </c>
      <c r="W457" s="110" t="n">
        <v>2023</v>
      </c>
      <c r="X457" s="9" t="e">
        <f aca="false" ca="false" dt2D="false" dtr="false" t="normal">+#REF!-'[9]Приложение №1'!$P789</f>
        <v>#REF!</v>
      </c>
      <c r="Z457" s="113" t="n">
        <f aca="false" ca="false" dt2D="false" dtr="false" t="normal">SUM(AA457:AO457)</f>
        <v>3608535.147010555</v>
      </c>
      <c r="AA457" s="106" t="n">
        <v>0</v>
      </c>
      <c r="AB457" s="106" t="n">
        <v>0</v>
      </c>
      <c r="AC457" s="106" t="n">
        <v>3142868.12042943</v>
      </c>
      <c r="AD457" s="106" t="n">
        <v>0</v>
      </c>
      <c r="AE457" s="106" t="n">
        <v>0</v>
      </c>
      <c r="AF457" s="106" t="n"/>
      <c r="AG457" s="106" t="n">
        <v>0</v>
      </c>
      <c r="AH457" s="106" t="n">
        <v>0</v>
      </c>
      <c r="AI457" s="106" t="n">
        <v>0</v>
      </c>
      <c r="AJ457" s="106" t="n">
        <v>0</v>
      </c>
      <c r="AK457" s="106" t="n">
        <v>0</v>
      </c>
      <c r="AL457" s="106" t="n">
        <v>0</v>
      </c>
      <c r="AM457" s="106" t="n">
        <v>360853.514701056</v>
      </c>
      <c r="AN457" s="114" t="n">
        <v>36085.3514701056</v>
      </c>
      <c r="AO457" s="115" t="n">
        <v>68728.1604099631</v>
      </c>
      <c r="AP457" s="112" t="n">
        <f aca="false" ca="false" dt2D="false" dtr="false" t="normal">+N457-'Приложение №2'!E457</f>
        <v>0</v>
      </c>
      <c r="AQ457" s="9" t="n">
        <f aca="false" ca="false" dt2D="false" dtr="false" t="normal">701008.17</f>
        <v>701008.17</v>
      </c>
      <c r="AR457" s="3" t="n">
        <f aca="false" ca="false" dt2D="false" dtr="false" t="normal">+(K457*10+L457*20)*12*0.85</f>
        <v>247564.19999999998</v>
      </c>
      <c r="AS457" s="3" t="n">
        <f aca="false" ca="false" dt2D="false" dtr="false" t="normal">+(K457*10+L457*20)*12*30</f>
        <v>8737560</v>
      </c>
      <c r="AT457" s="9" t="n">
        <f aca="false" ca="false" dt2D="false" dtr="false" t="normal">+S457-AS457</f>
        <v>-8737560</v>
      </c>
      <c r="AU457" s="9" t="e">
        <f aca="false" ca="false" dt2D="false" dtr="false" t="normal">+P457-'[5]Приложение №1'!$P360</f>
        <v>#REF!</v>
      </c>
      <c r="AV457" s="9" t="e">
        <f aca="false" ca="false" dt2D="false" dtr="false" t="normal">+Q457-'[5]Приложение №1'!$Q360</f>
        <v>#REF!</v>
      </c>
      <c r="AW457" s="113" t="n">
        <f aca="false" ca="true" dt2D="false" dtr="false" t="normal">SUBTOTAL(9, AX457:BL457)</f>
        <v>3991090.000409963</v>
      </c>
      <c r="AX457" s="106" t="n">
        <v>0</v>
      </c>
      <c r="AY457" s="106" t="n">
        <v>0</v>
      </c>
      <c r="AZ457" s="106" t="n">
        <v>3374225.58</v>
      </c>
      <c r="BA457" s="106" t="n">
        <v>548136.26</v>
      </c>
      <c r="BB457" s="106" t="n">
        <v>0</v>
      </c>
      <c r="BC457" s="106" t="n"/>
      <c r="BD457" s="106" t="n"/>
      <c r="BE457" s="106" t="n">
        <v>0</v>
      </c>
      <c r="BF457" s="106" t="n">
        <v>0</v>
      </c>
      <c r="BG457" s="106" t="n">
        <v>0</v>
      </c>
      <c r="BH457" s="106" t="n">
        <v>0</v>
      </c>
      <c r="BI457" s="106" t="n">
        <v>0</v>
      </c>
      <c r="BJ457" s="106" t="n"/>
      <c r="BK457" s="114" t="n"/>
      <c r="BL457" s="187" t="n">
        <v>68728.1604099631</v>
      </c>
      <c r="BM457" s="113" t="n">
        <f aca="false" ca="true" dt2D="false" dtr="false" t="normal">SUBTOTAL(9, BN457:CB457)</f>
        <v>3991090.000409963</v>
      </c>
      <c r="BN457" s="106" t="n">
        <v>0</v>
      </c>
      <c r="BO457" s="106" t="n">
        <v>0</v>
      </c>
      <c r="BP457" s="106" t="n">
        <v>3374225.58</v>
      </c>
      <c r="BQ457" s="106" t="n">
        <v>548136.26</v>
      </c>
      <c r="BR457" s="106" t="n">
        <v>0</v>
      </c>
      <c r="BS457" s="106" t="n"/>
      <c r="BT457" s="106" t="n"/>
      <c r="BU457" s="106" t="n">
        <v>0</v>
      </c>
      <c r="BV457" s="106" t="n">
        <v>0</v>
      </c>
      <c r="BW457" s="106" t="n">
        <v>0</v>
      </c>
      <c r="BX457" s="106" t="n">
        <v>0</v>
      </c>
      <c r="BY457" s="106" t="n">
        <v>0</v>
      </c>
      <c r="BZ457" s="106" t="n"/>
      <c r="CA457" s="114" t="n"/>
      <c r="CB457" s="115" t="n">
        <v>68728.1604099631</v>
      </c>
      <c r="CD457" s="116" t="n">
        <f aca="false" ca="false" dt2D="false" dtr="false" t="normal">+CD456+1</f>
        <v>436</v>
      </c>
      <c r="CE457" s="117" t="n">
        <v>223</v>
      </c>
      <c r="CF457" s="104" t="s">
        <v>404</v>
      </c>
      <c r="CG457" s="117" t="s">
        <v>501</v>
      </c>
      <c r="CH457" s="118" t="n">
        <f aca="false" ca="true" dt2D="false" dtr="false" t="normal">SUBTOTAL(9, CI457:CW457)</f>
        <v>616864.4204099631</v>
      </c>
      <c r="CI457" s="114" t="n">
        <v>0</v>
      </c>
      <c r="CJ457" s="114" t="n">
        <v>0</v>
      </c>
      <c r="CK457" s="114" t="n"/>
      <c r="CL457" s="114" t="n">
        <v>548136.26</v>
      </c>
      <c r="CM457" s="114" t="n">
        <v>0</v>
      </c>
      <c r="CN457" s="114" t="n"/>
      <c r="CO457" s="114" t="n"/>
      <c r="CP457" s="114" t="n">
        <v>0</v>
      </c>
      <c r="CQ457" s="114" t="n">
        <v>0</v>
      </c>
      <c r="CR457" s="114" t="n">
        <v>0</v>
      </c>
      <c r="CS457" s="114" t="n">
        <v>0</v>
      </c>
      <c r="CT457" s="114" t="n">
        <v>0</v>
      </c>
      <c r="CU457" s="114" t="n"/>
      <c r="CV457" s="114" t="n"/>
      <c r="CW457" s="115" t="n">
        <v>68728.1604099631</v>
      </c>
      <c r="CZ457" s="117" t="s">
        <v>501</v>
      </c>
      <c r="DA457" s="119" t="n">
        <f aca="false" ca="true" dt2D="false" dtr="false" t="normal">SUBTOTAL(9, DB457:DP457)</f>
        <v>548136.26</v>
      </c>
      <c r="DB457" s="114" t="n">
        <v>0</v>
      </c>
      <c r="DC457" s="114" t="n">
        <v>0</v>
      </c>
      <c r="DD457" s="114" t="n"/>
      <c r="DE457" s="114" t="n">
        <v>548136.26</v>
      </c>
      <c r="DF457" s="114" t="n">
        <v>0</v>
      </c>
      <c r="DG457" s="114" t="n"/>
      <c r="DH457" s="114" t="n"/>
      <c r="DI457" s="114" t="n">
        <v>0</v>
      </c>
      <c r="DJ457" s="114" t="n">
        <v>0</v>
      </c>
      <c r="DK457" s="114" t="n">
        <v>0</v>
      </c>
      <c r="DL457" s="114" t="n">
        <v>0</v>
      </c>
      <c r="DM457" s="114" t="n">
        <v>0</v>
      </c>
      <c r="DN457" s="114" t="n"/>
      <c r="DO457" s="114" t="n"/>
      <c r="DP457" s="122" t="n"/>
      <c r="DQ457" s="3" t="n">
        <f aca="false" ca="false" dt2D="false" dtr="false" t="normal">N457-DA457</f>
        <v>0</v>
      </c>
      <c r="DS457" s="9" t="n"/>
    </row>
    <row hidden="false" ht="15" outlineLevel="0" r="458">
      <c r="A458" s="183" t="n">
        <f aca="false" ca="false" dt2D="false" dtr="false" t="normal">+A457+1</f>
        <v>437</v>
      </c>
      <c r="B458" s="117" t="s">
        <v>463</v>
      </c>
      <c r="C458" s="117" t="s">
        <v>217</v>
      </c>
      <c r="D458" s="117" t="s">
        <v>408</v>
      </c>
      <c r="E458" s="105" t="n">
        <v>1984</v>
      </c>
      <c r="F458" s="105" t="n">
        <v>1984</v>
      </c>
      <c r="G458" s="105" t="s">
        <v>68</v>
      </c>
      <c r="H458" s="105" t="n">
        <v>5</v>
      </c>
      <c r="I458" s="105" t="n">
        <v>4</v>
      </c>
      <c r="J458" s="106" t="n">
        <v>3359.4</v>
      </c>
      <c r="K458" s="106" t="n">
        <v>2391.8</v>
      </c>
      <c r="L458" s="106" t="n">
        <v>553.2</v>
      </c>
      <c r="M458" s="107" t="n">
        <v>62</v>
      </c>
      <c r="N458" s="108" t="n">
        <f aca="false" ca="false" dt2D="false" dtr="false" t="normal">SUM(P458:T458)</f>
        <v>25027038.060000002</v>
      </c>
      <c r="O458" s="114" t="n"/>
      <c r="P458" s="114" t="n">
        <v>22977257.2413773</v>
      </c>
      <c r="Q458" s="114" t="n"/>
      <c r="R458" s="114" t="n">
        <v>532568.44</v>
      </c>
      <c r="S458" s="114" t="n">
        <v>20527.6399999997</v>
      </c>
      <c r="T458" s="114" t="n">
        <v>1496684.7386227</v>
      </c>
      <c r="U458" s="106" t="n">
        <v>9447.50199910945</v>
      </c>
      <c r="V458" s="106" t="n">
        <v>9447.50199910945</v>
      </c>
      <c r="W458" s="110" t="n">
        <v>2023</v>
      </c>
      <c r="X458" s="9" t="e">
        <f aca="false" ca="false" dt2D="false" dtr="false" t="normal">+#REF!-'[9]Приложение №1'!$P1895</f>
        <v>#REF!</v>
      </c>
      <c r="Z458" s="113" t="n">
        <f aca="false" ca="false" dt2D="false" dtr="false" t="normal">SUM(AA458:AO458)</f>
        <v>24399375.708956137</v>
      </c>
      <c r="AA458" s="106" t="n">
        <v>0</v>
      </c>
      <c r="AB458" s="106" t="n">
        <v>0</v>
      </c>
      <c r="AC458" s="106" t="n">
        <v>0</v>
      </c>
      <c r="AD458" s="106" t="n">
        <v>0</v>
      </c>
      <c r="AE458" s="106" t="n">
        <v>0</v>
      </c>
      <c r="AF458" s="106" t="n"/>
      <c r="AG458" s="106" t="n">
        <v>0</v>
      </c>
      <c r="AH458" s="106" t="n">
        <v>0</v>
      </c>
      <c r="AI458" s="106" t="n">
        <v>0</v>
      </c>
      <c r="AJ458" s="106" t="n">
        <v>0</v>
      </c>
      <c r="AK458" s="106" t="n">
        <v>10229706.1</v>
      </c>
      <c r="AL458" s="106" t="n">
        <v>13577874.103206</v>
      </c>
      <c r="AM458" s="106" t="n">
        <v>258631.32</v>
      </c>
      <c r="AN458" s="106" t="n">
        <v>39488.83</v>
      </c>
      <c r="AO458" s="115" t="n">
        <v>293675.35575014</v>
      </c>
      <c r="AP458" s="112" t="n">
        <f aca="false" ca="false" dt2D="false" dtr="false" t="normal">+N458-'Приложение №2'!E458</f>
        <v>0</v>
      </c>
      <c r="AQ458" s="9" t="n">
        <f aca="false" ca="false" dt2D="false" dtr="false" t="normal">1110865.63-R278</f>
        <v>-1008162.0784741603</v>
      </c>
      <c r="AR458" s="3" t="n">
        <f aca="false" ca="false" dt2D="false" dtr="false" t="normal">+(K458*10+L458*20)*12*0.85</f>
        <v>356816.39999999997</v>
      </c>
      <c r="AS458" s="3" t="n">
        <f aca="false" ca="false" dt2D="false" dtr="false" t="normal">+(K458*10+L458*20)*12*30-3112059.45-S278</f>
        <v>-2251565.0415258</v>
      </c>
      <c r="AT458" s="9" t="n">
        <f aca="false" ca="false" dt2D="false" dtr="false" t="normal">+S458-AS458</f>
        <v>2272092.6815257994</v>
      </c>
      <c r="AU458" s="9" t="e">
        <f aca="false" ca="false" dt2D="false" dtr="false" t="normal">+P458-'[5]Приложение №1'!$P496</f>
        <v>#REF!</v>
      </c>
      <c r="AV458" s="9" t="e">
        <f aca="false" ca="false" dt2D="false" dtr="false" t="normal">+Q458-'[5]Приложение №1'!$Q496</f>
        <v>#REF!</v>
      </c>
      <c r="AW458" s="113" t="n">
        <f aca="false" ca="true" dt2D="false" dtr="false" t="normal">SUBTOTAL(9, AX458:BL458)</f>
        <v>27822893.38737733</v>
      </c>
      <c r="AX458" s="106" t="n"/>
      <c r="AY458" s="106" t="n"/>
      <c r="AZ458" s="106" t="n">
        <v>3949042.3</v>
      </c>
      <c r="BA458" s="106" t="n"/>
      <c r="BB458" s="106" t="n">
        <v>0</v>
      </c>
      <c r="BC458" s="106" t="n"/>
      <c r="BD458" s="106" t="n"/>
      <c r="BE458" s="106" t="n">
        <v>0</v>
      </c>
      <c r="BF458" s="106" t="n"/>
      <c r="BG458" s="106" t="n">
        <v>0</v>
      </c>
      <c r="BH458" s="106" t="n">
        <v>10229706.1</v>
      </c>
      <c r="BI458" s="106" t="n">
        <v>12638125.92</v>
      </c>
      <c r="BJ458" s="106" t="n"/>
      <c r="BK458" s="106" t="n"/>
      <c r="BL458" s="187" t="n">
        <v>1006019.06737733</v>
      </c>
      <c r="BM458" s="113" t="n">
        <f aca="false" ca="true" dt2D="false" dtr="false" t="normal">SUBTOTAL(9, BN458:CB458)</f>
        <v>28531481.27737733</v>
      </c>
      <c r="BN458" s="106" t="n"/>
      <c r="BO458" s="106" t="n"/>
      <c r="BP458" s="192" t="n">
        <v>3897843.76</v>
      </c>
      <c r="BQ458" s="106" t="n"/>
      <c r="BR458" s="106" t="n">
        <v>0</v>
      </c>
      <c r="BS458" s="106" t="n"/>
      <c r="BT458" s="106" t="n"/>
      <c r="BU458" s="106" t="n">
        <v>0</v>
      </c>
      <c r="BV458" s="106" t="n"/>
      <c r="BW458" s="106" t="n">
        <v>0</v>
      </c>
      <c r="BX458" s="106" t="n">
        <v>10229706.1</v>
      </c>
      <c r="BY458" s="192" t="n">
        <v>13397912.35</v>
      </c>
      <c r="BZ458" s="106" t="n"/>
      <c r="CA458" s="106" t="n"/>
      <c r="CB458" s="115" t="n">
        <v>1006019.06737733</v>
      </c>
      <c r="CD458" s="116" t="n">
        <f aca="false" ca="false" dt2D="false" dtr="false" t="normal">+CD457+1</f>
        <v>437</v>
      </c>
      <c r="CE458" s="117" t="s">
        <v>463</v>
      </c>
      <c r="CF458" s="104" t="s">
        <v>217</v>
      </c>
      <c r="CG458" s="117" t="s">
        <v>218</v>
      </c>
      <c r="CH458" s="118" t="n">
        <f aca="false" ca="true" dt2D="false" dtr="false" t="normal">SUBTOTAL(9, CI458:CW458)</f>
        <v>26033057.127377328</v>
      </c>
      <c r="CI458" s="114" t="n"/>
      <c r="CJ458" s="114" t="n"/>
      <c r="CK458" s="114" t="n"/>
      <c r="CL458" s="114" t="n"/>
      <c r="CM458" s="114" t="n">
        <v>0</v>
      </c>
      <c r="CN458" s="114" t="n"/>
      <c r="CO458" s="114" t="n"/>
      <c r="CP458" s="114" t="n">
        <v>0</v>
      </c>
      <c r="CQ458" s="114" t="n"/>
      <c r="CR458" s="114" t="n">
        <v>0</v>
      </c>
      <c r="CS458" s="114" t="n">
        <v>25027038.06</v>
      </c>
      <c r="CT458" s="114" t="n"/>
      <c r="CU458" s="114" t="n"/>
      <c r="CV458" s="114" t="n"/>
      <c r="CW458" s="115" t="n">
        <v>1006019.06737733</v>
      </c>
      <c r="CZ458" s="117" t="s">
        <v>218</v>
      </c>
      <c r="DA458" s="119" t="n">
        <f aca="false" ca="true" dt2D="false" dtr="false" t="normal">SUBTOTAL(9, DB458:DP458)</f>
        <v>25027038.06</v>
      </c>
      <c r="DB458" s="114" t="n"/>
      <c r="DC458" s="114" t="n"/>
      <c r="DD458" s="114" t="n"/>
      <c r="DE458" s="114" t="n"/>
      <c r="DF458" s="114" t="n">
        <v>0</v>
      </c>
      <c r="DG458" s="114" t="n"/>
      <c r="DH458" s="114" t="n"/>
      <c r="DI458" s="114" t="n">
        <v>0</v>
      </c>
      <c r="DJ458" s="114" t="n"/>
      <c r="DK458" s="114" t="n">
        <v>0</v>
      </c>
      <c r="DL458" s="114" t="n">
        <v>25027038.06</v>
      </c>
      <c r="DM458" s="114" t="n"/>
      <c r="DN458" s="114" t="n"/>
      <c r="DO458" s="114" t="n"/>
      <c r="DP458" s="122" t="n"/>
      <c r="DQ458" s="3" t="n">
        <f aca="false" ca="false" dt2D="false" dtr="false" t="normal">N830-DA830</f>
        <v>0</v>
      </c>
      <c r="DR458" s="1" t="n"/>
      <c r="DS458" s="9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</row>
    <row hidden="false" ht="15" outlineLevel="0" r="459">
      <c r="A459" s="183" t="n">
        <f aca="false" ca="false" dt2D="false" dtr="false" t="normal">+A458+1</f>
        <v>438</v>
      </c>
      <c r="B459" s="117" t="s">
        <v>463</v>
      </c>
      <c r="C459" s="117" t="s">
        <v>227</v>
      </c>
      <c r="D459" s="117" t="s">
        <v>424</v>
      </c>
      <c r="E459" s="105" t="n">
        <v>1994</v>
      </c>
      <c r="F459" s="105" t="n">
        <v>2015</v>
      </c>
      <c r="G459" s="105" t="s">
        <v>68</v>
      </c>
      <c r="H459" s="105" t="n">
        <v>9</v>
      </c>
      <c r="I459" s="105" t="n">
        <v>4</v>
      </c>
      <c r="J459" s="106" t="n">
        <v>9059.3</v>
      </c>
      <c r="K459" s="106" t="n">
        <v>7958.2</v>
      </c>
      <c r="L459" s="106" t="n">
        <v>49</v>
      </c>
      <c r="M459" s="107" t="n">
        <v>376</v>
      </c>
      <c r="N459" s="108" t="n">
        <f aca="false" ca="false" dt2D="false" dtr="false" t="normal">SUM(P459:T459)</f>
        <v>93897055.49000001</v>
      </c>
      <c r="O459" s="114" t="n"/>
      <c r="P459" s="114" t="n">
        <v>57714537.44</v>
      </c>
      <c r="Q459" s="114" t="n"/>
      <c r="R459" s="114" t="n">
        <v>2626184.12</v>
      </c>
      <c r="S459" s="114" t="n">
        <v>27140016.4937406</v>
      </c>
      <c r="T459" s="114" t="n">
        <v>6416317.43625942</v>
      </c>
      <c r="U459" s="114" t="n">
        <v>11258.2479020311</v>
      </c>
      <c r="V459" s="114" t="n">
        <v>1384.283020064</v>
      </c>
      <c r="W459" s="110" t="n">
        <v>2023</v>
      </c>
      <c r="X459" s="9" t="e">
        <f aca="false" ca="false" dt2D="false" dtr="false" t="normal">+#REF!-'[9]Приложение №1'!$P686</f>
        <v>#REF!</v>
      </c>
      <c r="Z459" s="113" t="n">
        <f aca="false" ca="false" dt2D="false" dtr="false" t="normal">SUM(AA459:AO459)</f>
        <v>167033614.95999992</v>
      </c>
      <c r="AA459" s="106" t="n">
        <v>18497723.4368581</v>
      </c>
      <c r="AB459" s="106" t="n">
        <v>12695079.7208865</v>
      </c>
      <c r="AC459" s="106" t="n">
        <v>7727724.56465856</v>
      </c>
      <c r="AD459" s="106" t="n">
        <v>6972228.53861016</v>
      </c>
      <c r="AE459" s="106" t="n">
        <v>0</v>
      </c>
      <c r="AF459" s="106" t="n"/>
      <c r="AG459" s="106" t="n">
        <v>889888.9862016</v>
      </c>
      <c r="AH459" s="106" t="n">
        <v>0</v>
      </c>
      <c r="AI459" s="106" t="n">
        <v>0</v>
      </c>
      <c r="AJ459" s="106" t="n">
        <v>0</v>
      </c>
      <c r="AK459" s="106" t="n">
        <v>78339424.5910462</v>
      </c>
      <c r="AL459" s="106" t="n">
        <v>20601575.8419794</v>
      </c>
      <c r="AM459" s="106" t="n">
        <v>16452952.1394</v>
      </c>
      <c r="AN459" s="114" t="n">
        <v>1670336.1496</v>
      </c>
      <c r="AO459" s="115" t="n">
        <v>3186680.9907594</v>
      </c>
      <c r="AP459" s="112" t="n">
        <f aca="false" ca="false" dt2D="false" dtr="false" t="normal">+N459-'Приложение №2'!E459</f>
        <v>0</v>
      </c>
      <c r="AQ459" s="121" t="n">
        <f aca="false" ca="false" dt2D="false" dtr="false" t="normal">5650783.47-5939473.29</f>
        <v>-288689.8200000003</v>
      </c>
      <c r="AR459" s="3" t="n">
        <f aca="false" ca="false" dt2D="false" dtr="false" t="normal">+(K459*13.95+L459*23.65)*12*0.85</f>
        <v>1144192.548</v>
      </c>
      <c r="AS459" s="3" t="n">
        <f aca="false" ca="false" dt2D="false" dtr="false" t="normal">+(K459*13.95+L459*23.65)*12*30</f>
        <v>40383266.4</v>
      </c>
      <c r="AT459" s="9" t="n">
        <f aca="false" ca="false" dt2D="false" dtr="false" t="normal">+S459-AS459</f>
        <v>-13243249.906259399</v>
      </c>
      <c r="AU459" s="9" t="e">
        <f aca="false" ca="false" dt2D="false" dtr="false" t="normal">+P459-'[5]Приложение №1'!$P529</f>
        <v>#REF!</v>
      </c>
      <c r="AV459" s="9" t="e">
        <f aca="false" ca="false" dt2D="false" dtr="false" t="normal">+Q459-'[5]Приложение №1'!$Q529</f>
        <v>#REF!</v>
      </c>
      <c r="AW459" s="186" t="n">
        <f aca="false" ca="true" dt2D="false" dtr="false" t="normal">SUBTOTAL(9, AX459:BL459)</f>
        <v>89595388.45394376</v>
      </c>
      <c r="AX459" s="106" t="n"/>
      <c r="AY459" s="106" t="n"/>
      <c r="AZ459" s="106" t="n">
        <v>7735463.93020319</v>
      </c>
      <c r="BA459" s="106" t="n"/>
      <c r="BB459" s="106" t="n">
        <v>0</v>
      </c>
      <c r="BC459" s="106" t="n"/>
      <c r="BD459" s="106" t="n"/>
      <c r="BE459" s="106" t="n"/>
      <c r="BF459" s="106" t="n">
        <v>0</v>
      </c>
      <c r="BG459" s="106" t="n">
        <v>0</v>
      </c>
      <c r="BH459" s="106" t="n">
        <v>78603849.22</v>
      </c>
      <c r="BI459" s="106" t="n">
        <v>0</v>
      </c>
      <c r="BJ459" s="106" t="n">
        <v>256263</v>
      </c>
      <c r="BK459" s="114" t="n">
        <v>85421</v>
      </c>
      <c r="BL459" s="187" t="n">
        <v>2914391.30374058</v>
      </c>
      <c r="BM459" s="186" t="n">
        <f aca="false" ca="true" dt2D="false" dtr="false" t="normal">SUBTOTAL(9, BN459:CB459)</f>
        <v>88620501.16374058</v>
      </c>
      <c r="BN459" s="106" t="n"/>
      <c r="BO459" s="106" t="n"/>
      <c r="BP459" s="106" t="n">
        <v>6760576.64</v>
      </c>
      <c r="BQ459" s="106" t="n"/>
      <c r="BR459" s="106" t="n">
        <v>0</v>
      </c>
      <c r="BS459" s="106" t="n"/>
      <c r="BT459" s="106" t="n"/>
      <c r="BU459" s="106" t="n"/>
      <c r="BV459" s="106" t="n">
        <v>0</v>
      </c>
      <c r="BW459" s="106" t="n">
        <v>0</v>
      </c>
      <c r="BX459" s="106" t="n">
        <v>78603849.22</v>
      </c>
      <c r="BY459" s="106" t="n">
        <v>0</v>
      </c>
      <c r="BZ459" s="106" t="n">
        <v>256263</v>
      </c>
      <c r="CA459" s="114" t="n">
        <v>85421</v>
      </c>
      <c r="CB459" s="115" t="n">
        <v>2914391.30374058</v>
      </c>
      <c r="CD459" s="116" t="n">
        <f aca="false" ca="false" dt2D="false" dtr="false" t="normal">+CD458+1</f>
        <v>438</v>
      </c>
      <c r="CE459" s="117" t="s">
        <v>463</v>
      </c>
      <c r="CF459" s="104" t="s">
        <v>227</v>
      </c>
      <c r="CG459" s="117" t="s">
        <v>424</v>
      </c>
      <c r="CH459" s="188" t="n">
        <f aca="false" ca="true" dt2D="false" dtr="false" t="normal">SUBTOTAL(9, CI459:CW459)</f>
        <v>96811446.79374059</v>
      </c>
      <c r="CI459" s="114" t="n"/>
      <c r="CJ459" s="114" t="n"/>
      <c r="CK459" s="114" t="n"/>
      <c r="CL459" s="114" t="n"/>
      <c r="CM459" s="114" t="n">
        <v>0</v>
      </c>
      <c r="CN459" s="114" t="n"/>
      <c r="CO459" s="114" t="n"/>
      <c r="CP459" s="114" t="n"/>
      <c r="CQ459" s="114" t="n">
        <v>0</v>
      </c>
      <c r="CR459" s="114" t="n">
        <v>0</v>
      </c>
      <c r="CS459" s="114" t="n">
        <v>93307087.4</v>
      </c>
      <c r="CT459" s="114" t="n">
        <v>0</v>
      </c>
      <c r="CU459" s="114" t="n">
        <v>579968.09</v>
      </c>
      <c r="CV459" s="114" t="n">
        <v>10000</v>
      </c>
      <c r="CW459" s="115" t="n">
        <v>2914391.30374058</v>
      </c>
      <c r="CZ459" s="117" t="s">
        <v>424</v>
      </c>
      <c r="DA459" s="189" t="n">
        <f aca="false" ca="true" dt2D="false" dtr="false" t="normal">SUBTOTAL(9, DB459:DP459)</f>
        <v>93897055.49000001</v>
      </c>
      <c r="DB459" s="114" t="n"/>
      <c r="DC459" s="114" t="n"/>
      <c r="DD459" s="114" t="n"/>
      <c r="DE459" s="114" t="n"/>
      <c r="DF459" s="114" t="n">
        <v>0</v>
      </c>
      <c r="DG459" s="114" t="n"/>
      <c r="DH459" s="114" t="n"/>
      <c r="DI459" s="114" t="n"/>
      <c r="DJ459" s="114" t="n">
        <v>0</v>
      </c>
      <c r="DK459" s="114" t="n">
        <v>0</v>
      </c>
      <c r="DL459" s="114" t="n">
        <v>93307087.4</v>
      </c>
      <c r="DM459" s="114" t="n">
        <v>0</v>
      </c>
      <c r="DN459" s="114" t="n">
        <v>579968.09</v>
      </c>
      <c r="DO459" s="114" t="n">
        <v>10000</v>
      </c>
      <c r="DP459" s="122" t="n"/>
      <c r="DQ459" s="3" t="n"/>
      <c r="DR459" s="1" t="n"/>
      <c r="DS459" s="9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</row>
    <row hidden="false" ht="15" outlineLevel="0" r="460">
      <c r="A460" s="183" t="n">
        <f aca="false" ca="false" dt2D="false" dtr="false" t="normal">+A459+1</f>
        <v>439</v>
      </c>
      <c r="B460" s="117" t="n">
        <v>224</v>
      </c>
      <c r="C460" s="104" t="s">
        <v>227</v>
      </c>
      <c r="D460" s="104" t="s">
        <v>230</v>
      </c>
      <c r="E460" s="105" t="n">
        <v>1989</v>
      </c>
      <c r="F460" s="105" t="n">
        <v>2014</v>
      </c>
      <c r="G460" s="105" t="s">
        <v>68</v>
      </c>
      <c r="H460" s="105" t="n">
        <v>9</v>
      </c>
      <c r="I460" s="105" t="n">
        <v>3</v>
      </c>
      <c r="J460" s="106" t="n">
        <v>6626.1</v>
      </c>
      <c r="K460" s="106" t="n">
        <v>6102.5</v>
      </c>
      <c r="L460" s="106" t="n">
        <v>67.8</v>
      </c>
      <c r="M460" s="107" t="n">
        <v>265</v>
      </c>
      <c r="N460" s="108" t="n">
        <f aca="false" ca="false" dt2D="false" dtr="false" t="normal">SUM(P460:T460)</f>
        <v>5271196.859999999</v>
      </c>
      <c r="O460" s="114" t="n"/>
      <c r="P460" s="114" t="n">
        <v>3779579.42</v>
      </c>
      <c r="Q460" s="114" t="n"/>
      <c r="R460" s="114" t="n">
        <v>186090.51</v>
      </c>
      <c r="S460" s="114" t="n">
        <v>1305526.93</v>
      </c>
      <c r="T460" s="114" t="n"/>
      <c r="U460" s="114" t="n">
        <v>3812.05941023567</v>
      </c>
      <c r="V460" s="114" t="n">
        <v>3812.05941023567</v>
      </c>
      <c r="W460" s="110" t="n">
        <v>2023</v>
      </c>
      <c r="X460" s="9" t="e">
        <f aca="false" ca="false" dt2D="false" dtr="false" t="normal">+#REF!-'[9]Приложение №1'!$P1188</f>
        <v>#REF!</v>
      </c>
      <c r="Z460" s="113" t="n">
        <f aca="false" ca="false" dt2D="false" dtr="false" t="normal">SUM(AA460:AO460)</f>
        <v>133828117.4399999</v>
      </c>
      <c r="AA460" s="106" t="n">
        <v>13963940.4881831</v>
      </c>
      <c r="AB460" s="106" t="n">
        <v>9583521.89770962</v>
      </c>
      <c r="AC460" s="106" t="n">
        <v>5833663.06082448</v>
      </c>
      <c r="AD460" s="106" t="n">
        <v>5263338.74138856</v>
      </c>
      <c r="AE460" s="106" t="n">
        <v>0</v>
      </c>
      <c r="AF460" s="106" t="n"/>
      <c r="AG460" s="106" t="n">
        <v>671777.6317728</v>
      </c>
      <c r="AH460" s="106" t="n">
        <v>0</v>
      </c>
      <c r="AI460" s="106" t="n">
        <v>6811959.918141</v>
      </c>
      <c r="AJ460" s="106" t="n">
        <v>0</v>
      </c>
      <c r="AK460" s="106" t="n">
        <v>59138470.0187366</v>
      </c>
      <c r="AL460" s="106" t="n">
        <v>15552139.698892</v>
      </c>
      <c r="AM460" s="106" t="n">
        <v>13116434.0015</v>
      </c>
      <c r="AN460" s="114" t="n">
        <v>1338281.1744</v>
      </c>
      <c r="AO460" s="115" t="n">
        <v>2554590.80845174</v>
      </c>
      <c r="AP460" s="112" t="n">
        <f aca="false" ca="false" dt2D="false" dtr="false" t="normal">+N460-'Приложение №2'!E460</f>
        <v>0</v>
      </c>
      <c r="AQ460" s="121" t="n">
        <f aca="false" ca="false" dt2D="false" dtr="false" t="normal">3444334.74-R154</f>
        <v>2166388.47</v>
      </c>
      <c r="AR460" s="3" t="n">
        <f aca="false" ca="false" dt2D="false" dtr="false" t="normal">+(K460*13.29+L460*22.52)*12*0.85</f>
        <v>842816.6261999998</v>
      </c>
      <c r="AS460" s="3" t="n">
        <f aca="false" ca="false" dt2D="false" dtr="false" t="normal">+(K460*13.29+L460*22.52)*12*30-S154</f>
        <v>0</v>
      </c>
      <c r="AT460" s="9" t="n">
        <f aca="false" ca="false" dt2D="false" dtr="false" t="normal">+S460-AS460</f>
        <v>1305526.93</v>
      </c>
      <c r="AU460" s="9" t="e">
        <f aca="false" ca="false" dt2D="false" dtr="false" t="normal">+P460-'[5]Приложение №1'!$P376</f>
        <v>#REF!</v>
      </c>
      <c r="AV460" s="9" t="e">
        <f aca="false" ca="false" dt2D="false" dtr="false" t="normal">+Q460-'[5]Приложение №1'!$Q376</f>
        <v>#REF!</v>
      </c>
      <c r="AW460" s="113" t="n">
        <f aca="false" ca="true" dt2D="false" dtr="false" t="normal">SUBTOTAL(9, AX460:BL460)</f>
        <v>23521550.178977102</v>
      </c>
      <c r="AX460" s="106" t="n">
        <v>13963940.4881831</v>
      </c>
      <c r="BA460" s="106" t="n">
        <v>6043467.398094</v>
      </c>
      <c r="BB460" s="106" t="n">
        <v>0</v>
      </c>
      <c r="BC460" s="106" t="n"/>
      <c r="BD460" s="106" t="n">
        <v>671777.6317728</v>
      </c>
      <c r="BE460" s="106" t="n">
        <v>0</v>
      </c>
      <c r="BG460" s="106" t="n">
        <v>0</v>
      </c>
      <c r="BH460" s="106" t="n"/>
      <c r="BI460" s="106" t="n"/>
      <c r="BJ460" s="106" t="n"/>
      <c r="BK460" s="114" t="n"/>
      <c r="BL460" s="187" t="n">
        <v>2842364.6609272</v>
      </c>
      <c r="BM460" s="113" t="n">
        <f aca="false" ca="true" dt2D="false" dtr="false" t="normal">SUBTOTAL(9, BN460:CB460)</f>
        <v>23521550.178977102</v>
      </c>
      <c r="BN460" s="106" t="n">
        <v>13963940.4881831</v>
      </c>
      <c r="BQ460" s="106" t="n">
        <v>6043467.398094</v>
      </c>
      <c r="BR460" s="106" t="n">
        <v>0</v>
      </c>
      <c r="BS460" s="106" t="n"/>
      <c r="BT460" s="106" t="n">
        <v>671777.6317728</v>
      </c>
      <c r="BU460" s="106" t="n">
        <v>0</v>
      </c>
      <c r="BW460" s="106" t="n">
        <v>0</v>
      </c>
      <c r="BX460" s="106" t="n"/>
      <c r="BY460" s="106" t="n"/>
      <c r="BZ460" s="106" t="n"/>
      <c r="CA460" s="114" t="n"/>
      <c r="CB460" s="115" t="n">
        <v>2842364.6609272</v>
      </c>
      <c r="CD460" s="116" t="n">
        <f aca="false" ca="false" dt2D="false" dtr="false" t="normal">+CD459+1</f>
        <v>439</v>
      </c>
      <c r="CE460" s="117" t="n">
        <v>224</v>
      </c>
      <c r="CF460" s="104" t="s">
        <v>227</v>
      </c>
      <c r="CG460" s="117" t="s">
        <v>230</v>
      </c>
      <c r="CH460" s="118" t="n">
        <f aca="false" ca="true" dt2D="false" dtr="false" t="normal">SUBTOTAL(9, CI460:CW460)</f>
        <v>8113561.5209272</v>
      </c>
      <c r="CI460" s="114" t="n"/>
      <c r="CJ460" s="114" t="n"/>
      <c r="CK460" s="114" t="n"/>
      <c r="CL460" s="114" t="n">
        <v>5271196.86</v>
      </c>
      <c r="CM460" s="114" t="n">
        <v>0</v>
      </c>
      <c r="CN460" s="114" t="n"/>
      <c r="CO460" s="114" t="n"/>
      <c r="CP460" s="114" t="n">
        <v>0</v>
      </c>
      <c r="CQ460" s="114" t="n"/>
      <c r="CR460" s="114" t="n">
        <v>0</v>
      </c>
      <c r="CS460" s="114" t="n"/>
      <c r="CT460" s="114" t="n"/>
      <c r="CU460" s="114" t="n"/>
      <c r="CV460" s="114" t="n"/>
      <c r="CW460" s="115" t="n">
        <v>2842364.6609272</v>
      </c>
      <c r="CZ460" s="117" t="s">
        <v>230</v>
      </c>
      <c r="DA460" s="119" t="n">
        <f aca="false" ca="true" dt2D="false" dtr="false" t="normal">SUBTOTAL(9, DB460:DP460)</f>
        <v>5271196.86</v>
      </c>
      <c r="DB460" s="114" t="n"/>
      <c r="DC460" s="114" t="n"/>
      <c r="DD460" s="114" t="n"/>
      <c r="DE460" s="114" t="n">
        <v>5271196.86</v>
      </c>
      <c r="DF460" s="114" t="n">
        <v>0</v>
      </c>
      <c r="DG460" s="114" t="n"/>
      <c r="DH460" s="114" t="n"/>
      <c r="DI460" s="114" t="n">
        <v>0</v>
      </c>
      <c r="DJ460" s="114" t="n"/>
      <c r="DK460" s="114" t="n">
        <v>0</v>
      </c>
      <c r="DL460" s="114" t="n"/>
      <c r="DM460" s="114" t="n"/>
      <c r="DN460" s="114" t="n"/>
      <c r="DO460" s="114" t="n"/>
      <c r="DP460" s="122" t="n"/>
      <c r="DQ460" s="3" t="n"/>
      <c r="DS460" s="9" t="n"/>
    </row>
    <row hidden="false" ht="15" outlineLevel="0" r="461">
      <c r="A461" s="183" t="n">
        <f aca="false" ca="false" dt2D="false" dtr="false" t="normal">+A460+1</f>
        <v>440</v>
      </c>
      <c r="B461" s="184" t="n">
        <v>225</v>
      </c>
      <c r="C461" s="104" t="s">
        <v>227</v>
      </c>
      <c r="D461" s="104" t="s">
        <v>502</v>
      </c>
      <c r="E461" s="105" t="n">
        <v>2000</v>
      </c>
      <c r="F461" s="105" t="n">
        <v>2013</v>
      </c>
      <c r="G461" s="105" t="s">
        <v>68</v>
      </c>
      <c r="H461" s="105" t="n">
        <v>9</v>
      </c>
      <c r="I461" s="105" t="n">
        <v>6</v>
      </c>
      <c r="J461" s="106" t="n">
        <v>12225.7</v>
      </c>
      <c r="K461" s="106" t="n">
        <v>12225.7</v>
      </c>
      <c r="L461" s="106" t="n">
        <v>0</v>
      </c>
      <c r="M461" s="107" t="n">
        <v>575</v>
      </c>
      <c r="N461" s="108" t="n">
        <f aca="false" ca="false" dt2D="false" dtr="false" t="normal">SUM(P461:T461)</f>
        <v>18000110.39</v>
      </c>
      <c r="O461" s="106" t="n"/>
      <c r="P461" s="106" t="n"/>
      <c r="Q461" s="106" t="n"/>
      <c r="R461" s="106" t="n">
        <v>10608888.593</v>
      </c>
      <c r="S461" s="106" t="n">
        <v>7391221.797</v>
      </c>
      <c r="T461" s="106" t="n"/>
      <c r="U461" s="106" t="n">
        <v>2096.1008367619</v>
      </c>
      <c r="V461" s="106" t="n">
        <v>1390.283020064</v>
      </c>
      <c r="W461" s="110" t="n">
        <v>2023</v>
      </c>
      <c r="X461" s="9" t="n"/>
      <c r="Z461" s="108" t="n"/>
      <c r="AA461" s="106" t="n"/>
      <c r="AB461" s="106" t="n"/>
      <c r="AC461" s="106" t="n"/>
      <c r="AD461" s="106" t="n"/>
      <c r="AE461" s="106" t="n"/>
      <c r="AF461" s="106" t="n"/>
      <c r="AG461" s="106" t="n"/>
      <c r="AH461" s="106" t="n"/>
      <c r="AI461" s="106" t="n"/>
      <c r="AJ461" s="106" t="n"/>
      <c r="AK461" s="106" t="n"/>
      <c r="AL461" s="106" t="n"/>
      <c r="AM461" s="106" t="n"/>
      <c r="AN461" s="106" t="n"/>
      <c r="AO461" s="111" t="n"/>
      <c r="AP461" s="112" t="n">
        <f aca="false" ca="false" dt2D="false" dtr="false" t="normal">+N461-'Приложение №2'!E461</f>
        <v>0</v>
      </c>
      <c r="AQ461" s="121" t="n">
        <v>8869293.74</v>
      </c>
      <c r="AR461" s="3" t="n">
        <f aca="false" ca="false" dt2D="false" dtr="false" t="normal">+(K461*13.95+L461*23.65)*12*0.85</f>
        <v>1739594.8530000001</v>
      </c>
      <c r="AS461" s="3" t="n">
        <f aca="false" ca="false" dt2D="false" dtr="false" t="normal">+(K461*13.95+L461*23.65)*12*30</f>
        <v>61397465.400000006</v>
      </c>
      <c r="AT461" s="9" t="n">
        <f aca="false" ca="false" dt2D="false" dtr="false" t="normal">+S461-AS461</f>
        <v>-54006243.60300001</v>
      </c>
      <c r="AU461" s="9" t="e">
        <f aca="false" ca="false" dt2D="false" dtr="false" t="normal">+P461-'[5]Приложение №1'!$P670</f>
        <v>#REF!</v>
      </c>
      <c r="AV461" s="9" t="e">
        <f aca="false" ca="false" dt2D="false" dtr="false" t="normal">+Q461-'[5]Приложение №1'!$Q670</f>
        <v>#REF!</v>
      </c>
      <c r="AW461" s="232" t="n">
        <f aca="false" ca="true" dt2D="false" dtr="false" t="normal">SUBTOTAL(9, AX461:BL461)</f>
        <v>25626300</v>
      </c>
      <c r="AX461" s="106" t="n"/>
      <c r="AY461" s="106" t="n"/>
      <c r="AZ461" s="106" t="n"/>
      <c r="BA461" s="106" t="n"/>
      <c r="BB461" s="106" t="n"/>
      <c r="BC461" s="106" t="n"/>
      <c r="BD461" s="106" t="n"/>
      <c r="BE461" s="106" t="n">
        <v>24074781.2928</v>
      </c>
      <c r="BF461" s="106" t="n"/>
      <c r="BG461" s="106" t="n"/>
      <c r="BH461" s="106" t="n"/>
      <c r="BI461" s="106" t="n"/>
      <c r="BJ461" s="106" t="n">
        <v>768789</v>
      </c>
      <c r="BK461" s="106" t="n">
        <v>256263</v>
      </c>
      <c r="BL461" s="111" t="n">
        <v>526466.7072</v>
      </c>
      <c r="BM461" s="232" t="n">
        <f aca="false" ca="true" dt2D="false" dtr="false" t="normal">SUBTOTAL(9, BN461:CB461)</f>
        <v>25626300</v>
      </c>
      <c r="BN461" s="106" t="n"/>
      <c r="BO461" s="106" t="n"/>
      <c r="BP461" s="106" t="n"/>
      <c r="BQ461" s="106" t="n"/>
      <c r="BR461" s="106" t="n"/>
      <c r="BS461" s="106" t="n"/>
      <c r="BT461" s="106" t="n"/>
      <c r="BU461" s="106" t="n">
        <v>24074781.2928</v>
      </c>
      <c r="BV461" s="106" t="n"/>
      <c r="BW461" s="106" t="n"/>
      <c r="BX461" s="106" t="n"/>
      <c r="BY461" s="106" t="n"/>
      <c r="BZ461" s="106" t="n">
        <v>768789</v>
      </c>
      <c r="CA461" s="106" t="n">
        <v>256263</v>
      </c>
      <c r="CB461" s="111" t="n">
        <v>526466.7072</v>
      </c>
      <c r="CD461" s="116" t="n">
        <f aca="false" ca="false" dt2D="false" dtr="false" t="normal">+CD460+1</f>
        <v>440</v>
      </c>
      <c r="CE461" s="117" t="n">
        <v>225</v>
      </c>
      <c r="CF461" s="104" t="s">
        <v>227</v>
      </c>
      <c r="CG461" s="104" t="s">
        <v>502</v>
      </c>
      <c r="CH461" s="188" t="n">
        <f aca="false" ca="true" dt2D="false" dtr="false" t="normal">SUBTOTAL(9, CI461:CW461)</f>
        <v>18526577.0972</v>
      </c>
      <c r="CI461" s="106" t="n"/>
      <c r="CJ461" s="106" t="n"/>
      <c r="CK461" s="106" t="n"/>
      <c r="CL461" s="106" t="n"/>
      <c r="CM461" s="106" t="n"/>
      <c r="CN461" s="106" t="n"/>
      <c r="CO461" s="106" t="n"/>
      <c r="CP461" s="106" t="n">
        <v>16975058.39</v>
      </c>
      <c r="CQ461" s="106" t="n"/>
      <c r="CR461" s="106" t="n"/>
      <c r="CS461" s="106" t="n"/>
      <c r="CT461" s="114" t="n"/>
      <c r="CU461" s="114" t="n">
        <v>768789</v>
      </c>
      <c r="CV461" s="114" t="n">
        <v>256263</v>
      </c>
      <c r="CW461" s="115" t="n">
        <v>526466.7072</v>
      </c>
      <c r="CZ461" s="104" t="s">
        <v>502</v>
      </c>
      <c r="DA461" s="189" t="n">
        <f aca="false" ca="true" dt2D="false" dtr="false" t="normal">SUBTOTAL(9, DB461:DP461)</f>
        <v>18000110.39</v>
      </c>
      <c r="DB461" s="106" t="n"/>
      <c r="DC461" s="106" t="n"/>
      <c r="DD461" s="106" t="n"/>
      <c r="DE461" s="106" t="n"/>
      <c r="DF461" s="106" t="n"/>
      <c r="DG461" s="106" t="n"/>
      <c r="DH461" s="106" t="n"/>
      <c r="DI461" s="106" t="n">
        <v>16975058.39</v>
      </c>
      <c r="DJ461" s="106" t="n"/>
      <c r="DK461" s="106" t="n"/>
      <c r="DL461" s="106" t="n"/>
      <c r="DM461" s="114" t="n"/>
      <c r="DN461" s="114" t="n">
        <v>768789</v>
      </c>
      <c r="DO461" s="114" t="n">
        <v>256263</v>
      </c>
      <c r="DP461" s="122" t="n"/>
      <c r="DQ461" s="3" t="n"/>
      <c r="DS461" s="9" t="n"/>
    </row>
    <row hidden="false" ht="15" outlineLevel="0" r="462">
      <c r="A462" s="183" t="n">
        <f aca="false" ca="false" dt2D="false" dtr="false" t="normal">+A461+1</f>
        <v>441</v>
      </c>
      <c r="B462" s="117" t="n">
        <v>226</v>
      </c>
      <c r="C462" s="104" t="s">
        <v>227</v>
      </c>
      <c r="D462" s="104" t="s">
        <v>503</v>
      </c>
      <c r="E462" s="105" t="n">
        <v>1970</v>
      </c>
      <c r="F462" s="105" t="n">
        <v>2015</v>
      </c>
      <c r="G462" s="105" t="s">
        <v>68</v>
      </c>
      <c r="H462" s="105" t="n">
        <v>4</v>
      </c>
      <c r="I462" s="105" t="n">
        <v>3</v>
      </c>
      <c r="J462" s="106" t="n">
        <v>2337.2</v>
      </c>
      <c r="K462" s="106" t="n">
        <v>1988.4</v>
      </c>
      <c r="L462" s="106" t="n">
        <v>46.7</v>
      </c>
      <c r="M462" s="107" t="n">
        <v>101</v>
      </c>
      <c r="N462" s="108" t="n">
        <f aca="false" ca="false" dt2D="false" dtr="false" t="normal">SUM(P462:T462)</f>
        <v>13923869.55</v>
      </c>
      <c r="O462" s="114" t="n"/>
      <c r="P462" s="114" t="n">
        <v>6918478.87</v>
      </c>
      <c r="Q462" s="114" t="n"/>
      <c r="R462" s="114" t="n">
        <v>1648380.95345517</v>
      </c>
      <c r="S462" s="114" t="n">
        <v>5357009.72654483</v>
      </c>
      <c r="T462" s="114" t="n"/>
      <c r="U462" s="114" t="n">
        <v>10577.7377528377</v>
      </c>
      <c r="V462" s="114" t="n">
        <v>10577.7377528377</v>
      </c>
      <c r="W462" s="110" t="n">
        <v>2023</v>
      </c>
      <c r="X462" s="9" t="e">
        <f aca="false" ca="false" dt2D="false" dtr="false" t="normal">+#REF!-'[9]Приложение №1'!$P1606</f>
        <v>#REF!</v>
      </c>
      <c r="Z462" s="113" t="n">
        <f aca="false" ca="false" dt2D="false" dtr="false" t="normal">SUM(AA462:AO462)</f>
        <v>25877715.080000002</v>
      </c>
      <c r="AA462" s="106" t="n">
        <v>5829165.76517184</v>
      </c>
      <c r="AB462" s="106" t="n">
        <v>2137570.65303054</v>
      </c>
      <c r="AC462" s="106" t="n">
        <v>2233259.72131038</v>
      </c>
      <c r="AD462" s="106" t="n">
        <v>1398188.15721144</v>
      </c>
      <c r="AE462" s="106" t="n">
        <v>0</v>
      </c>
      <c r="AF462" s="106" t="n"/>
      <c r="AG462" s="106" t="n">
        <v>192437.14870884</v>
      </c>
      <c r="AH462" s="106" t="n">
        <v>0</v>
      </c>
      <c r="AI462" s="106" t="n">
        <v>10966540.7948166</v>
      </c>
      <c r="AJ462" s="106" t="n">
        <v>0</v>
      </c>
      <c r="AK462" s="106" t="n">
        <v>0</v>
      </c>
      <c r="AL462" s="106" t="n">
        <v>0</v>
      </c>
      <c r="AM462" s="106" t="n">
        <v>2364122.6418</v>
      </c>
      <c r="AN462" s="114" t="n">
        <v>258777.1508</v>
      </c>
      <c r="AO462" s="115" t="n">
        <v>497653.04715036</v>
      </c>
      <c r="AP462" s="112" t="n">
        <f aca="false" ca="false" dt2D="false" dtr="false" t="normal">+N462-'Приложение №2'!E462</f>
        <v>0</v>
      </c>
      <c r="AQ462" s="1" t="n">
        <v>960970.65</v>
      </c>
      <c r="AR462" s="3" t="n">
        <f aca="false" ca="false" dt2D="false" dtr="false" t="normal">+(K462*10+L462*20)*12*0.85</f>
        <v>212343.6</v>
      </c>
      <c r="AS462" s="3" t="n">
        <f aca="false" ca="false" dt2D="false" dtr="false" t="normal">+(K462*10+L462*20)*12*30</f>
        <v>7494480</v>
      </c>
      <c r="AT462" s="9" t="n">
        <f aca="false" ca="false" dt2D="false" dtr="false" t="normal">+S462-AS462</f>
        <v>-2137470.27345517</v>
      </c>
      <c r="AU462" s="9" t="e">
        <f aca="false" ca="false" dt2D="false" dtr="false" t="normal">+P462-'[5]Приложение №1'!$P387</f>
        <v>#REF!</v>
      </c>
      <c r="AV462" s="9" t="e">
        <f aca="false" ca="false" dt2D="false" dtr="false" t="normal">+Q462-'[5]Приложение №1'!$Q387</f>
        <v>#REF!</v>
      </c>
      <c r="AW462" s="113" t="n">
        <f aca="false" ca="true" dt2D="false" dtr="false" t="normal">SUBTOTAL(9, AX462:BL462)</f>
        <v>21526754.1008</v>
      </c>
      <c r="AX462" s="106" t="n">
        <v>6351405.750018</v>
      </c>
      <c r="AY462" s="106" t="n">
        <v>2342376.76428</v>
      </c>
      <c r="AZ462" s="106" t="n"/>
      <c r="BA462" s="106" t="n"/>
      <c r="BB462" s="106" t="n">
        <v>0</v>
      </c>
      <c r="BC462" s="106" t="n"/>
      <c r="BD462" s="106" t="n">
        <v>192437.14870884</v>
      </c>
      <c r="BE462" s="106" t="n">
        <v>0</v>
      </c>
      <c r="BF462" s="106" t="n">
        <v>12126879.564996</v>
      </c>
      <c r="BG462" s="106" t="n">
        <v>0</v>
      </c>
      <c r="BH462" s="106" t="n">
        <v>0</v>
      </c>
      <c r="BI462" s="106" t="n">
        <v>0</v>
      </c>
      <c r="BJ462" s="106" t="n"/>
      <c r="BK462" s="114" t="n"/>
      <c r="BL462" s="187" t="n">
        <v>513654.87279716</v>
      </c>
      <c r="BM462" s="113" t="n">
        <f aca="false" ca="true" dt2D="false" dtr="false" t="normal">SUBTOTAL(9, BN462:CB462)</f>
        <v>21526754.1008</v>
      </c>
      <c r="BN462" s="106" t="n">
        <v>6351405.750018</v>
      </c>
      <c r="BO462" s="106" t="n">
        <v>2342376.76428</v>
      </c>
      <c r="BP462" s="106" t="n"/>
      <c r="BQ462" s="106" t="n"/>
      <c r="BR462" s="106" t="n">
        <v>0</v>
      </c>
      <c r="BS462" s="106" t="n"/>
      <c r="BT462" s="106" t="n">
        <v>192437.14870884</v>
      </c>
      <c r="BU462" s="106" t="n">
        <v>0</v>
      </c>
      <c r="BV462" s="106" t="n">
        <v>12126879.564996</v>
      </c>
      <c r="BW462" s="106" t="n">
        <v>0</v>
      </c>
      <c r="BX462" s="106" t="n">
        <v>0</v>
      </c>
      <c r="BY462" s="106" t="n">
        <v>0</v>
      </c>
      <c r="BZ462" s="106" t="n"/>
      <c r="CA462" s="114" t="n"/>
      <c r="CB462" s="115" t="n">
        <v>513654.87279716</v>
      </c>
      <c r="CD462" s="116" t="n">
        <f aca="false" ca="false" dt2D="false" dtr="false" t="normal">+CD461+1</f>
        <v>441</v>
      </c>
      <c r="CE462" s="117" t="n">
        <v>226</v>
      </c>
      <c r="CF462" s="104" t="s">
        <v>227</v>
      </c>
      <c r="CG462" s="117" t="s">
        <v>503</v>
      </c>
      <c r="CH462" s="118" t="n">
        <f aca="false" ca="true" dt2D="false" dtr="false" t="normal">SUBTOTAL(9, CI462:CW462)</f>
        <v>14437524.42279716</v>
      </c>
      <c r="CI462" s="114" t="n">
        <v>6125064</v>
      </c>
      <c r="CJ462" s="114" t="n">
        <v>2367725.57</v>
      </c>
      <c r="CK462" s="114" t="n"/>
      <c r="CL462" s="114" t="n"/>
      <c r="CM462" s="114" t="n">
        <v>0</v>
      </c>
      <c r="CN462" s="114" t="n"/>
      <c r="CO462" s="114" t="n"/>
      <c r="CP462" s="114" t="n">
        <v>0</v>
      </c>
      <c r="CQ462" s="114" t="n">
        <v>5431079.98</v>
      </c>
      <c r="CR462" s="114" t="n">
        <v>0</v>
      </c>
      <c r="CS462" s="114" t="n">
        <v>0</v>
      </c>
      <c r="CT462" s="114" t="n">
        <v>0</v>
      </c>
      <c r="CU462" s="114" t="n"/>
      <c r="CV462" s="114" t="n"/>
      <c r="CW462" s="115" t="n">
        <v>513654.87279716</v>
      </c>
      <c r="CZ462" s="117" t="s">
        <v>503</v>
      </c>
      <c r="DA462" s="119" t="n">
        <f aca="false" ca="true" dt2D="false" dtr="false" t="normal">SUBTOTAL(9, DB462:DP462)</f>
        <v>13923869.55</v>
      </c>
      <c r="DB462" s="114" t="n">
        <v>6125064</v>
      </c>
      <c r="DC462" s="114" t="n">
        <v>2367725.57</v>
      </c>
      <c r="DD462" s="114" t="n"/>
      <c r="DE462" s="114" t="n"/>
      <c r="DF462" s="114" t="n">
        <v>0</v>
      </c>
      <c r="DG462" s="114" t="n"/>
      <c r="DH462" s="114" t="n"/>
      <c r="DI462" s="114" t="n">
        <v>0</v>
      </c>
      <c r="DJ462" s="114" t="n">
        <v>5431079.98</v>
      </c>
      <c r="DK462" s="114" t="n">
        <v>0</v>
      </c>
      <c r="DL462" s="114" t="n">
        <v>0</v>
      </c>
      <c r="DM462" s="114" t="n">
        <v>0</v>
      </c>
      <c r="DN462" s="114" t="n"/>
      <c r="DO462" s="114" t="n"/>
      <c r="DP462" s="122" t="n"/>
      <c r="DQ462" s="3" t="n"/>
      <c r="DS462" s="9" t="n"/>
    </row>
    <row hidden="false" ht="15" outlineLevel="0" r="463">
      <c r="A463" s="183" t="n">
        <f aca="false" ca="false" dt2D="false" dtr="false" t="normal">+A462+1</f>
        <v>442</v>
      </c>
      <c r="B463" s="117" t="s">
        <v>463</v>
      </c>
      <c r="C463" s="117" t="s">
        <v>227</v>
      </c>
      <c r="D463" s="117" t="s">
        <v>425</v>
      </c>
      <c r="E463" s="105" t="n">
        <v>1986</v>
      </c>
      <c r="F463" s="105" t="n">
        <v>2015</v>
      </c>
      <c r="G463" s="105" t="s">
        <v>68</v>
      </c>
      <c r="H463" s="105" t="n">
        <v>9</v>
      </c>
      <c r="I463" s="105" t="n">
        <v>1</v>
      </c>
      <c r="J463" s="106" t="n">
        <v>2147.3</v>
      </c>
      <c r="K463" s="106" t="n">
        <v>1765</v>
      </c>
      <c r="L463" s="106" t="n">
        <v>118.1</v>
      </c>
      <c r="M463" s="107" t="n">
        <v>71</v>
      </c>
      <c r="N463" s="108" t="n">
        <f aca="false" ca="false" dt2D="false" dtr="false" t="normal">SUM(P463:T463)</f>
        <v>2593578.3</v>
      </c>
      <c r="O463" s="114" t="n"/>
      <c r="P463" s="114" t="n">
        <v>1436340.71</v>
      </c>
      <c r="Q463" s="114" t="n"/>
      <c r="R463" s="114" t="n"/>
      <c r="S463" s="114" t="n">
        <v>1157237.59</v>
      </c>
      <c r="T463" s="114" t="n"/>
      <c r="U463" s="106" t="n">
        <v>10650.4915964548</v>
      </c>
      <c r="V463" s="106" t="n">
        <v>10650.4915964548</v>
      </c>
      <c r="W463" s="110" t="n">
        <v>2023</v>
      </c>
      <c r="X463" s="9" t="e">
        <f aca="false" ca="false" dt2D="false" dtr="false" t="normal">+#REF!-'[9]Приложение №1'!$P1310</f>
        <v>#REF!</v>
      </c>
      <c r="Z463" s="113" t="n">
        <f aca="false" ca="false" dt2D="false" dtr="false" t="normal">SUM(AA463:AO463)</f>
        <v>20557934.95</v>
      </c>
      <c r="AA463" s="106" t="n">
        <v>4354337.08849776</v>
      </c>
      <c r="AB463" s="106" t="n">
        <v>2988403.22921658</v>
      </c>
      <c r="AC463" s="106" t="n">
        <v>1819095.0789144</v>
      </c>
      <c r="AD463" s="106" t="n">
        <v>1641252.41830956</v>
      </c>
      <c r="AE463" s="106" t="n">
        <v>0</v>
      </c>
      <c r="AF463" s="106" t="n"/>
      <c r="AG463" s="106" t="n">
        <v>209478.567984</v>
      </c>
      <c r="AH463" s="106" t="n">
        <v>0</v>
      </c>
      <c r="AI463" s="106" t="n">
        <v>2124154.6930044</v>
      </c>
      <c r="AJ463" s="106" t="n">
        <v>0</v>
      </c>
      <c r="AK463" s="106" t="n">
        <v>0</v>
      </c>
      <c r="AL463" s="106" t="n">
        <v>4849580.8718931</v>
      </c>
      <c r="AM463" s="106" t="n">
        <v>1972729.6575</v>
      </c>
      <c r="AN463" s="114" t="n">
        <v>205579.3495</v>
      </c>
      <c r="AO463" s="115" t="n">
        <v>393323.9951802</v>
      </c>
      <c r="AP463" s="112" t="n">
        <f aca="false" ca="false" dt2D="false" dtr="false" t="normal">+N463-'Приложение №2'!E463</f>
        <v>0</v>
      </c>
      <c r="AQ463" s="1" t="n">
        <v>1032655.91</v>
      </c>
      <c r="AR463" s="3" t="n">
        <f aca="false" ca="false" dt2D="false" dtr="false" t="normal">+(K463*13.29+L463*22.52)*12*0.85</f>
        <v>266387.9124</v>
      </c>
      <c r="AS463" s="3" t="n">
        <f aca="false" ca="false" dt2D="false" dtr="false" t="normal">+(K463*13.29+L463*22.52)*12*30</f>
        <v>9401926.32</v>
      </c>
      <c r="AT463" s="9" t="n">
        <f aca="false" ca="false" dt2D="false" dtr="false" t="normal">+S463-AS463</f>
        <v>-8244688.73</v>
      </c>
      <c r="AU463" s="9" t="e">
        <f aca="false" ca="false" dt2D="false" dtr="false" t="normal">+P463-'[5]Приложение №1'!$P513</f>
        <v>#REF!</v>
      </c>
      <c r="AV463" s="9" t="e">
        <f aca="false" ca="false" dt2D="false" dtr="false" t="normal">+Q463-'[5]Приложение №1'!$Q513</f>
        <v>#REF!</v>
      </c>
      <c r="AW463" s="113" t="n">
        <f aca="false" ca="true" dt2D="false" dtr="false" t="normal">SUBTOTAL(9, AX463:BL463)</f>
        <v>20055940.725284</v>
      </c>
      <c r="AX463" s="106" t="n">
        <v>4698966.264804</v>
      </c>
      <c r="AY463" s="106" t="n">
        <v>3271249.54779</v>
      </c>
      <c r="AZ463" s="106" t="n">
        <v>1989640.022412</v>
      </c>
      <c r="BA463" s="106" t="n">
        <v>1832647.696614</v>
      </c>
      <c r="BB463" s="106" t="n">
        <v>0</v>
      </c>
      <c r="BC463" s="106" t="n"/>
      <c r="BD463" s="106" t="n">
        <v>209478.567984</v>
      </c>
      <c r="BE463" s="106" t="n">
        <v>0</v>
      </c>
      <c r="BF463" s="106" t="n">
        <v>2326355.17</v>
      </c>
      <c r="BG463" s="106" t="n">
        <v>0</v>
      </c>
      <c r="BH463" s="106" t="n">
        <v>0</v>
      </c>
      <c r="BI463" s="106" t="n">
        <v>5299064.276688</v>
      </c>
      <c r="BJ463" s="106" t="n"/>
      <c r="BK463" s="114" t="n"/>
      <c r="BL463" s="187" t="n">
        <v>428539.178992</v>
      </c>
      <c r="BM463" s="113" t="n">
        <f aca="false" ca="true" dt2D="false" dtr="false" t="normal">SUBTOTAL(9, BN463:CB463)</f>
        <v>17486564.368596</v>
      </c>
      <c r="BN463" s="106" t="n">
        <v>4698966.264804</v>
      </c>
      <c r="BO463" s="106" t="n">
        <v>3271249.54779</v>
      </c>
      <c r="BP463" s="106" t="n">
        <v>1989640.022412</v>
      </c>
      <c r="BQ463" s="106" t="n">
        <v>1832647.696614</v>
      </c>
      <c r="BR463" s="106" t="n">
        <v>0</v>
      </c>
      <c r="BS463" s="106" t="n"/>
      <c r="BT463" s="106" t="n">
        <v>209478.567984</v>
      </c>
      <c r="BU463" s="106" t="n">
        <v>0</v>
      </c>
      <c r="BV463" s="106" t="n">
        <v>2326355.17</v>
      </c>
      <c r="BW463" s="106" t="n">
        <v>0</v>
      </c>
      <c r="BX463" s="106" t="n">
        <v>0</v>
      </c>
      <c r="BY463" s="106" t="n">
        <v>2729687.92</v>
      </c>
      <c r="BZ463" s="106" t="n"/>
      <c r="CA463" s="114" t="n"/>
      <c r="CB463" s="115" t="n">
        <v>428539.178992</v>
      </c>
      <c r="CD463" s="116" t="n">
        <f aca="false" ca="false" dt2D="false" dtr="false" t="normal">+CD462+1</f>
        <v>442</v>
      </c>
      <c r="CE463" s="117" t="s">
        <v>463</v>
      </c>
      <c r="CF463" s="104" t="s">
        <v>227</v>
      </c>
      <c r="CG463" s="117" t="s">
        <v>425</v>
      </c>
      <c r="CH463" s="118" t="n">
        <f aca="false" ca="true" dt2D="false" dtr="false" t="normal">SUBTOTAL(9, CI463:CW463)</f>
        <v>3022117.4789919998</v>
      </c>
      <c r="CI463" s="114" t="n"/>
      <c r="CJ463" s="114" t="n"/>
      <c r="CK463" s="114" t="n"/>
      <c r="CL463" s="114" t="n"/>
      <c r="CM463" s="114" t="n">
        <v>0</v>
      </c>
      <c r="CN463" s="114" t="n"/>
      <c r="CO463" s="114" t="n"/>
      <c r="CP463" s="114" t="n">
        <v>0</v>
      </c>
      <c r="CQ463" s="114" t="n">
        <v>2593578.3</v>
      </c>
      <c r="CR463" s="114" t="n">
        <v>0</v>
      </c>
      <c r="CS463" s="114" t="n">
        <v>0</v>
      </c>
      <c r="CT463" s="114" t="n"/>
      <c r="CU463" s="114" t="n"/>
      <c r="CV463" s="114" t="n"/>
      <c r="CW463" s="115" t="n">
        <v>428539.178992</v>
      </c>
      <c r="CZ463" s="117" t="s">
        <v>425</v>
      </c>
      <c r="DA463" s="119" t="n">
        <f aca="false" ca="true" dt2D="false" dtr="false" t="normal">SUBTOTAL(9, DB463:DP463)</f>
        <v>2593578.3</v>
      </c>
      <c r="DB463" s="114" t="n"/>
      <c r="DC463" s="114" t="n"/>
      <c r="DD463" s="114" t="n"/>
      <c r="DE463" s="114" t="n"/>
      <c r="DF463" s="114" t="n">
        <v>0</v>
      </c>
      <c r="DG463" s="114" t="n"/>
      <c r="DH463" s="114" t="n"/>
      <c r="DI463" s="114" t="n">
        <v>0</v>
      </c>
      <c r="DJ463" s="114" t="n">
        <v>2593578.3</v>
      </c>
      <c r="DK463" s="114" t="n">
        <v>0</v>
      </c>
      <c r="DL463" s="114" t="n">
        <v>0</v>
      </c>
      <c r="DM463" s="114" t="n"/>
      <c r="DN463" s="114" t="n"/>
      <c r="DO463" s="114" t="n"/>
      <c r="DP463" s="122" t="n"/>
      <c r="DQ463" s="3" t="n"/>
      <c r="DS463" s="9" t="n"/>
    </row>
    <row hidden="false" ht="15" outlineLevel="0" r="464">
      <c r="A464" s="183" t="n">
        <f aca="false" ca="false" dt2D="false" dtr="false" t="normal">+A463+1</f>
        <v>443</v>
      </c>
      <c r="B464" s="117" t="s">
        <v>463</v>
      </c>
      <c r="C464" s="117" t="s">
        <v>227</v>
      </c>
      <c r="D464" s="117" t="s">
        <v>426</v>
      </c>
      <c r="E464" s="105" t="n">
        <v>1991</v>
      </c>
      <c r="F464" s="105" t="n">
        <v>2015</v>
      </c>
      <c r="G464" s="105" t="s">
        <v>68</v>
      </c>
      <c r="H464" s="105" t="n">
        <v>9</v>
      </c>
      <c r="I464" s="105" t="n">
        <v>3</v>
      </c>
      <c r="J464" s="106" t="n">
        <v>6893.1</v>
      </c>
      <c r="K464" s="106" t="n">
        <v>6102.4</v>
      </c>
      <c r="L464" s="106" t="n">
        <v>65.5</v>
      </c>
      <c r="M464" s="107" t="n">
        <v>255</v>
      </c>
      <c r="N464" s="108" t="n">
        <f aca="false" ca="false" dt2D="false" dtr="false" t="normal">SUM(P464:T464)</f>
        <v>10877868</v>
      </c>
      <c r="O464" s="114" t="n"/>
      <c r="P464" s="114" t="n">
        <v>3554180.9</v>
      </c>
      <c r="Q464" s="114" t="n"/>
      <c r="R464" s="114" t="n">
        <v>952068.37</v>
      </c>
      <c r="S464" s="114" t="n">
        <v>6371618.73</v>
      </c>
      <c r="T464" s="114" t="n"/>
      <c r="U464" s="106" t="n">
        <v>6681.58481325895</v>
      </c>
      <c r="V464" s="106" t="n">
        <v>6681.58481325895</v>
      </c>
      <c r="W464" s="110" t="n">
        <v>2023</v>
      </c>
      <c r="X464" s="9" t="e">
        <f aca="false" ca="false" dt2D="false" dtr="false" t="normal">+#REF!-'[9]Приложение №1'!$P1507</f>
        <v>#REF!</v>
      </c>
      <c r="Z464" s="113" t="n">
        <f aca="false" ca="false" dt2D="false" dtr="false" t="normal">SUM(AA464:AO464)</f>
        <v>135273087.03</v>
      </c>
      <c r="AA464" s="106" t="n">
        <v>14114712.016718</v>
      </c>
      <c r="AB464" s="106" t="n">
        <v>9686997.14668728</v>
      </c>
      <c r="AC464" s="106" t="n">
        <v>5896650.31475184</v>
      </c>
      <c r="AD464" s="106" t="n">
        <v>5320168.0919898</v>
      </c>
      <c r="AE464" s="106" t="n">
        <v>0</v>
      </c>
      <c r="AF464" s="106" t="n"/>
      <c r="AG464" s="106" t="n">
        <v>679030.9523424</v>
      </c>
      <c r="AH464" s="106" t="n">
        <v>0</v>
      </c>
      <c r="AI464" s="106" t="n">
        <v>6885510.0487488</v>
      </c>
      <c r="AJ464" s="106" t="n">
        <v>0</v>
      </c>
      <c r="AK464" s="106" t="n">
        <v>59777000.1804423</v>
      </c>
      <c r="AL464" s="106" t="n">
        <v>15720059.3339677</v>
      </c>
      <c r="AM464" s="106" t="n">
        <v>13258054.8255</v>
      </c>
      <c r="AN464" s="114" t="n">
        <v>1352730.8703</v>
      </c>
      <c r="AO464" s="115" t="n">
        <v>2582173.24855188</v>
      </c>
      <c r="AP464" s="112" t="n">
        <f aca="false" ca="false" dt2D="false" dtr="false" t="normal">+N464-'Приложение №2'!E435</f>
        <v>7474559.4</v>
      </c>
      <c r="AQ464" s="9" t="n">
        <f aca="false" ca="false" dt2D="false" dtr="false" t="normal">3490024.25</f>
        <v>3490024.25</v>
      </c>
      <c r="AR464" s="3" t="n">
        <f aca="false" ca="false" dt2D="false" dtr="false" t="normal">+(K464*13.29+L464*22.52)*12*0.85</f>
        <v>842274.7511999998</v>
      </c>
      <c r="AS464" s="3" t="n">
        <f aca="false" ca="false" dt2D="false" dtr="false" t="normal">+(K464*13.29+L464*22.52)*12*30</f>
        <v>29727344.159999996</v>
      </c>
      <c r="AT464" s="9" t="n">
        <f aca="false" ca="false" dt2D="false" dtr="false" t="normal">+S464-AS464</f>
        <v>-23355725.429999996</v>
      </c>
      <c r="AU464" s="9" t="e">
        <f aca="false" ca="false" dt2D="false" dtr="false" t="normal">+P464-'[5]Приложение №1'!$P462</f>
        <v>#REF!</v>
      </c>
      <c r="AV464" s="9" t="e">
        <f aca="false" ca="false" dt2D="false" dtr="false" t="normal">+Q464-'[5]Приложение №1'!$Q462</f>
        <v>#REF!</v>
      </c>
      <c r="AW464" s="113" t="n">
        <f aca="false" ca="true" dt2D="false" dtr="false" t="normal">SUBTOTAL(9, AX464:BL464)</f>
        <v>41211346.96969987</v>
      </c>
      <c r="AX464" s="106" t="n">
        <v>14114712.016718</v>
      </c>
      <c r="AY464" s="106" t="n">
        <v>5068716.41</v>
      </c>
      <c r="AZ464" s="106" t="n"/>
      <c r="BA464" s="106" t="n">
        <v>5320168.0919898</v>
      </c>
      <c r="BB464" s="106" t="n"/>
      <c r="BC464" s="106" t="n"/>
      <c r="BD464" s="106" t="n">
        <v>679030.9523424</v>
      </c>
      <c r="BE464" s="106" t="n">
        <v>0</v>
      </c>
      <c r="BF464" s="106" t="n"/>
      <c r="BG464" s="106" t="n">
        <v>0</v>
      </c>
      <c r="BH464" s="106" t="n"/>
      <c r="BI464" s="106" t="n">
        <v>15720059.3339677</v>
      </c>
      <c r="BJ464" s="106" t="n"/>
      <c r="BK464" s="114" t="n"/>
      <c r="BL464" s="187" t="n">
        <v>308660.16468196</v>
      </c>
      <c r="BM464" s="113" t="n">
        <f aca="false" ca="true" dt2D="false" dtr="false" t="normal">SUBTOTAL(9, BN464:CB464)</f>
        <v>41211346.96969987</v>
      </c>
      <c r="BN464" s="106" t="n">
        <v>14114712.016718</v>
      </c>
      <c r="BO464" s="106" t="n">
        <v>5068716.41</v>
      </c>
      <c r="BP464" s="106" t="n"/>
      <c r="BQ464" s="106" t="n">
        <v>5320168.0919898</v>
      </c>
      <c r="BR464" s="106" t="n"/>
      <c r="BS464" s="106" t="n"/>
      <c r="BT464" s="106" t="n">
        <v>679030.9523424</v>
      </c>
      <c r="BU464" s="106" t="n">
        <v>0</v>
      </c>
      <c r="BV464" s="106" t="n"/>
      <c r="BW464" s="106" t="n">
        <v>0</v>
      </c>
      <c r="BX464" s="106" t="n"/>
      <c r="BY464" s="106" t="n">
        <v>15720059.3339677</v>
      </c>
      <c r="BZ464" s="106" t="n"/>
      <c r="CA464" s="114" t="n"/>
      <c r="CB464" s="115" t="n">
        <v>308660.16468196</v>
      </c>
      <c r="CD464" s="116" t="n">
        <f aca="false" ca="false" dt2D="false" dtr="false" t="normal">+CD463+1</f>
        <v>443</v>
      </c>
      <c r="CE464" s="117" t="s">
        <v>463</v>
      </c>
      <c r="CF464" s="104" t="s">
        <v>227</v>
      </c>
      <c r="CG464" s="117" t="s">
        <v>426</v>
      </c>
      <c r="CH464" s="118" t="n">
        <f aca="false" ca="true" dt2D="false" dtr="false" t="normal">SUBTOTAL(9, CI464:CW464)</f>
        <v>11186528.16468196</v>
      </c>
      <c r="CI464" s="114" t="n">
        <v>5809151.59</v>
      </c>
      <c r="CJ464" s="114" t="n">
        <v>5068716.41</v>
      </c>
      <c r="CK464" s="114" t="n"/>
      <c r="CL464" s="114" t="n"/>
      <c r="CM464" s="114" t="n"/>
      <c r="CN464" s="114" t="n"/>
      <c r="CO464" s="114" t="n"/>
      <c r="CP464" s="114" t="n">
        <v>0</v>
      </c>
      <c r="CQ464" s="114" t="n"/>
      <c r="CR464" s="114" t="n">
        <v>0</v>
      </c>
      <c r="CS464" s="114" t="n"/>
      <c r="CU464" s="114" t="n"/>
      <c r="CV464" s="114" t="n"/>
      <c r="CW464" s="115" t="n">
        <v>308660.16468196</v>
      </c>
      <c r="CZ464" s="117" t="s">
        <v>426</v>
      </c>
      <c r="DA464" s="119" t="n">
        <f aca="false" ca="true" dt2D="false" dtr="false" t="normal">SUBTOTAL(9, DB464:DP464)</f>
        <v>10877868</v>
      </c>
      <c r="DB464" s="114" t="n">
        <v>5809151.59</v>
      </c>
      <c r="DC464" s="114" t="n">
        <v>5068716.41</v>
      </c>
      <c r="DD464" s="114" t="n"/>
      <c r="DE464" s="114" t="n"/>
      <c r="DF464" s="114" t="n"/>
      <c r="DG464" s="114" t="n"/>
      <c r="DH464" s="114" t="n"/>
      <c r="DI464" s="114" t="n">
        <v>0</v>
      </c>
      <c r="DJ464" s="114" t="n"/>
      <c r="DK464" s="114" t="n">
        <v>0</v>
      </c>
      <c r="DL464" s="114" t="n"/>
      <c r="DN464" s="114" t="n"/>
      <c r="DO464" s="114" t="n"/>
      <c r="DP464" s="122" t="n"/>
      <c r="DQ464" s="3" t="n"/>
      <c r="DS464" s="9" t="n"/>
    </row>
    <row hidden="false" ht="15" outlineLevel="0" r="465">
      <c r="A465" s="183" t="n">
        <f aca="false" ca="false" dt2D="false" dtr="false" t="normal">+A464+1</f>
        <v>444</v>
      </c>
      <c r="B465" s="117" t="n">
        <v>227</v>
      </c>
      <c r="C465" s="104" t="s">
        <v>227</v>
      </c>
      <c r="D465" s="104" t="s">
        <v>504</v>
      </c>
      <c r="E465" s="105" t="n">
        <v>1981</v>
      </c>
      <c r="F465" s="105" t="n">
        <v>2012</v>
      </c>
      <c r="G465" s="105" t="s">
        <v>68</v>
      </c>
      <c r="H465" s="105" t="n">
        <v>9</v>
      </c>
      <c r="I465" s="105" t="n">
        <v>1</v>
      </c>
      <c r="J465" s="106" t="n">
        <v>3186</v>
      </c>
      <c r="K465" s="106" t="n">
        <v>2438</v>
      </c>
      <c r="L465" s="106" t="n">
        <v>0</v>
      </c>
      <c r="M465" s="107" t="n">
        <v>147</v>
      </c>
      <c r="N465" s="108" t="n">
        <f aca="false" ca="false" dt2D="false" dtr="false" t="normal">SUM(P465:T465)</f>
        <v>13595928.309999982</v>
      </c>
      <c r="O465" s="106" t="n"/>
      <c r="P465" s="114" t="n">
        <v>373281.414801631</v>
      </c>
      <c r="Q465" s="114" t="n"/>
      <c r="R465" s="114" t="n">
        <v>1671137.24773895</v>
      </c>
      <c r="S465" s="114" t="n">
        <v>11551509.6474594</v>
      </c>
      <c r="T465" s="114" t="n"/>
      <c r="U465" s="106" t="n">
        <v>10006.3379510254</v>
      </c>
      <c r="V465" s="106" t="n">
        <v>10006.3379510254</v>
      </c>
      <c r="W465" s="110" t="n">
        <v>2023</v>
      </c>
      <c r="X465" s="9" t="e">
        <f aca="false" ca="false" dt2D="false" dtr="false" t="normal">+#REF!-'[9]Приложение №1'!$P830</f>
        <v>#REF!</v>
      </c>
      <c r="Z465" s="113" t="n">
        <f aca="false" ca="false" dt2D="false" dtr="false" t="normal">SUM(AA465:AO465)</f>
        <v>50902320.63000004</v>
      </c>
      <c r="AA465" s="106" t="n">
        <v>5637051.25540284</v>
      </c>
      <c r="AB465" s="106" t="n">
        <v>3868736.34994224</v>
      </c>
      <c r="AC465" s="106" t="n">
        <v>2354969.76838536</v>
      </c>
      <c r="AD465" s="106" t="n">
        <v>2124737.66420496</v>
      </c>
      <c r="AE465" s="106" t="n">
        <v>0</v>
      </c>
      <c r="AF465" s="106" t="n"/>
      <c r="AG465" s="106" t="n">
        <v>271187.4164496</v>
      </c>
      <c r="AH465" s="106" t="n">
        <v>0</v>
      </c>
      <c r="AI465" s="106" t="n">
        <v>0</v>
      </c>
      <c r="AJ465" s="106" t="n">
        <v>0</v>
      </c>
      <c r="AK465" s="106" t="n">
        <v>23873389.2534136</v>
      </c>
      <c r="AL465" s="106" t="n">
        <v>6278185.50165366</v>
      </c>
      <c r="AM465" s="106" t="n">
        <v>5013921.571</v>
      </c>
      <c r="AN465" s="114" t="n">
        <v>509023.2063</v>
      </c>
      <c r="AO465" s="115" t="n">
        <v>971118.64324778</v>
      </c>
      <c r="AP465" s="112" t="n">
        <f aca="false" ca="false" dt2D="false" dtr="false" t="normal">+N465-'Приложение №2'!E465</f>
        <v>0</v>
      </c>
      <c r="AQ465" s="1" t="n">
        <v>1391149.44</v>
      </c>
      <c r="AR465" s="3" t="n">
        <f aca="false" ca="false" dt2D="false" dtr="false" t="normal">+(K465*13.29+L465*22.52)*12*0.85</f>
        <v>330490.404</v>
      </c>
      <c r="AS465" s="3" t="n">
        <f aca="false" ca="false" dt2D="false" dtr="false" t="normal">+(K465*13.29+L465*22.52)*12*30</f>
        <v>11664367.2</v>
      </c>
      <c r="AT465" s="9" t="n">
        <f aca="false" ca="false" dt2D="false" dtr="false" t="normal">+S465-AS465</f>
        <v>-112857.55254059844</v>
      </c>
      <c r="AU465" s="9" t="e">
        <f aca="false" ca="false" dt2D="false" dtr="false" t="normal">+P465-'[5]Приложение №1'!$P407</f>
        <v>#REF!</v>
      </c>
      <c r="AV465" s="9" t="e">
        <f aca="false" ca="false" dt2D="false" dtr="false" t="normal">+Q465-'[5]Приложение №1'!$Q407</f>
        <v>#REF!</v>
      </c>
      <c r="AW465" s="113" t="n">
        <f aca="false" ca="true" dt2D="false" dtr="false" t="normal">SUBTOTAL(9, AX465:BL465)</f>
        <v>24395451.92460004</v>
      </c>
      <c r="AX465" s="106" t="n"/>
      <c r="AY465" s="106" t="n"/>
      <c r="AZ465" s="106" t="n"/>
      <c r="BA465" s="106" t="n"/>
      <c r="BB465" s="106" t="n"/>
      <c r="BC465" s="106" t="n"/>
      <c r="BD465" s="106" t="n"/>
      <c r="BE465" s="106" t="n"/>
      <c r="BF465" s="106" t="n">
        <v>0</v>
      </c>
      <c r="BG465" s="106" t="n">
        <v>0</v>
      </c>
      <c r="BH465" s="106" t="n">
        <v>23873389.2534136</v>
      </c>
      <c r="BI465" s="106" t="n"/>
      <c r="BJ465" s="106" t="n"/>
      <c r="BK465" s="114" t="n"/>
      <c r="BL465" s="187" t="n">
        <v>522062.67118644</v>
      </c>
      <c r="BM465" s="113" t="n">
        <f aca="false" ca="true" dt2D="false" dtr="false" t="normal">SUBTOTAL(9, BN465:CB465)</f>
        <v>24395451.92460004</v>
      </c>
      <c r="BN465" s="106" t="n"/>
      <c r="BO465" s="106" t="n"/>
      <c r="BP465" s="106" t="n"/>
      <c r="BQ465" s="106" t="n"/>
      <c r="BR465" s="106" t="n"/>
      <c r="BS465" s="106" t="n"/>
      <c r="BT465" s="106" t="n"/>
      <c r="BU465" s="106" t="n"/>
      <c r="BV465" s="106" t="n">
        <v>0</v>
      </c>
      <c r="BW465" s="106" t="n">
        <v>0</v>
      </c>
      <c r="BX465" s="106" t="n">
        <v>23873389.2534136</v>
      </c>
      <c r="BY465" s="106" t="n"/>
      <c r="BZ465" s="106" t="n"/>
      <c r="CA465" s="114" t="n"/>
      <c r="CB465" s="115" t="n">
        <v>522062.67118644</v>
      </c>
      <c r="CD465" s="116" t="n">
        <f aca="false" ca="false" dt2D="false" dtr="false" t="normal">+CD464+1</f>
        <v>444</v>
      </c>
      <c r="CE465" s="117" t="n">
        <v>227</v>
      </c>
      <c r="CF465" s="104" t="s">
        <v>227</v>
      </c>
      <c r="CG465" s="117" t="s">
        <v>504</v>
      </c>
      <c r="CH465" s="118" t="n">
        <f aca="false" ca="true" dt2D="false" dtr="false" t="normal">SUBTOTAL(9, CI465:CW465)</f>
        <v>13981232.05118644</v>
      </c>
      <c r="CI465" s="114" t="n"/>
      <c r="CJ465" s="114" t="n"/>
      <c r="CK465" s="114" t="n"/>
      <c r="CL465" s="114" t="n"/>
      <c r="CM465" s="114" t="n"/>
      <c r="CN465" s="114" t="n"/>
      <c r="CO465" s="114" t="n"/>
      <c r="CP465" s="114" t="n"/>
      <c r="CQ465" s="114" t="n">
        <v>0</v>
      </c>
      <c r="CR465" s="114" t="n">
        <v>0</v>
      </c>
      <c r="CS465" s="114" t="n">
        <v>13459169.38</v>
      </c>
      <c r="CT465" s="114" t="n"/>
      <c r="CU465" s="114" t="n"/>
      <c r="CV465" s="114" t="n"/>
      <c r="CW465" s="115" t="n">
        <v>522062.67118644</v>
      </c>
      <c r="CZ465" s="117" t="s">
        <v>504</v>
      </c>
      <c r="DA465" s="119" t="n">
        <f aca="false" ca="true" dt2D="false" dtr="false" t="normal">SUBTOTAL(9, DB465:DP465)</f>
        <v>13595928.31</v>
      </c>
      <c r="DB465" s="114" t="n"/>
      <c r="DC465" s="114" t="n"/>
      <c r="DD465" s="114" t="n"/>
      <c r="DE465" s="114" t="n"/>
      <c r="DF465" s="114" t="n"/>
      <c r="DG465" s="114" t="n"/>
      <c r="DH465" s="114" t="n"/>
      <c r="DI465" s="114" t="n"/>
      <c r="DJ465" s="114" t="n">
        <v>0</v>
      </c>
      <c r="DK465" s="114" t="n">
        <v>0</v>
      </c>
      <c r="DL465" s="114" t="n">
        <v>13459169.38</v>
      </c>
      <c r="DM465" s="114" t="n"/>
      <c r="DN465" s="114" t="n"/>
      <c r="DO465" s="114" t="n"/>
      <c r="DP465" s="120" t="n">
        <v>136758.93</v>
      </c>
      <c r="DQ465" s="3" t="n"/>
      <c r="DS465" s="9" t="n"/>
    </row>
    <row hidden="false" ht="15" outlineLevel="0" r="466">
      <c r="A466" s="183" t="n">
        <f aca="false" ca="false" dt2D="false" dtr="false" t="normal">+A465+1</f>
        <v>445</v>
      </c>
      <c r="B466" s="117" t="n">
        <v>228</v>
      </c>
      <c r="C466" s="104" t="s">
        <v>227</v>
      </c>
      <c r="D466" s="104" t="s">
        <v>246</v>
      </c>
      <c r="E466" s="105" t="n">
        <v>1972</v>
      </c>
      <c r="F466" s="105" t="n">
        <v>2013</v>
      </c>
      <c r="G466" s="105" t="s">
        <v>68</v>
      </c>
      <c r="H466" s="105" t="n">
        <v>4</v>
      </c>
      <c r="I466" s="105" t="n">
        <v>6</v>
      </c>
      <c r="J466" s="106" t="n">
        <v>4437.9</v>
      </c>
      <c r="K466" s="106" t="n">
        <v>4088.2</v>
      </c>
      <c r="L466" s="106" t="n">
        <v>0</v>
      </c>
      <c r="M466" s="107" t="n">
        <v>207</v>
      </c>
      <c r="N466" s="108" t="n">
        <f aca="false" ca="false" dt2D="false" dtr="false" t="normal">SUM(P466:T466)</f>
        <v>11006074.42</v>
      </c>
      <c r="O466" s="106" t="n"/>
      <c r="P466" s="114" t="n">
        <v>0</v>
      </c>
      <c r="Q466" s="114" t="n"/>
      <c r="R466" s="114" t="n">
        <v>2349964.75</v>
      </c>
      <c r="S466" s="114" t="n">
        <v>8656109.67</v>
      </c>
      <c r="T466" s="190" t="n"/>
      <c r="U466" s="106" t="n">
        <v>3210.50449477241</v>
      </c>
      <c r="V466" s="106" t="n">
        <v>3210.50449477241</v>
      </c>
      <c r="W466" s="110" t="n">
        <v>2023</v>
      </c>
      <c r="X466" s="9" t="e">
        <f aca="false" ca="false" dt2D="false" dtr="false" t="normal">+#REF!-'[9]Приложение №1'!$P1456</f>
        <v>#REF!</v>
      </c>
      <c r="Z466" s="113" t="n">
        <f aca="false" ca="false" dt2D="false" dtr="false" t="normal">SUM(AA466:AO466)</f>
        <v>26371012.2924</v>
      </c>
      <c r="AA466" s="106" t="n">
        <v>12305507</v>
      </c>
      <c r="AB466" s="106" t="n">
        <v>4288000.488975</v>
      </c>
      <c r="AC466" s="106" t="n">
        <v>4479954.27387144</v>
      </c>
      <c r="AD466" s="106" t="n">
        <v>3127291</v>
      </c>
      <c r="AE466" s="106" t="n">
        <v>0</v>
      </c>
      <c r="AF466" s="106" t="n"/>
      <c r="AG466" s="106" t="n">
        <v>386031.94970676</v>
      </c>
      <c r="AH466" s="106" t="n">
        <v>0</v>
      </c>
      <c r="AI466" s="106" t="n">
        <v>0</v>
      </c>
      <c r="AJ466" s="106" t="n">
        <v>0</v>
      </c>
      <c r="AK466" s="106" t="n">
        <v>0</v>
      </c>
      <c r="AL466" s="106" t="n">
        <v>0</v>
      </c>
      <c r="AM466" s="106" t="n">
        <v>1122564.2277</v>
      </c>
      <c r="AN466" s="114" t="n">
        <v>134247.9403</v>
      </c>
      <c r="AO466" s="115" t="n">
        <v>527415.4118468</v>
      </c>
      <c r="AP466" s="112" t="n">
        <f aca="false" ca="false" dt2D="false" dtr="false" t="normal">+N466-'Приложение №2'!E466</f>
        <v>0</v>
      </c>
      <c r="AQ466" s="1" t="n">
        <v>1932968.35</v>
      </c>
      <c r="AR466" s="3" t="n">
        <f aca="false" ca="false" dt2D="false" dtr="false" t="normal">+(K466*10+L466*20)*12*0.85</f>
        <v>416996.39999999997</v>
      </c>
      <c r="AS466" s="3" t="n">
        <f aca="false" ca="false" dt2D="false" dtr="false" t="normal">+(K466*10+L466*20)*12*30</f>
        <v>14717520</v>
      </c>
      <c r="AT466" s="9" t="n">
        <f aca="false" ca="false" dt2D="false" dtr="false" t="normal">+S466-AS466</f>
        <v>-6061410.33</v>
      </c>
      <c r="AU466" s="9" t="e">
        <f aca="false" ca="false" dt2D="false" dtr="false" t="normal">+P466-'[5]Приложение №1'!$P414</f>
        <v>#REF!</v>
      </c>
      <c r="AV466" s="9" t="e">
        <f aca="false" ca="false" dt2D="false" dtr="false" t="normal">+Q466-'[5]Приложение №1'!$Q414</f>
        <v>#REF!</v>
      </c>
      <c r="AW466" s="113" t="n">
        <f aca="false" ca="true" dt2D="false" dtr="false" t="normal">SUBTOTAL(9, AX466:BL466)</f>
        <v>13125184.475528559</v>
      </c>
      <c r="AX466" s="106" t="n">
        <v>12305507</v>
      </c>
      <c r="AY466" s="106" t="n"/>
      <c r="AZ466" s="106" t="n"/>
      <c r="BA466" s="106" t="n"/>
      <c r="BB466" s="106" t="n">
        <v>0</v>
      </c>
      <c r="BC466" s="106" t="n"/>
      <c r="BD466" s="106" t="n">
        <v>386031.94970676</v>
      </c>
      <c r="BE466" s="106" t="n">
        <v>0</v>
      </c>
      <c r="BF466" s="106" t="n">
        <v>0</v>
      </c>
      <c r="BG466" s="106" t="n">
        <v>0</v>
      </c>
      <c r="BH466" s="106" t="n">
        <v>0</v>
      </c>
      <c r="BI466" s="106" t="n">
        <v>0</v>
      </c>
      <c r="BJ466" s="106" t="n"/>
      <c r="BK466" s="114" t="n"/>
      <c r="BL466" s="187" t="n">
        <v>433645.5258218</v>
      </c>
      <c r="BM466" s="113" t="n">
        <f aca="false" ca="true" dt2D="false" dtr="false" t="normal">SUBTOTAL(9, BN466:CB466)</f>
        <v>13125184.475528559</v>
      </c>
      <c r="BN466" s="106" t="n">
        <v>12305507</v>
      </c>
      <c r="BO466" s="106" t="n"/>
      <c r="BP466" s="106" t="n"/>
      <c r="BQ466" s="106" t="n"/>
      <c r="BR466" s="106" t="n">
        <v>0</v>
      </c>
      <c r="BS466" s="106" t="n"/>
      <c r="BT466" s="106" t="n">
        <v>386031.94970676</v>
      </c>
      <c r="BU466" s="106" t="n">
        <v>0</v>
      </c>
      <c r="BV466" s="106" t="n">
        <v>0</v>
      </c>
      <c r="BW466" s="106" t="n">
        <v>0</v>
      </c>
      <c r="BX466" s="106" t="n">
        <v>0</v>
      </c>
      <c r="BY466" s="106" t="n">
        <v>0</v>
      </c>
      <c r="BZ466" s="106" t="n"/>
      <c r="CA466" s="114" t="n"/>
      <c r="CB466" s="115" t="n">
        <v>433645.5258218</v>
      </c>
      <c r="CD466" s="116" t="n">
        <f aca="false" ca="false" dt2D="false" dtr="false" t="normal">+CD465+1</f>
        <v>445</v>
      </c>
      <c r="CE466" s="117" t="n">
        <v>228</v>
      </c>
      <c r="CF466" s="104" t="s">
        <v>227</v>
      </c>
      <c r="CG466" s="117" t="s">
        <v>246</v>
      </c>
      <c r="CH466" s="118" t="n">
        <f aca="false" ca="true" dt2D="false" dtr="false" t="normal">SUBTOTAL(9, CI466:CW466)</f>
        <v>11439719.9458218</v>
      </c>
      <c r="CI466" s="114" t="n">
        <v>11006074.42</v>
      </c>
      <c r="CJ466" s="114" t="n"/>
      <c r="CK466" s="114" t="n"/>
      <c r="CL466" s="114" t="n"/>
      <c r="CM466" s="114" t="n">
        <v>0</v>
      </c>
      <c r="CN466" s="114" t="n"/>
      <c r="CO466" s="114" t="n"/>
      <c r="CP466" s="114" t="n">
        <v>0</v>
      </c>
      <c r="CQ466" s="114" t="n">
        <v>0</v>
      </c>
      <c r="CR466" s="114" t="n">
        <v>0</v>
      </c>
      <c r="CS466" s="114" t="n">
        <v>0</v>
      </c>
      <c r="CT466" s="114" t="n">
        <v>0</v>
      </c>
      <c r="CU466" s="114" t="n"/>
      <c r="CV466" s="114" t="n"/>
      <c r="CW466" s="115" t="n">
        <v>433645.5258218</v>
      </c>
      <c r="CZ466" s="117" t="s">
        <v>246</v>
      </c>
      <c r="DA466" s="119" t="n">
        <f aca="false" ca="true" dt2D="false" dtr="false" t="normal">SUBTOTAL(9, DB466:DP466)</f>
        <v>11006074.42</v>
      </c>
      <c r="DB466" s="114" t="n">
        <v>11006074.42</v>
      </c>
      <c r="DC466" s="114" t="n"/>
      <c r="DD466" s="114" t="n"/>
      <c r="DE466" s="114" t="n"/>
      <c r="DF466" s="114" t="n">
        <v>0</v>
      </c>
      <c r="DG466" s="114" t="n"/>
      <c r="DH466" s="114" t="n"/>
      <c r="DI466" s="114" t="n">
        <v>0</v>
      </c>
      <c r="DJ466" s="114" t="n">
        <v>0</v>
      </c>
      <c r="DK466" s="114" t="n">
        <v>0</v>
      </c>
      <c r="DL466" s="114" t="n">
        <v>0</v>
      </c>
      <c r="DM466" s="114" t="n">
        <v>0</v>
      </c>
      <c r="DN466" s="114" t="n"/>
      <c r="DO466" s="114" t="n"/>
      <c r="DP466" s="122" t="n"/>
      <c r="DQ466" s="3" t="n"/>
      <c r="DS466" s="9" t="n"/>
    </row>
    <row hidden="false" ht="15" outlineLevel="0" r="467">
      <c r="A467" s="183" t="n">
        <f aca="false" ca="false" dt2D="false" dtr="false" t="normal">+A466+1</f>
        <v>446</v>
      </c>
      <c r="B467" s="117" t="s">
        <v>463</v>
      </c>
      <c r="C467" s="104" t="s">
        <v>227</v>
      </c>
      <c r="D467" s="104" t="s">
        <v>245</v>
      </c>
      <c r="E467" s="105" t="n">
        <v>1993</v>
      </c>
      <c r="F467" s="105" t="n">
        <v>2014</v>
      </c>
      <c r="G467" s="105" t="s">
        <v>68</v>
      </c>
      <c r="H467" s="105" t="n">
        <v>9</v>
      </c>
      <c r="I467" s="105" t="n">
        <v>1</v>
      </c>
      <c r="J467" s="106" t="n">
        <v>2553.4</v>
      </c>
      <c r="K467" s="106" t="n">
        <v>2128.8</v>
      </c>
      <c r="L467" s="106" t="n">
        <v>0</v>
      </c>
      <c r="M467" s="107" t="n">
        <v>78</v>
      </c>
      <c r="N467" s="108" t="n">
        <f aca="false" ca="false" dt2D="false" dtr="false" t="normal">SUM(P467:T467)</f>
        <v>9324892.68</v>
      </c>
      <c r="O467" s="106" t="n"/>
      <c r="P467" s="114" t="n">
        <v>882022.349999999</v>
      </c>
      <c r="Q467" s="114" t="n"/>
      <c r="R467" s="114" t="n">
        <v>555476.24</v>
      </c>
      <c r="S467" s="114" t="n">
        <v>7887394.09</v>
      </c>
      <c r="T467" s="114" t="n"/>
      <c r="U467" s="106" t="n">
        <v>10063.5427054129</v>
      </c>
      <c r="V467" s="106" t="n">
        <v>10063.5427054129</v>
      </c>
      <c r="W467" s="110" t="n">
        <v>2023</v>
      </c>
      <c r="X467" s="9" t="e">
        <f aca="false" ca="false" dt2D="false" dtr="false" t="normal">+#REF!-'[9]Приложение №1'!$P1197</f>
        <v>#REF!</v>
      </c>
      <c r="Z467" s="113" t="n">
        <f aca="false" ca="false" dt2D="false" dtr="false" t="normal">SUM(AA467:AO467)</f>
        <v>44395710.679999955</v>
      </c>
      <c r="AA467" s="106" t="n">
        <v>4916492.87334114</v>
      </c>
      <c r="AB467" s="106" t="n">
        <v>3374213.54608464</v>
      </c>
      <c r="AC467" s="106" t="n">
        <v>2053944.79409448</v>
      </c>
      <c r="AD467" s="106" t="n">
        <v>1853142.20463204</v>
      </c>
      <c r="AE467" s="106" t="n">
        <v>0</v>
      </c>
      <c r="AF467" s="106" t="n"/>
      <c r="AG467" s="106" t="n">
        <v>236522.7739728</v>
      </c>
      <c r="AH467" s="106" t="n">
        <v>0</v>
      </c>
      <c r="AI467" s="106" t="n">
        <v>0</v>
      </c>
      <c r="AJ467" s="106" t="n">
        <v>0</v>
      </c>
      <c r="AK467" s="106" t="n">
        <v>20821763.5081751</v>
      </c>
      <c r="AL467" s="106" t="n">
        <v>5475673.87144554</v>
      </c>
      <c r="AM467" s="106" t="n">
        <v>4373014.9959</v>
      </c>
      <c r="AN467" s="114" t="n">
        <v>443957.1068</v>
      </c>
      <c r="AO467" s="115" t="n">
        <v>846985.00555422</v>
      </c>
      <c r="AP467" s="112" t="n">
        <f aca="false" ca="false" dt2D="false" dtr="false" t="normal">+N467-'Приложение №2'!E467</f>
        <v>0</v>
      </c>
      <c r="AQ467" s="1" t="n">
        <f aca="false" ca="false" dt2D="false" dtr="false" t="normal">1103126.79-79353.74-714183.7328</f>
        <v>309589.31720000005</v>
      </c>
      <c r="AR467" s="3" t="n">
        <f aca="false" ca="false" dt2D="false" dtr="false" t="normal">+(K467*13.29+L467*22.52)*12*0.85</f>
        <v>288575.87039999996</v>
      </c>
      <c r="AS467" s="3" t="n">
        <f aca="false" ca="false" dt2D="false" dtr="false" t="normal">+(K467*13.95+L467*23.65)*12*30-300950.5-2600695.91</f>
        <v>7789187.1899999995</v>
      </c>
      <c r="AT467" s="9" t="n">
        <f aca="false" ca="false" dt2D="false" dtr="false" t="normal">+S467-AS467</f>
        <v>98206.90000000037</v>
      </c>
      <c r="AU467" s="9" t="e">
        <f aca="false" ca="false" dt2D="false" dtr="false" t="normal">+P467-'[5]Приложение №1'!$P527</f>
        <v>#REF!</v>
      </c>
      <c r="AV467" s="9" t="e">
        <f aca="false" ca="false" dt2D="false" dtr="false" t="normal">+Q467-'[5]Приложение №1'!$Q527</f>
        <v>#REF!</v>
      </c>
      <c r="AW467" s="113" t="n">
        <f aca="false" ca="true" dt2D="false" dtr="false" t="normal">SUBTOTAL(9, AX467:BL467)</f>
        <v>21423269.71128292</v>
      </c>
      <c r="AX467" s="106" t="n"/>
      <c r="AY467" s="106" t="n"/>
      <c r="AZ467" s="106" t="n"/>
      <c r="BA467" s="106" t="n"/>
      <c r="BB467" s="106" t="n"/>
      <c r="BC467" s="106" t="n"/>
      <c r="BD467" s="106" t="n"/>
      <c r="BE467" s="106" t="n">
        <v>0</v>
      </c>
      <c r="BF467" s="106" t="n">
        <v>0</v>
      </c>
      <c r="BG467" s="106" t="n">
        <v>0</v>
      </c>
      <c r="BH467" s="106" t="n">
        <v>20848198.0171036</v>
      </c>
      <c r="BI467" s="106" t="n"/>
      <c r="BJ467" s="106" t="n"/>
      <c r="BK467" s="114" t="n"/>
      <c r="BL467" s="187" t="n">
        <v>575071.69417932</v>
      </c>
      <c r="BM467" s="113" t="n">
        <f aca="false" ca="true" dt2D="false" dtr="false" t="normal">SUBTOTAL(9, BN467:CB467)</f>
        <v>21423269.71128292</v>
      </c>
      <c r="BN467" s="106" t="n"/>
      <c r="BO467" s="106" t="n"/>
      <c r="BP467" s="106" t="n"/>
      <c r="BQ467" s="106" t="n"/>
      <c r="BR467" s="106" t="n"/>
      <c r="BS467" s="106" t="n"/>
      <c r="BT467" s="106" t="n"/>
      <c r="BU467" s="106" t="n">
        <v>0</v>
      </c>
      <c r="BV467" s="106" t="n">
        <v>0</v>
      </c>
      <c r="BW467" s="106" t="n">
        <v>0</v>
      </c>
      <c r="BX467" s="106" t="n">
        <v>20848198.0171036</v>
      </c>
      <c r="BY467" s="106" t="n"/>
      <c r="BZ467" s="106" t="n"/>
      <c r="CA467" s="114" t="n"/>
      <c r="CB467" s="115" t="n">
        <v>575071.69417932</v>
      </c>
      <c r="CD467" s="116" t="n">
        <f aca="false" ca="false" dt2D="false" dtr="false" t="normal">+CD466+1</f>
        <v>446</v>
      </c>
      <c r="CE467" s="117" t="s">
        <v>463</v>
      </c>
      <c r="CF467" s="104" t="s">
        <v>227</v>
      </c>
      <c r="CG467" s="117" t="s">
        <v>245</v>
      </c>
      <c r="CH467" s="118" t="n">
        <f aca="false" ca="true" dt2D="false" dtr="false" t="normal">SUBTOTAL(9, CI467:CW467)</f>
        <v>9801757.47417932</v>
      </c>
      <c r="CI467" s="114" t="n"/>
      <c r="CJ467" s="114" t="n"/>
      <c r="CK467" s="114" t="n"/>
      <c r="CL467" s="114" t="n"/>
      <c r="CM467" s="114" t="n"/>
      <c r="CN467" s="114" t="n"/>
      <c r="CO467" s="114" t="n"/>
      <c r="CP467" s="114" t="n">
        <v>0</v>
      </c>
      <c r="CQ467" s="114" t="n">
        <v>0</v>
      </c>
      <c r="CR467" s="114" t="n">
        <v>0</v>
      </c>
      <c r="CS467" s="114" t="n">
        <v>9226685.78</v>
      </c>
      <c r="CT467" s="114" t="n"/>
      <c r="CU467" s="114" t="n"/>
      <c r="CV467" s="114" t="n"/>
      <c r="CW467" s="115" t="n">
        <v>575071.69417932</v>
      </c>
      <c r="CZ467" s="117" t="s">
        <v>245</v>
      </c>
      <c r="DA467" s="119" t="n">
        <f aca="false" ca="true" dt2D="false" dtr="false" t="normal">SUBTOTAL(9, DB467:DP467)</f>
        <v>9324892.68</v>
      </c>
      <c r="DB467" s="114" t="n"/>
      <c r="DC467" s="114" t="n"/>
      <c r="DD467" s="114" t="n"/>
      <c r="DE467" s="114" t="n"/>
      <c r="DF467" s="114" t="n"/>
      <c r="DG467" s="114" t="n"/>
      <c r="DH467" s="114" t="n"/>
      <c r="DI467" s="114" t="n">
        <v>0</v>
      </c>
      <c r="DJ467" s="114" t="n">
        <v>0</v>
      </c>
      <c r="DK467" s="114" t="n">
        <v>0</v>
      </c>
      <c r="DL467" s="114" t="n">
        <v>9226685.78</v>
      </c>
      <c r="DM467" s="114" t="n"/>
      <c r="DN467" s="114" t="n"/>
      <c r="DO467" s="114" t="n"/>
      <c r="DP467" s="120" t="n">
        <v>98206.9</v>
      </c>
      <c r="DQ467" s="3" t="n"/>
      <c r="DS467" s="9" t="n"/>
    </row>
    <row hidden="false" ht="15" outlineLevel="0" r="468">
      <c r="A468" s="183" t="n">
        <f aca="false" ca="false" dt2D="false" dtr="false" t="normal">+A467+1</f>
        <v>447</v>
      </c>
      <c r="B468" s="117" t="s">
        <v>463</v>
      </c>
      <c r="C468" s="117" t="s">
        <v>247</v>
      </c>
      <c r="D468" s="117" t="s">
        <v>427</v>
      </c>
      <c r="E468" s="105" t="n">
        <v>1987</v>
      </c>
      <c r="F468" s="105" t="n">
        <v>1987</v>
      </c>
      <c r="G468" s="105" t="s">
        <v>68</v>
      </c>
      <c r="H468" s="105" t="n">
        <v>5</v>
      </c>
      <c r="I468" s="105" t="n">
        <v>4</v>
      </c>
      <c r="J468" s="106" t="n">
        <v>4891.4</v>
      </c>
      <c r="K468" s="106" t="n">
        <v>4293.1</v>
      </c>
      <c r="L468" s="106" t="n">
        <v>598.3</v>
      </c>
      <c r="M468" s="107" t="n">
        <v>199</v>
      </c>
      <c r="N468" s="108" t="n">
        <f aca="false" ca="false" dt2D="false" dtr="false" t="normal">SUM(P468:T468)</f>
        <v>17830898.72</v>
      </c>
      <c r="O468" s="114" t="n"/>
      <c r="P468" s="114" t="n">
        <v>7316300.24</v>
      </c>
      <c r="Q468" s="114" t="n"/>
      <c r="R468" s="114" t="n"/>
      <c r="S468" s="114" t="n">
        <v>10514598.48</v>
      </c>
      <c r="T468" s="114" t="n"/>
      <c r="U468" s="106" t="n">
        <v>5890.98496186998</v>
      </c>
      <c r="V468" s="106" t="n">
        <v>5890.98496186998</v>
      </c>
      <c r="W468" s="110" t="n">
        <v>2023</v>
      </c>
      <c r="X468" s="9" t="e">
        <f aca="false" ca="false" dt2D="false" dtr="false" t="normal">+#REF!-'[9]Приложение №1'!$P1689</f>
        <v>#REF!</v>
      </c>
      <c r="Z468" s="113" t="n">
        <f aca="false" ca="false" dt2D="false" dtr="false" t="normal">SUM(AA468:AO468)</f>
        <v>19345683.86999996</v>
      </c>
      <c r="AA468" s="106" t="n">
        <v>12256587.7965749</v>
      </c>
      <c r="AB468" s="106" t="n">
        <v>4494523.47915942</v>
      </c>
      <c r="AC468" s="106" t="n">
        <v>0</v>
      </c>
      <c r="AD468" s="106" t="n">
        <v>0</v>
      </c>
      <c r="AE468" s="106" t="n">
        <v>0</v>
      </c>
      <c r="AF468" s="106" t="n"/>
      <c r="AG468" s="106" t="n">
        <v>404624.4145566</v>
      </c>
      <c r="AH468" s="106" t="n">
        <v>0</v>
      </c>
      <c r="AI468" s="106" t="n">
        <v>0</v>
      </c>
      <c r="AJ468" s="106" t="n">
        <v>0</v>
      </c>
      <c r="AK468" s="106" t="n">
        <v>0</v>
      </c>
      <c r="AL468" s="106" t="n">
        <v>0</v>
      </c>
      <c r="AM468" s="106" t="n">
        <v>1621330.1477</v>
      </c>
      <c r="AN468" s="114" t="n">
        <v>193456.8387</v>
      </c>
      <c r="AO468" s="115" t="n">
        <v>375161.19330904</v>
      </c>
      <c r="AP468" s="112" t="n">
        <f aca="false" ca="false" dt2D="false" dtr="false" t="normal">+N468-'Приложение №2'!E438</f>
        <v>16379739.069999998</v>
      </c>
      <c r="AQ468" s="1" t="n">
        <v>2008581.69</v>
      </c>
      <c r="AR468" s="3" t="n">
        <f aca="false" ca="false" dt2D="false" dtr="false" t="normal">+(K468*10+L468*20)*12*0.85</f>
        <v>559949.4</v>
      </c>
      <c r="AS468" s="3" t="n">
        <f aca="false" ca="false" dt2D="false" dtr="false" t="normal">+(K468*10+L468*20)*12*30</f>
        <v>19762920</v>
      </c>
      <c r="AT468" s="9" t="n">
        <f aca="false" ca="false" dt2D="false" dtr="false" t="normal">+S468-AS468</f>
        <v>-9248321.52</v>
      </c>
      <c r="AU468" s="9" t="e">
        <f aca="false" ca="false" dt2D="false" dtr="false" t="normal">+P468-'[5]Приложение №1'!$P474</f>
        <v>#REF!</v>
      </c>
      <c r="AV468" s="9" t="e">
        <f aca="false" ca="false" dt2D="false" dtr="false" t="normal">+Q468-'[5]Приложение №1'!$Q474</f>
        <v>#REF!</v>
      </c>
      <c r="AW468" s="113" t="n">
        <f aca="false" ca="true" dt2D="false" dtr="false" t="normal">SUBTOTAL(9, AX468:BL468)</f>
        <v>28815163.8424908</v>
      </c>
      <c r="AX468" s="106" t="n">
        <v>13389086.339244</v>
      </c>
      <c r="AY468" s="106" t="n">
        <v>4961562.751488</v>
      </c>
      <c r="AZ468" s="106" t="n">
        <v>0</v>
      </c>
      <c r="BA468" s="106" t="n">
        <v>0</v>
      </c>
      <c r="BB468" s="106" t="n">
        <v>0</v>
      </c>
      <c r="BC468" s="106" t="n"/>
      <c r="BD468" s="106" t="n">
        <v>404624.4145566</v>
      </c>
      <c r="BE468" s="106" t="n">
        <v>0</v>
      </c>
      <c r="BF468" s="106" t="n">
        <v>9145505.73</v>
      </c>
      <c r="BG468" s="106" t="n">
        <v>0</v>
      </c>
      <c r="BH468" s="106" t="n">
        <v>0</v>
      </c>
      <c r="BI468" s="106" t="n">
        <v>0</v>
      </c>
      <c r="BJ468" s="106" t="n"/>
      <c r="BK468" s="114" t="n"/>
      <c r="BL468" s="187" t="n">
        <v>914384.6072022</v>
      </c>
      <c r="BM468" s="113" t="n">
        <f aca="false" ca="true" dt2D="false" dtr="false" t="normal">SUBTOTAL(9, BN468:CB468)</f>
        <v>29154305.982490797</v>
      </c>
      <c r="BN468" s="106" t="n">
        <v>13389086.339244</v>
      </c>
      <c r="BO468" s="106" t="n">
        <v>4961562.751488</v>
      </c>
      <c r="BP468" s="106" t="n">
        <v>0</v>
      </c>
      <c r="BQ468" s="106" t="n">
        <v>0</v>
      </c>
      <c r="BR468" s="106" t="n">
        <v>0</v>
      </c>
      <c r="BS468" s="106" t="n"/>
      <c r="BT468" s="106" t="n">
        <v>404624.4145566</v>
      </c>
      <c r="BU468" s="106" t="n">
        <v>0</v>
      </c>
      <c r="BV468" s="106" t="n">
        <v>9484647.87</v>
      </c>
      <c r="BW468" s="106" t="n">
        <v>0</v>
      </c>
      <c r="BX468" s="106" t="n">
        <v>0</v>
      </c>
      <c r="BY468" s="106" t="n">
        <v>0</v>
      </c>
      <c r="BZ468" s="106" t="n"/>
      <c r="CA468" s="114" t="n"/>
      <c r="CB468" s="115" t="n">
        <v>914384.6072022</v>
      </c>
      <c r="CD468" s="116" t="n">
        <f aca="false" ca="false" dt2D="false" dtr="false" t="normal">+CD467+1</f>
        <v>447</v>
      </c>
      <c r="CE468" s="117" t="s">
        <v>463</v>
      </c>
      <c r="CF468" s="104" t="s">
        <v>247</v>
      </c>
      <c r="CG468" s="117" t="s">
        <v>427</v>
      </c>
      <c r="CH468" s="118" t="n">
        <f aca="false" ca="true" dt2D="false" dtr="false" t="normal">SUBTOTAL(9, CI468:CW468)</f>
        <v>18745283.327202197</v>
      </c>
      <c r="CI468" s="114" t="n">
        <v>13314058.64</v>
      </c>
      <c r="CJ468" s="114" t="n">
        <v>4516840.08</v>
      </c>
      <c r="CK468" s="114" t="n">
        <v>0</v>
      </c>
      <c r="CL468" s="114" t="n">
        <v>0</v>
      </c>
      <c r="CM468" s="114" t="n">
        <v>0</v>
      </c>
      <c r="CN468" s="114" t="n"/>
      <c r="CO468" s="114" t="n"/>
      <c r="CP468" s="114" t="n">
        <v>0</v>
      </c>
      <c r="CQ468" s="114" t="n"/>
      <c r="CR468" s="114" t="n">
        <v>0</v>
      </c>
      <c r="CS468" s="114" t="n">
        <v>0</v>
      </c>
      <c r="CT468" s="114" t="n">
        <v>0</v>
      </c>
      <c r="CU468" s="114" t="n"/>
      <c r="CV468" s="114" t="n"/>
      <c r="CW468" s="115" t="n">
        <v>914384.6072022</v>
      </c>
      <c r="CZ468" s="117" t="s">
        <v>427</v>
      </c>
      <c r="DA468" s="119" t="n">
        <f aca="false" ca="true" dt2D="false" dtr="false" t="normal">SUBTOTAL(9, DB468:DP468)</f>
        <v>17830898.72</v>
      </c>
      <c r="DB468" s="114" t="n">
        <v>13314058.64</v>
      </c>
      <c r="DC468" s="114" t="n">
        <v>4516840.08</v>
      </c>
      <c r="DD468" s="114" t="n">
        <v>0</v>
      </c>
      <c r="DE468" s="114" t="n">
        <v>0</v>
      </c>
      <c r="DF468" s="114" t="n">
        <v>0</v>
      </c>
      <c r="DG468" s="114" t="n"/>
      <c r="DH468" s="114" t="n"/>
      <c r="DI468" s="114" t="n">
        <v>0</v>
      </c>
      <c r="DJ468" s="114" t="n"/>
      <c r="DK468" s="114" t="n">
        <v>0</v>
      </c>
      <c r="DL468" s="114" t="n">
        <v>0</v>
      </c>
      <c r="DM468" s="114" t="n">
        <v>0</v>
      </c>
      <c r="DN468" s="114" t="n"/>
      <c r="DO468" s="114" t="n"/>
      <c r="DP468" s="122" t="n"/>
      <c r="DQ468" s="3" t="n"/>
      <c r="DS468" s="9" t="n"/>
    </row>
    <row hidden="false" ht="15" outlineLevel="0" r="469">
      <c r="A469" s="183" t="n">
        <f aca="false" ca="false" dt2D="false" dtr="false" t="normal">+A468+1</f>
        <v>448</v>
      </c>
      <c r="B469" s="117" t="n">
        <v>229</v>
      </c>
      <c r="C469" s="104" t="s">
        <v>247</v>
      </c>
      <c r="D469" s="104" t="s">
        <v>250</v>
      </c>
      <c r="E469" s="105" t="n">
        <v>1986</v>
      </c>
      <c r="F469" s="105" t="n">
        <v>1986</v>
      </c>
      <c r="G469" s="105" t="s">
        <v>68</v>
      </c>
      <c r="H469" s="105" t="n">
        <v>5</v>
      </c>
      <c r="I469" s="105" t="n">
        <v>4</v>
      </c>
      <c r="J469" s="106" t="n">
        <v>4691.9</v>
      </c>
      <c r="K469" s="106" t="n">
        <v>4321.1</v>
      </c>
      <c r="L469" s="106" t="n">
        <v>298</v>
      </c>
      <c r="M469" s="107" t="n">
        <v>195</v>
      </c>
      <c r="N469" s="108" t="n">
        <f aca="false" ca="false" dt2D="false" dtr="false" t="normal">SUM(P469:T469)</f>
        <v>14344128.080000002</v>
      </c>
      <c r="O469" s="106" t="n"/>
      <c r="P469" s="114" t="n">
        <v>7020762.48</v>
      </c>
      <c r="Q469" s="114" t="n"/>
      <c r="R469" s="114" t="n">
        <v>1322918.16</v>
      </c>
      <c r="S469" s="114" t="n">
        <v>6000447.44</v>
      </c>
      <c r="T469" s="114" t="n"/>
      <c r="U469" s="106" t="n">
        <v>3693.15356713061</v>
      </c>
      <c r="V469" s="106" t="n">
        <v>3693.15356713061</v>
      </c>
      <c r="W469" s="110" t="n">
        <v>2023</v>
      </c>
      <c r="X469" s="9" t="e">
        <f aca="false" ca="false" dt2D="false" dtr="false" t="normal">+#REF!-'[9]Приложение №1'!$P1635</f>
        <v>#REF!</v>
      </c>
      <c r="Z469" s="113" t="n">
        <f aca="false" ca="false" dt2D="false" dtr="false" t="normal">SUM(AA469:AO469)</f>
        <v>19513628.469999976</v>
      </c>
      <c r="AA469" s="106" t="n">
        <v>12362990.2296646</v>
      </c>
      <c r="AB469" s="106" t="n">
        <v>4533541.53030576</v>
      </c>
      <c r="AC469" s="106" t="n">
        <v>0</v>
      </c>
      <c r="AD469" s="106" t="n">
        <v>0</v>
      </c>
      <c r="AE469" s="106" t="n">
        <v>0</v>
      </c>
      <c r="AF469" s="106" t="n"/>
      <c r="AG469" s="106" t="n">
        <v>408137.05600248</v>
      </c>
      <c r="AH469" s="106" t="n">
        <v>0</v>
      </c>
      <c r="AI469" s="106" t="n">
        <v>0</v>
      </c>
      <c r="AJ469" s="106" t="n">
        <v>0</v>
      </c>
      <c r="AK469" s="106" t="n">
        <v>0</v>
      </c>
      <c r="AL469" s="106" t="n">
        <v>0</v>
      </c>
      <c r="AM469" s="106" t="n">
        <v>1635405.3102</v>
      </c>
      <c r="AN469" s="114" t="n">
        <v>195136.2847</v>
      </c>
      <c r="AO469" s="115" t="n">
        <v>378418.05912714</v>
      </c>
      <c r="AP469" s="112" t="n">
        <f aca="false" ca="false" dt2D="false" dtr="false" t="normal">+N469-'Приложение №2'!E469</f>
        <v>0</v>
      </c>
      <c r="AQ469" s="9" t="n">
        <f aca="false" ca="false" dt2D="false" dtr="false" t="normal">1886055.9-R171</f>
        <v>821373.96</v>
      </c>
      <c r="AR469" s="3" t="n">
        <f aca="false" ca="false" dt2D="false" dtr="false" t="normal">+(K469*10+L469*20)*12*0.85</f>
        <v>501544.2</v>
      </c>
      <c r="AS469" s="3" t="n">
        <f aca="false" ca="false" dt2D="false" dtr="false" t="normal">+(K469*10+L469*20)*12*30-S171</f>
        <v>7689755.25</v>
      </c>
      <c r="AT469" s="9" t="n">
        <f aca="false" ca="false" dt2D="false" dtr="false" t="normal">+S469-AS469</f>
        <v>-1689307.8099999996</v>
      </c>
      <c r="AU469" s="9" t="e">
        <f aca="false" ca="false" dt2D="false" dtr="false" t="normal">+P469-'[5]Приложение №1'!$P420</f>
        <v>#REF!</v>
      </c>
      <c r="AV469" s="9" t="e">
        <f aca="false" ca="false" dt2D="false" dtr="false" t="normal">+Q469-'[5]Приложение №1'!$Q420</f>
        <v>#REF!</v>
      </c>
      <c r="AW469" s="113" t="n">
        <f aca="false" ca="true" dt2D="false" dtr="false" t="normal">SUBTOTAL(9, AX469:BL469)</f>
        <v>17059045.641933</v>
      </c>
      <c r="AX469" s="106" t="n">
        <v>10856660.69</v>
      </c>
      <c r="AY469" s="106" t="n">
        <v>4871890.16</v>
      </c>
      <c r="AZ469" s="106" t="n">
        <v>0</v>
      </c>
      <c r="BA469" s="106" t="n">
        <v>0</v>
      </c>
      <c r="BB469" s="106" t="n">
        <v>0</v>
      </c>
      <c r="BC469" s="106" t="n"/>
      <c r="BD469" s="106" t="n">
        <v>408137.05600248</v>
      </c>
      <c r="BE469" s="106" t="n">
        <v>0</v>
      </c>
      <c r="BF469" s="106" t="n"/>
      <c r="BG469" s="106" t="n">
        <v>0</v>
      </c>
      <c r="BH469" s="106" t="n">
        <v>0</v>
      </c>
      <c r="BI469" s="106" t="n">
        <v>0</v>
      </c>
      <c r="BJ469" s="106" t="n"/>
      <c r="BK469" s="114" t="n"/>
      <c r="BL469" s="187" t="n">
        <v>922357.73593052</v>
      </c>
      <c r="BM469" s="113" t="n">
        <f aca="false" ca="true" dt2D="false" dtr="false" t="normal">SUBTOTAL(9, BN469:CB469)</f>
        <v>17059045.641933</v>
      </c>
      <c r="BN469" s="106" t="n">
        <v>10856660.69</v>
      </c>
      <c r="BO469" s="106" t="n">
        <v>4871890.16</v>
      </c>
      <c r="BP469" s="106" t="n">
        <v>0</v>
      </c>
      <c r="BQ469" s="106" t="n">
        <v>0</v>
      </c>
      <c r="BR469" s="106" t="n">
        <v>0</v>
      </c>
      <c r="BS469" s="106" t="n"/>
      <c r="BT469" s="106" t="n">
        <v>408137.05600248</v>
      </c>
      <c r="BU469" s="106" t="n">
        <v>0</v>
      </c>
      <c r="BV469" s="106" t="n"/>
      <c r="BW469" s="106" t="n">
        <v>0</v>
      </c>
      <c r="BX469" s="106" t="n">
        <v>0</v>
      </c>
      <c r="BY469" s="106" t="n">
        <v>0</v>
      </c>
      <c r="BZ469" s="106" t="n"/>
      <c r="CA469" s="114" t="n"/>
      <c r="CB469" s="115" t="n">
        <v>922357.73593052</v>
      </c>
      <c r="CD469" s="116" t="n">
        <f aca="false" ca="false" dt2D="false" dtr="false" t="normal">+CD468+1</f>
        <v>448</v>
      </c>
      <c r="CE469" s="117" t="n">
        <v>229</v>
      </c>
      <c r="CF469" s="104" t="s">
        <v>247</v>
      </c>
      <c r="CG469" s="117" t="s">
        <v>250</v>
      </c>
      <c r="CH469" s="118" t="n">
        <f aca="false" ca="true" dt2D="false" dtr="false" t="normal">SUBTOTAL(9, CI469:CW469)</f>
        <v>15266485.81593052</v>
      </c>
      <c r="CI469" s="114" t="n">
        <v>10307046.52</v>
      </c>
      <c r="CJ469" s="114" t="n">
        <v>4037081.56</v>
      </c>
      <c r="CK469" s="114" t="n">
        <v>0</v>
      </c>
      <c r="CL469" s="114" t="n">
        <v>0</v>
      </c>
      <c r="CM469" s="114" t="n">
        <v>0</v>
      </c>
      <c r="CN469" s="114" t="n"/>
      <c r="CO469" s="114" t="n"/>
      <c r="CP469" s="114" t="n">
        <v>0</v>
      </c>
      <c r="CQ469" s="114" t="n"/>
      <c r="CR469" s="114" t="n">
        <v>0</v>
      </c>
      <c r="CS469" s="114" t="n">
        <v>0</v>
      </c>
      <c r="CT469" s="114" t="n">
        <v>0</v>
      </c>
      <c r="CU469" s="114" t="n"/>
      <c r="CV469" s="114" t="n"/>
      <c r="CW469" s="115" t="n">
        <v>922357.73593052</v>
      </c>
      <c r="CZ469" s="117" t="s">
        <v>250</v>
      </c>
      <c r="DA469" s="119" t="n">
        <f aca="false" ca="true" dt2D="false" dtr="false" t="normal">SUBTOTAL(9, DB469:DP469)</f>
        <v>14344128.08</v>
      </c>
      <c r="DB469" s="114" t="n">
        <v>10307046.52</v>
      </c>
      <c r="DC469" s="114" t="n">
        <v>4037081.56</v>
      </c>
      <c r="DD469" s="114" t="n">
        <v>0</v>
      </c>
      <c r="DE469" s="114" t="n">
        <v>0</v>
      </c>
      <c r="DF469" s="114" t="n">
        <v>0</v>
      </c>
      <c r="DG469" s="114" t="n"/>
      <c r="DH469" s="114" t="n"/>
      <c r="DI469" s="114" t="n">
        <v>0</v>
      </c>
      <c r="DJ469" s="114" t="n"/>
      <c r="DK469" s="114" t="n">
        <v>0</v>
      </c>
      <c r="DL469" s="114" t="n">
        <v>0</v>
      </c>
      <c r="DM469" s="114" t="n">
        <v>0</v>
      </c>
      <c r="DN469" s="114" t="n"/>
      <c r="DO469" s="114" t="n"/>
      <c r="DP469" s="122" t="n"/>
      <c r="DQ469" s="3" t="n"/>
      <c r="DS469" s="9" t="n"/>
    </row>
    <row hidden="false" ht="15" outlineLevel="0" r="470">
      <c r="A470" s="183" t="n">
        <f aca="false" ca="false" dt2D="false" dtr="false" t="normal">+A469+1</f>
        <v>449</v>
      </c>
      <c r="B470" s="117" t="n">
        <v>230</v>
      </c>
      <c r="C470" s="117" t="s">
        <v>253</v>
      </c>
      <c r="D470" s="104" t="s">
        <v>254</v>
      </c>
      <c r="E470" s="201" t="n">
        <v>1982</v>
      </c>
      <c r="F470" s="201" t="n">
        <v>1982</v>
      </c>
      <c r="G470" s="201" t="s">
        <v>68</v>
      </c>
      <c r="H470" s="201" t="n">
        <v>5</v>
      </c>
      <c r="I470" s="201" t="n">
        <v>1</v>
      </c>
      <c r="J470" s="114" t="n">
        <v>982.9</v>
      </c>
      <c r="K470" s="114" t="n">
        <v>982.9</v>
      </c>
      <c r="L470" s="114" t="n">
        <v>0</v>
      </c>
      <c r="M470" s="202" t="n">
        <v>23</v>
      </c>
      <c r="N470" s="108" t="n">
        <f aca="false" ca="false" dt2D="false" dtr="false" t="normal">SUM(P470:T470)</f>
        <v>366422.22000000003</v>
      </c>
      <c r="O470" s="114" t="n"/>
      <c r="P470" s="114" t="n">
        <v>195479.78</v>
      </c>
      <c r="Q470" s="114" t="n"/>
      <c r="R470" s="114" t="n">
        <v>77872.8</v>
      </c>
      <c r="S470" s="114" t="n">
        <v>93069.64</v>
      </c>
      <c r="T470" s="114" t="n"/>
      <c r="U470" s="114" t="n">
        <v>1864.73306517836</v>
      </c>
      <c r="V470" s="114" t="n">
        <v>1864.73306517836</v>
      </c>
      <c r="W470" s="110" t="n">
        <v>2023</v>
      </c>
      <c r="X470" s="9" t="e">
        <f aca="false" ca="false" dt2D="false" dtr="false" t="normal">+#REF!-'[9]Приложение №1'!$P1521</f>
        <v>#REF!</v>
      </c>
      <c r="Z470" s="113" t="n">
        <f aca="false" ca="false" dt2D="false" dtr="false" t="normal">SUM(AA470:AO470)</f>
        <v>25846647.639999997</v>
      </c>
      <c r="AA470" s="106" t="n">
        <v>3015626.05896552</v>
      </c>
      <c r="AB470" s="106" t="n">
        <v>1381996.98965328</v>
      </c>
      <c r="AC470" s="106" t="n">
        <v>1398423.89627556</v>
      </c>
      <c r="AD470" s="106" t="n">
        <v>910108.4788488</v>
      </c>
      <c r="AE470" s="106" t="n">
        <v>0</v>
      </c>
      <c r="AF470" s="106" t="n"/>
      <c r="AG470" s="106" t="n">
        <v>91642.68254064</v>
      </c>
      <c r="AH470" s="106" t="n">
        <v>0</v>
      </c>
      <c r="AI470" s="106" t="n">
        <v>7209302.2726032</v>
      </c>
      <c r="AJ470" s="106" t="n">
        <v>0</v>
      </c>
      <c r="AK470" s="106" t="n">
        <v>3664064.33732724</v>
      </c>
      <c r="AL470" s="106" t="n">
        <v>4963125.48135096</v>
      </c>
      <c r="AM470" s="106" t="n">
        <v>2458924.8816</v>
      </c>
      <c r="AN470" s="114" t="n">
        <v>258466.4764</v>
      </c>
      <c r="AO470" s="115" t="n">
        <v>494966.0844348</v>
      </c>
      <c r="AP470" s="112" t="n">
        <f aca="false" ca="false" dt2D="false" dtr="false" t="normal">+N470-'Приложение №2'!E438</f>
        <v>-1084737.43</v>
      </c>
      <c r="AQ470" s="9" t="e">
        <f aca="false" ca="false" dt2D="false" dtr="false" t="normal">344430.27-#REF!</f>
        <v>#REF!</v>
      </c>
      <c r="AR470" s="3" t="n">
        <f aca="false" ca="false" dt2D="false" dtr="false" t="normal">+(K470*10+L470*20)*12*0.85</f>
        <v>100255.8</v>
      </c>
      <c r="AS470" s="3" t="e">
        <f aca="false" ca="false" dt2D="false" dtr="false" t="normal">+(K470*10+L470*20)*12*30-#REF!</f>
        <v>#REF!</v>
      </c>
      <c r="AT470" s="9" t="e">
        <f aca="false" ca="false" dt2D="false" dtr="false" t="normal">+S470-AS470</f>
        <v>#REF!</v>
      </c>
      <c r="AU470" s="9" t="e">
        <f aca="false" ca="false" dt2D="false" dtr="false" t="normal">+P470-'[5]Приложение №1'!$P87</f>
        <v>#REF!</v>
      </c>
      <c r="AV470" s="9" t="e">
        <f aca="false" ca="false" dt2D="false" dtr="false" t="normal">+Q470-'[5]Приложение №1'!$Q87</f>
        <v>#REF!</v>
      </c>
      <c r="AW470" s="113" t="n">
        <f aca="false" ca="true" dt2D="false" dtr="false" t="normal">SUBTOTAL(9, AX470:BL470)</f>
        <v>1832846.1297638123</v>
      </c>
      <c r="AX470" s="106" t="n"/>
      <c r="AY470" s="106" t="n">
        <v>880894.3</v>
      </c>
      <c r="AZ470" s="106" t="n">
        <v>292852.17</v>
      </c>
      <c r="BA470" s="106" t="n">
        <v>569808.16</v>
      </c>
      <c r="BB470" s="106" t="n">
        <v>0</v>
      </c>
      <c r="BC470" s="106" t="n"/>
      <c r="BD470" s="106" t="n"/>
      <c r="BE470" s="106" t="n">
        <v>0</v>
      </c>
      <c r="BG470" s="106" t="n"/>
      <c r="BH470" s="106" t="n"/>
      <c r="BI470" s="106" t="n"/>
      <c r="BJ470" s="106" t="n"/>
      <c r="BK470" s="114" t="n"/>
      <c r="BL470" s="115" t="n">
        <v>89291.4997638125</v>
      </c>
      <c r="BM470" s="113" t="n">
        <f aca="false" ca="true" dt2D="false" dtr="false" t="normal">SUBTOTAL(9, BN470:CB470)</f>
        <v>1832846.1297638123</v>
      </c>
      <c r="BN470" s="106" t="n"/>
      <c r="BO470" s="106" t="n">
        <v>880894.3</v>
      </c>
      <c r="BP470" s="106" t="n">
        <v>292852.17</v>
      </c>
      <c r="BQ470" s="106" t="n">
        <v>569808.16</v>
      </c>
      <c r="BR470" s="106" t="n">
        <v>0</v>
      </c>
      <c r="BS470" s="106" t="n"/>
      <c r="BT470" s="106" t="n"/>
      <c r="BU470" s="106" t="n">
        <v>0</v>
      </c>
      <c r="BW470" s="106" t="n"/>
      <c r="BX470" s="106" t="n"/>
      <c r="BY470" s="106" t="n"/>
      <c r="BZ470" s="106" t="n"/>
      <c r="CA470" s="114" t="n"/>
      <c r="CB470" s="115" t="n">
        <v>89291.4997638125</v>
      </c>
      <c r="CD470" s="116" t="n">
        <f aca="false" ca="false" dt2D="false" dtr="false" t="normal">+CD469+1</f>
        <v>449</v>
      </c>
      <c r="CE470" s="117" t="n">
        <f aca="false" ca="false" dt2D="false" dtr="false" t="normal">+CE469+1</f>
        <v>230</v>
      </c>
      <c r="CF470" s="104" t="s">
        <v>253</v>
      </c>
      <c r="CG470" s="104" t="s">
        <v>254</v>
      </c>
      <c r="CH470" s="118" t="n">
        <f aca="false" ca="true" dt2D="false" dtr="false" t="normal">SUBTOTAL(9, CI470:CW470)</f>
        <v>455713.7197638125</v>
      </c>
      <c r="CI470" s="106" t="n"/>
      <c r="CJ470" s="114" t="n"/>
      <c r="CK470" s="114" t="n"/>
      <c r="CL470" s="114" t="n">
        <v>366422.22</v>
      </c>
      <c r="CM470" s="114" t="n">
        <v>0</v>
      </c>
      <c r="CN470" s="114" t="n"/>
      <c r="CO470" s="114" t="n"/>
      <c r="CP470" s="114" t="n">
        <v>0</v>
      </c>
      <c r="CQ470" s="114" t="n"/>
      <c r="CR470" s="114" t="n"/>
      <c r="CS470" s="114" t="n"/>
      <c r="CT470" s="114" t="n"/>
      <c r="CU470" s="114" t="n"/>
      <c r="CV470" s="114" t="n"/>
      <c r="CW470" s="115" t="n">
        <v>89291.4997638125</v>
      </c>
      <c r="CZ470" s="104" t="s">
        <v>254</v>
      </c>
      <c r="DA470" s="119" t="n">
        <f aca="false" ca="true" dt2D="false" dtr="false" t="normal">SUBTOTAL(9, DB470:DP470)</f>
        <v>366422.22</v>
      </c>
      <c r="DB470" s="106" t="n"/>
      <c r="DC470" s="114" t="n"/>
      <c r="DD470" s="114" t="n"/>
      <c r="DE470" s="114" t="n">
        <v>366422.22</v>
      </c>
      <c r="DF470" s="114" t="n">
        <v>0</v>
      </c>
      <c r="DG470" s="114" t="n"/>
      <c r="DH470" s="114" t="n"/>
      <c r="DI470" s="114" t="n">
        <v>0</v>
      </c>
      <c r="DJ470" s="114" t="n"/>
      <c r="DK470" s="114" t="n"/>
      <c r="DL470" s="114" t="n"/>
      <c r="DM470" s="114" t="n"/>
      <c r="DN470" s="114" t="n"/>
      <c r="DO470" s="114" t="n"/>
      <c r="DP470" s="122" t="n"/>
      <c r="DQ470" s="3" t="n"/>
      <c r="DS470" s="9" t="n"/>
    </row>
    <row hidden="false" ht="15" outlineLevel="0" r="471">
      <c r="A471" s="183" t="n">
        <f aca="false" ca="false" dt2D="false" dtr="false" t="normal">+A470+1</f>
        <v>450</v>
      </c>
      <c r="B471" s="117" t="n">
        <v>231</v>
      </c>
      <c r="C471" s="117" t="s">
        <v>253</v>
      </c>
      <c r="D471" s="117" t="s">
        <v>256</v>
      </c>
      <c r="E471" s="201" t="n">
        <v>1989</v>
      </c>
      <c r="F471" s="201" t="n">
        <v>2013</v>
      </c>
      <c r="G471" s="201" t="s">
        <v>68</v>
      </c>
      <c r="H471" s="201" t="n">
        <v>5</v>
      </c>
      <c r="I471" s="201" t="n">
        <v>3</v>
      </c>
      <c r="J471" s="114" t="n">
        <v>2867.1</v>
      </c>
      <c r="K471" s="114" t="n">
        <v>2862</v>
      </c>
      <c r="L471" s="114" t="n">
        <v>0</v>
      </c>
      <c r="M471" s="202" t="n">
        <v>82</v>
      </c>
      <c r="N471" s="108" t="n">
        <f aca="false" ca="false" dt2D="false" dtr="false" t="normal">SUM(P471:T471)</f>
        <v>3803871.2300000004</v>
      </c>
      <c r="O471" s="114" t="n"/>
      <c r="P471" s="114" t="n">
        <v>1559587.2043</v>
      </c>
      <c r="Q471" s="114" t="n"/>
      <c r="R471" s="114" t="n">
        <v>432993.52</v>
      </c>
      <c r="S471" s="114" t="n">
        <v>1811290.5057</v>
      </c>
      <c r="T471" s="114" t="n"/>
      <c r="U471" s="114" t="n">
        <v>2696.6219328373</v>
      </c>
      <c r="V471" s="114" t="n">
        <v>2696.6219328373</v>
      </c>
      <c r="W471" s="110" t="n">
        <v>2023</v>
      </c>
      <c r="X471" s="9" t="e">
        <f aca="false" ca="false" dt2D="false" dtr="false" t="normal">+#REF!-'[9]Приложение №1'!$P1150</f>
        <v>#REF!</v>
      </c>
      <c r="Z471" s="113" t="n">
        <f aca="false" ca="false" dt2D="false" dtr="false" t="normal">SUM(AA471:AO471)</f>
        <v>8541004.89</v>
      </c>
      <c r="AA471" s="106" t="n">
        <v>0</v>
      </c>
      <c r="AB471" s="106" t="n">
        <v>0</v>
      </c>
      <c r="AC471" s="106" t="n">
        <v>4445034.5403198</v>
      </c>
      <c r="AD471" s="106" t="n">
        <v>2892873.63603924</v>
      </c>
      <c r="AE471" s="106" t="n">
        <v>0</v>
      </c>
      <c r="AF471" s="106" t="n"/>
      <c r="AG471" s="106" t="n">
        <v>0</v>
      </c>
      <c r="AH471" s="106" t="n">
        <v>0</v>
      </c>
      <c r="AI471" s="106" t="n">
        <v>0</v>
      </c>
      <c r="AJ471" s="106" t="n">
        <v>0</v>
      </c>
      <c r="AK471" s="106" t="n">
        <v>0</v>
      </c>
      <c r="AL471" s="106" t="n">
        <v>0</v>
      </c>
      <c r="AM471" s="106" t="n">
        <v>957221.4747</v>
      </c>
      <c r="AN471" s="114" t="n">
        <v>85410.0489</v>
      </c>
      <c r="AO471" s="115" t="n">
        <v>160465.19004096</v>
      </c>
      <c r="AP471" s="112" t="n">
        <f aca="false" ca="false" dt2D="false" dtr="false" t="normal">+N471-'Приложение №2'!E464</f>
        <v>-7073996.77</v>
      </c>
      <c r="AQ471" s="1" t="n">
        <v>853930.16</v>
      </c>
      <c r="AR471" s="3" t="n">
        <f aca="false" ca="false" dt2D="false" dtr="false" t="normal">+(K471*10+L471*20)*12*0.85</f>
        <v>291924</v>
      </c>
      <c r="AS471" s="3" t="n">
        <f aca="false" ca="false" dt2D="false" dtr="false" t="normal">+(K471*10+L471*20)*12*30</f>
        <v>10303200</v>
      </c>
      <c r="AT471" s="9" t="n">
        <f aca="false" ca="false" dt2D="false" dtr="false" t="normal">+S471-AS471</f>
        <v>-8491909.4943</v>
      </c>
      <c r="AU471" s="9" t="e">
        <f aca="false" ca="false" dt2D="false" dtr="false" t="normal">+P471-'[5]Приложение №1'!$P86</f>
        <v>#REF!</v>
      </c>
      <c r="AV471" s="9" t="e">
        <f aca="false" ca="false" dt2D="false" dtr="false" t="normal">+Q471-'[5]Приложение №1'!$Q86</f>
        <v>#REF!</v>
      </c>
      <c r="AW471" s="113" t="n">
        <f aca="false" ca="true" dt2D="false" dtr="false" t="normal">SUBTOTAL(9, AX471:BL471)</f>
        <v>7717731.971780361</v>
      </c>
      <c r="AX471" s="106" t="n">
        <v>0</v>
      </c>
      <c r="AY471" s="106" t="n">
        <v>0</v>
      </c>
      <c r="AZ471" s="106" t="n">
        <v>1228652.79</v>
      </c>
      <c r="BA471" s="106" t="n">
        <v>1678642.03</v>
      </c>
      <c r="BB471" s="106" t="n">
        <v>0</v>
      </c>
      <c r="BC471" s="106" t="n"/>
      <c r="BD471" s="106" t="n"/>
      <c r="BE471" s="106" t="n">
        <v>0</v>
      </c>
      <c r="BF471" s="106" t="n">
        <v>3803871.23</v>
      </c>
      <c r="BG471" s="106" t="n">
        <v>0</v>
      </c>
      <c r="BH471" s="106" t="n">
        <v>0</v>
      </c>
      <c r="BI471" s="106" t="n"/>
      <c r="BJ471" s="106" t="n"/>
      <c r="BK471" s="114" t="n"/>
      <c r="BL471" s="115" t="n">
        <v>1006565.92178036</v>
      </c>
      <c r="BM471" s="113" t="n">
        <f aca="false" ca="true" dt2D="false" dtr="false" t="normal">SUBTOTAL(9, BN471:CB471)</f>
        <v>7717731.971780361</v>
      </c>
      <c r="BN471" s="106" t="n">
        <v>0</v>
      </c>
      <c r="BO471" s="106" t="n">
        <v>0</v>
      </c>
      <c r="BP471" s="106" t="n">
        <v>1228652.79</v>
      </c>
      <c r="BQ471" s="106" t="n">
        <v>1678642.03</v>
      </c>
      <c r="BR471" s="106" t="n">
        <v>0</v>
      </c>
      <c r="BS471" s="106" t="n"/>
      <c r="BT471" s="106" t="n"/>
      <c r="BU471" s="106" t="n">
        <v>0</v>
      </c>
      <c r="BV471" s="106" t="n">
        <v>3803871.23</v>
      </c>
      <c r="BW471" s="106" t="n">
        <v>0</v>
      </c>
      <c r="BX471" s="106" t="n">
        <v>0</v>
      </c>
      <c r="BY471" s="106" t="n"/>
      <c r="BZ471" s="106" t="n"/>
      <c r="CA471" s="114" t="n"/>
      <c r="CB471" s="115" t="n">
        <v>1006565.92178036</v>
      </c>
      <c r="CD471" s="116" t="n">
        <f aca="false" ca="false" dt2D="false" dtr="false" t="normal">+CD470+1</f>
        <v>450</v>
      </c>
      <c r="CE471" s="117" t="n">
        <f aca="false" ca="false" dt2D="false" dtr="false" t="normal">+CE470+1</f>
        <v>231</v>
      </c>
      <c r="CF471" s="104" t="s">
        <v>253</v>
      </c>
      <c r="CG471" s="104" t="s">
        <v>256</v>
      </c>
      <c r="CH471" s="118" t="n">
        <f aca="false" ca="true" dt2D="false" dtr="false" t="normal">SUBTOTAL(9, CI471:CW471)</f>
        <v>4810437.15178036</v>
      </c>
      <c r="CI471" s="106" t="n">
        <v>0</v>
      </c>
      <c r="CJ471" s="114" t="n">
        <v>0</v>
      </c>
      <c r="CK471" s="114" t="n"/>
      <c r="CL471" s="114" t="n"/>
      <c r="CM471" s="114" t="n">
        <v>0</v>
      </c>
      <c r="CN471" s="114" t="n"/>
      <c r="CO471" s="114" t="n"/>
      <c r="CP471" s="114" t="n">
        <v>0</v>
      </c>
      <c r="CQ471" s="114" t="n">
        <v>3803871.23</v>
      </c>
      <c r="CR471" s="114" t="n">
        <v>0</v>
      </c>
      <c r="CS471" s="114" t="n">
        <v>0</v>
      </c>
      <c r="CT471" s="114" t="n"/>
      <c r="CU471" s="114" t="n"/>
      <c r="CV471" s="114" t="n"/>
      <c r="CW471" s="115" t="n">
        <v>1006565.92178036</v>
      </c>
      <c r="CZ471" s="104" t="s">
        <v>256</v>
      </c>
      <c r="DA471" s="119" t="n">
        <f aca="false" ca="true" dt2D="false" dtr="false" t="normal">SUBTOTAL(9, DB471:DP471)</f>
        <v>3803871.23</v>
      </c>
      <c r="DB471" s="106" t="n">
        <v>0</v>
      </c>
      <c r="DC471" s="114" t="n">
        <v>0</v>
      </c>
      <c r="DD471" s="114" t="n"/>
      <c r="DE471" s="114" t="n"/>
      <c r="DF471" s="114" t="n">
        <v>0</v>
      </c>
      <c r="DG471" s="114" t="n"/>
      <c r="DH471" s="114" t="n"/>
      <c r="DI471" s="114" t="n">
        <v>0</v>
      </c>
      <c r="DJ471" s="114" t="n">
        <v>3803871.23</v>
      </c>
      <c r="DK471" s="114" t="n">
        <v>0</v>
      </c>
      <c r="DL471" s="114" t="n">
        <v>0</v>
      </c>
      <c r="DM471" s="114" t="n"/>
      <c r="DN471" s="114" t="n"/>
      <c r="DO471" s="114" t="n"/>
      <c r="DP471" s="122" t="n"/>
      <c r="DQ471" s="3" t="n"/>
      <c r="DS471" s="9" t="n"/>
    </row>
    <row hidden="false" ht="15" outlineLevel="0" r="472">
      <c r="A472" s="183" t="n">
        <f aca="false" ca="false" dt2D="false" dtr="false" t="normal">+A471+1</f>
        <v>451</v>
      </c>
      <c r="B472" s="117" t="n">
        <v>232</v>
      </c>
      <c r="C472" s="117" t="s">
        <v>253</v>
      </c>
      <c r="D472" s="117" t="s">
        <v>505</v>
      </c>
      <c r="E472" s="201" t="n">
        <v>1971</v>
      </c>
      <c r="F472" s="201" t="n">
        <v>2012</v>
      </c>
      <c r="G472" s="201" t="s">
        <v>68</v>
      </c>
      <c r="H472" s="201" t="n">
        <v>4</v>
      </c>
      <c r="I472" s="201" t="n">
        <v>4</v>
      </c>
      <c r="J472" s="114" t="n">
        <v>2748.3</v>
      </c>
      <c r="K472" s="114" t="n">
        <v>2738.3</v>
      </c>
      <c r="L472" s="114" t="n">
        <v>0</v>
      </c>
      <c r="M472" s="202" t="n">
        <v>105</v>
      </c>
      <c r="N472" s="108" t="n">
        <f aca="false" ca="false" dt2D="false" dtr="false" t="normal">SUM(P472:T472)</f>
        <v>4188288.59</v>
      </c>
      <c r="O472" s="114" t="n"/>
      <c r="P472" s="114" t="n">
        <v>1034749.07</v>
      </c>
      <c r="Q472" s="114" t="n"/>
      <c r="R472" s="114" t="n">
        <v>464433.48</v>
      </c>
      <c r="S472" s="114" t="n">
        <v>2689106.04</v>
      </c>
      <c r="T472" s="114" t="n"/>
      <c r="U472" s="114" t="n">
        <v>2250.23676977498</v>
      </c>
      <c r="V472" s="114" t="n">
        <v>2250.23676977498</v>
      </c>
      <c r="W472" s="110" t="n">
        <v>2023</v>
      </c>
      <c r="X472" s="9" t="e">
        <f aca="false" ca="false" dt2D="false" dtr="false" t="normal">+#REF!-'[9]Приложение №1'!$P763</f>
        <v>#REF!</v>
      </c>
      <c r="Z472" s="113" t="n">
        <f aca="false" ca="false" dt2D="false" dtr="false" t="normal">SUM(AA472:AO472)</f>
        <v>62662210.079999916</v>
      </c>
      <c r="AA472" s="106" t="n">
        <v>0</v>
      </c>
      <c r="AB472" s="106" t="n">
        <v>0</v>
      </c>
      <c r="AC472" s="106" t="n">
        <v>4217364.30799068</v>
      </c>
      <c r="AD472" s="106" t="n">
        <v>2744703.54033708</v>
      </c>
      <c r="AE472" s="106" t="n">
        <v>0</v>
      </c>
      <c r="AF472" s="106" t="n"/>
      <c r="AG472" s="106" t="n">
        <v>0</v>
      </c>
      <c r="AH472" s="106" t="n">
        <v>0</v>
      </c>
      <c r="AI472" s="106" t="n">
        <v>21741801.0055974</v>
      </c>
      <c r="AJ472" s="106" t="n">
        <v>0</v>
      </c>
      <c r="AK472" s="106" t="n">
        <v>11050078.7312399</v>
      </c>
      <c r="AL472" s="106" t="n">
        <v>14967785.0272427</v>
      </c>
      <c r="AM472" s="106" t="n">
        <v>6117201.9048</v>
      </c>
      <c r="AN472" s="114" t="n">
        <v>626622.1008</v>
      </c>
      <c r="AO472" s="115" t="n">
        <v>1196653.46199216</v>
      </c>
      <c r="AP472" s="112" t="n">
        <f aca="false" ca="false" dt2D="false" dtr="false" t="normal">+N472-'Приложение №2'!E465</f>
        <v>-9407639.72</v>
      </c>
      <c r="AQ472" s="1" t="n">
        <v>971459.84</v>
      </c>
      <c r="AR472" s="3" t="n">
        <f aca="false" ca="false" dt2D="false" dtr="false" t="normal">+(K472*10+L472*20)*12*0.85</f>
        <v>279306.6</v>
      </c>
      <c r="AS472" s="3" t="n">
        <f aca="false" ca="false" dt2D="false" dtr="false" t="normal">+(K472*10+L472*20)*12*30</f>
        <v>9857880</v>
      </c>
      <c r="AT472" s="9" t="n">
        <f aca="false" ca="false" dt2D="false" dtr="false" t="normal">+S472-AS472</f>
        <v>-7168773.96</v>
      </c>
      <c r="AU472" s="9" t="e">
        <f aca="false" ca="false" dt2D="false" dtr="false" t="normal">+P472-'[5]Приложение №1'!$P87</f>
        <v>#REF!</v>
      </c>
      <c r="AV472" s="9" t="e">
        <f aca="false" ca="false" dt2D="false" dtr="false" t="normal">+Q472-'[5]Приложение №1'!$Q87</f>
        <v>#REF!</v>
      </c>
      <c r="AW472" s="113" t="n">
        <f aca="false" ca="true" dt2D="false" dtr="false" t="normal">SUBTOTAL(9, AX472:BL472)</f>
        <v>6161823.346674839</v>
      </c>
      <c r="AX472" s="106" t="n">
        <v>0</v>
      </c>
      <c r="AY472" s="106" t="n">
        <v>0</v>
      </c>
      <c r="AZ472" s="106" t="n">
        <v>1076716.63</v>
      </c>
      <c r="BA472" s="106" t="n">
        <v>1632309.59</v>
      </c>
      <c r="BB472" s="106" t="n">
        <v>0</v>
      </c>
      <c r="BC472" s="106" t="n"/>
      <c r="BD472" s="106" t="n"/>
      <c r="BE472" s="106" t="n">
        <v>0</v>
      </c>
      <c r="BF472" s="106" t="n">
        <v>2825101.65</v>
      </c>
      <c r="BG472" s="106" t="n">
        <v>0</v>
      </c>
      <c r="BH472" s="106" t="n"/>
      <c r="BI472" s="106" t="n"/>
      <c r="BJ472" s="106" t="n"/>
      <c r="BK472" s="114" t="n"/>
      <c r="BL472" s="115" t="n">
        <v>627695.47667484</v>
      </c>
      <c r="BM472" s="113" t="n">
        <f aca="false" ca="true" dt2D="false" dtr="false" t="normal">SUBTOTAL(9, BN472:CB472)</f>
        <v>6161823.346674839</v>
      </c>
      <c r="BN472" s="106" t="n">
        <v>0</v>
      </c>
      <c r="BO472" s="106" t="n">
        <v>0</v>
      </c>
      <c r="BP472" s="106" t="n">
        <v>1076716.63</v>
      </c>
      <c r="BQ472" s="106" t="n">
        <v>1632309.59</v>
      </c>
      <c r="BR472" s="106" t="n">
        <v>0</v>
      </c>
      <c r="BS472" s="106" t="n"/>
      <c r="BT472" s="106" t="n"/>
      <c r="BU472" s="106" t="n">
        <v>0</v>
      </c>
      <c r="BV472" s="106" t="n">
        <v>2825101.65</v>
      </c>
      <c r="BW472" s="106" t="n">
        <v>0</v>
      </c>
      <c r="BX472" s="106" t="n"/>
      <c r="BY472" s="106" t="n"/>
      <c r="BZ472" s="106" t="n"/>
      <c r="CA472" s="114" t="n"/>
      <c r="CB472" s="115" t="n">
        <v>627695.47667484</v>
      </c>
      <c r="CD472" s="116" t="n">
        <f aca="false" ca="false" dt2D="false" dtr="false" t="normal">+CD471+1</f>
        <v>451</v>
      </c>
      <c r="CE472" s="117" t="n">
        <f aca="false" ca="false" dt2D="false" dtr="false" t="normal">+CE471+1</f>
        <v>232</v>
      </c>
      <c r="CF472" s="104" t="s">
        <v>253</v>
      </c>
      <c r="CG472" s="104" t="s">
        <v>505</v>
      </c>
      <c r="CH472" s="118" t="n">
        <f aca="false" ca="true" dt2D="false" dtr="false" t="normal">SUBTOTAL(9, CI472:CW472)</f>
        <v>4815984.06667484</v>
      </c>
      <c r="CI472" s="106" t="n">
        <v>0</v>
      </c>
      <c r="CJ472" s="114" t="n">
        <v>0</v>
      </c>
      <c r="CK472" s="114" t="n"/>
      <c r="CL472" s="114" t="n">
        <v>1099685.39</v>
      </c>
      <c r="CM472" s="114" t="n">
        <v>0</v>
      </c>
      <c r="CN472" s="114" t="n"/>
      <c r="CO472" s="114" t="n"/>
      <c r="CP472" s="114" t="n">
        <v>0</v>
      </c>
      <c r="CQ472" s="114" t="n">
        <v>3088603.2</v>
      </c>
      <c r="CR472" s="114" t="n">
        <v>0</v>
      </c>
      <c r="CS472" s="114" t="n"/>
      <c r="CT472" s="114" t="n"/>
      <c r="CU472" s="114" t="n"/>
      <c r="CV472" s="114" t="n"/>
      <c r="CW472" s="115" t="n">
        <v>627695.47667484</v>
      </c>
      <c r="CZ472" s="104" t="s">
        <v>505</v>
      </c>
      <c r="DA472" s="119" t="n">
        <f aca="false" ca="true" dt2D="false" dtr="false" t="normal">SUBTOTAL(9, DB472:DP472)</f>
        <v>4188288.59</v>
      </c>
      <c r="DB472" s="106" t="n">
        <v>0</v>
      </c>
      <c r="DC472" s="114" t="n">
        <v>0</v>
      </c>
      <c r="DD472" s="114" t="n"/>
      <c r="DE472" s="114" t="n">
        <v>1099685.39</v>
      </c>
      <c r="DF472" s="114" t="n">
        <v>0</v>
      </c>
      <c r="DG472" s="114" t="n"/>
      <c r="DH472" s="114" t="n"/>
      <c r="DI472" s="114" t="n">
        <v>0</v>
      </c>
      <c r="DJ472" s="114" t="n">
        <v>3088603.2</v>
      </c>
      <c r="DK472" s="114" t="n">
        <v>0</v>
      </c>
      <c r="DL472" s="114" t="n"/>
      <c r="DM472" s="114" t="n"/>
      <c r="DN472" s="114" t="n"/>
      <c r="DO472" s="114" t="n"/>
      <c r="DP472" s="122" t="n"/>
      <c r="DQ472" s="3" t="n"/>
      <c r="DS472" s="9" t="n"/>
    </row>
    <row hidden="false" ht="15" outlineLevel="0" r="473">
      <c r="A473" s="183" t="n">
        <f aca="false" ca="false" dt2D="false" dtr="false" t="normal">+A472+1</f>
        <v>452</v>
      </c>
      <c r="B473" s="117" t="n">
        <f aca="false" ca="false" dt2D="false" dtr="false" t="normal">+B472+1</f>
        <v>233</v>
      </c>
      <c r="C473" s="117" t="s">
        <v>253</v>
      </c>
      <c r="D473" s="117" t="s">
        <v>255</v>
      </c>
      <c r="E473" s="201" t="n">
        <v>1979</v>
      </c>
      <c r="F473" s="201" t="n">
        <v>2013</v>
      </c>
      <c r="G473" s="201" t="s">
        <v>68</v>
      </c>
      <c r="H473" s="201" t="n">
        <v>4</v>
      </c>
      <c r="I473" s="201" t="n">
        <v>2</v>
      </c>
      <c r="J473" s="114" t="n">
        <v>1304.3</v>
      </c>
      <c r="K473" s="114" t="n">
        <v>1304.3</v>
      </c>
      <c r="L473" s="114" t="n">
        <v>0</v>
      </c>
      <c r="M473" s="202" t="n">
        <v>47</v>
      </c>
      <c r="N473" s="108" t="n">
        <f aca="false" ca="false" dt2D="false" dtr="false" t="normal">SUM(P473:T473)</f>
        <v>4320197.019999999</v>
      </c>
      <c r="O473" s="114" t="n"/>
      <c r="P473" s="114" t="n">
        <v>2179448.048</v>
      </c>
      <c r="Q473" s="114" t="n"/>
      <c r="R473" s="114" t="n"/>
      <c r="S473" s="114" t="n">
        <v>1980036.60758418</v>
      </c>
      <c r="T473" s="114" t="n">
        <v>160712.364415819</v>
      </c>
      <c r="U473" s="114" t="n">
        <v>6159.94783845995</v>
      </c>
      <c r="V473" s="114" t="n">
        <v>6159.94783845995</v>
      </c>
      <c r="W473" s="110" t="n">
        <v>2023</v>
      </c>
      <c r="X473" s="9" t="e">
        <f aca="false" ca="false" dt2D="false" dtr="false" t="normal">+#REF!-'[9]Приложение №1'!$P1132</f>
        <v>#REF!</v>
      </c>
      <c r="Z473" s="113" t="n">
        <f aca="false" ca="false" dt2D="false" dtr="false" t="normal">SUM(AA473:AO473)</f>
        <v>28614187.700000003</v>
      </c>
      <c r="AA473" s="106" t="n">
        <v>0</v>
      </c>
      <c r="AB473" s="106" t="n">
        <v>0</v>
      </c>
      <c r="AC473" s="106" t="n">
        <v>1925825.0481519</v>
      </c>
      <c r="AD473" s="106" t="n">
        <v>1253346.5063616</v>
      </c>
      <c r="AE473" s="106" t="n">
        <v>0</v>
      </c>
      <c r="AF473" s="106" t="n"/>
      <c r="AG473" s="106" t="n">
        <v>0</v>
      </c>
      <c r="AH473" s="106" t="n">
        <v>0</v>
      </c>
      <c r="AI473" s="106" t="n">
        <v>9928216.292715</v>
      </c>
      <c r="AJ473" s="106" t="n">
        <v>0</v>
      </c>
      <c r="AK473" s="106" t="n">
        <v>5045928.42810966</v>
      </c>
      <c r="AL473" s="106" t="n">
        <v>6834917.08333434</v>
      </c>
      <c r="AM473" s="106" t="n">
        <v>2793370.4105</v>
      </c>
      <c r="AN473" s="114" t="n">
        <v>286141.877</v>
      </c>
      <c r="AO473" s="115" t="n">
        <v>546442.0538275</v>
      </c>
      <c r="AP473" s="112" t="n">
        <f aca="false" ca="false" dt2D="false" dtr="false" t="normal">+N473-'Приложение №2'!E446</f>
        <v>2212574.7099999986</v>
      </c>
      <c r="AQ473" s="9" t="n">
        <f aca="false" ca="false" dt2D="false" dtr="false" t="normal">505122.22</f>
        <v>505122.22</v>
      </c>
      <c r="AR473" s="3" t="n">
        <f aca="false" ca="false" dt2D="false" dtr="false" t="normal">+(K473*10+L473*20)*12*0.85</f>
        <v>133038.6</v>
      </c>
      <c r="AS473" s="3" t="n">
        <f aca="false" ca="false" dt2D="false" dtr="false" t="normal">+(K473*10+L473*20)*12*30</f>
        <v>4695480</v>
      </c>
      <c r="AT473" s="9" t="n">
        <f aca="false" ca="false" dt2D="false" dtr="false" t="normal">+S473-AS473</f>
        <v>-2715443.3924158197</v>
      </c>
      <c r="AU473" s="9" t="e">
        <f aca="false" ca="false" dt2D="false" dtr="false" t="normal">+P473-'[5]Приложение №1'!$P82</f>
        <v>#REF!</v>
      </c>
      <c r="AV473" s="9" t="e">
        <f aca="false" ca="false" dt2D="false" dtr="false" t="normal">+Q473-'[5]Приложение №1'!$Q82</f>
        <v>#REF!</v>
      </c>
      <c r="AW473" s="113" t="n">
        <f aca="false" ca="true" dt2D="false" dtr="false" t="normal">SUBTOTAL(9, AX473:BL473)</f>
        <v>8034419.9657033095</v>
      </c>
      <c r="AX473" s="106" t="n">
        <v>0</v>
      </c>
      <c r="AY473" s="106" t="n">
        <v>0</v>
      </c>
      <c r="AZ473" s="106" t="n">
        <v>2128126.30970302</v>
      </c>
      <c r="BA473" s="106" t="n"/>
      <c r="BB473" s="106" t="n"/>
      <c r="BC473" s="106" t="n"/>
      <c r="BD473" s="106" t="n"/>
      <c r="BE473" s="106" t="n"/>
      <c r="BF473" s="106" t="n"/>
      <c r="BG473" s="106" t="n"/>
      <c r="BH473" s="106" t="n"/>
      <c r="BI473" s="106" t="n">
        <v>5673685.39841611</v>
      </c>
      <c r="BJ473" s="106" t="n"/>
      <c r="BK473" s="114" t="n"/>
      <c r="BL473" s="115" t="n">
        <v>232608.25758418</v>
      </c>
      <c r="BM473" s="113" t="n">
        <f aca="false" ca="true" dt2D="false" dtr="false" t="normal">SUBTOTAL(9, BN473:CB473)</f>
        <v>8034419.9657033095</v>
      </c>
      <c r="BN473" s="106" t="n">
        <v>0</v>
      </c>
      <c r="BO473" s="106" t="n">
        <v>0</v>
      </c>
      <c r="BP473" s="106" t="n">
        <v>2128126.30970302</v>
      </c>
      <c r="BQ473" s="106" t="n"/>
      <c r="BR473" s="106" t="n"/>
      <c r="BS473" s="106" t="n"/>
      <c r="BT473" s="106" t="n"/>
      <c r="BU473" s="106" t="n"/>
      <c r="BV473" s="106" t="n"/>
      <c r="BW473" s="106" t="n"/>
      <c r="BX473" s="106" t="n"/>
      <c r="BY473" s="106" t="n">
        <v>5673685.39841611</v>
      </c>
      <c r="BZ473" s="106" t="n"/>
      <c r="CA473" s="114" t="n"/>
      <c r="CB473" s="115" t="n">
        <v>232608.25758418</v>
      </c>
      <c r="CD473" s="116" t="n">
        <f aca="false" ca="false" dt2D="false" dtr="false" t="normal">+CD472+1</f>
        <v>452</v>
      </c>
      <c r="CE473" s="117" t="n">
        <f aca="false" ca="false" dt2D="false" dtr="false" t="normal">+CE472+1</f>
        <v>233</v>
      </c>
      <c r="CF473" s="104" t="s">
        <v>253</v>
      </c>
      <c r="CG473" s="104" t="s">
        <v>255</v>
      </c>
      <c r="CH473" s="118" t="n">
        <f aca="false" ca="true" dt2D="false" dtr="false" t="normal">SUBTOTAL(9, CI473:CW473)</f>
        <v>4552805.277584179</v>
      </c>
      <c r="CI473" s="106" t="n"/>
      <c r="CJ473" s="114" t="n"/>
      <c r="CK473" s="114" t="n"/>
      <c r="CL473" s="114" t="n"/>
      <c r="CM473" s="114" t="n"/>
      <c r="CN473" s="114" t="n"/>
      <c r="CO473" s="114" t="n"/>
      <c r="CP473" s="114" t="n"/>
      <c r="CQ473" s="114" t="n"/>
      <c r="CR473" s="114" t="n"/>
      <c r="CS473" s="114" t="n"/>
      <c r="CT473" s="114" t="n">
        <v>4320197.02</v>
      </c>
      <c r="CU473" s="114" t="n"/>
      <c r="CV473" s="114" t="n"/>
      <c r="CW473" s="115" t="n">
        <v>232608.25758418</v>
      </c>
      <c r="CZ473" s="104" t="s">
        <v>255</v>
      </c>
      <c r="DA473" s="119" t="n">
        <f aca="false" ca="true" dt2D="false" dtr="false" t="normal">SUBTOTAL(9, DB473:DP473)</f>
        <v>4320197.02</v>
      </c>
      <c r="DB473" s="106" t="n"/>
      <c r="DC473" s="114" t="n"/>
      <c r="DD473" s="114" t="n"/>
      <c r="DE473" s="114" t="n"/>
      <c r="DF473" s="114" t="n"/>
      <c r="DG473" s="114" t="n"/>
      <c r="DH473" s="114" t="n"/>
      <c r="DI473" s="114" t="n"/>
      <c r="DJ473" s="114" t="n"/>
      <c r="DK473" s="114" t="n"/>
      <c r="DL473" s="114" t="n"/>
      <c r="DM473" s="114" t="n">
        <v>4320197.02</v>
      </c>
      <c r="DN473" s="114" t="n"/>
      <c r="DO473" s="114" t="n"/>
      <c r="DP473" s="122" t="n"/>
      <c r="DQ473" s="3" t="n"/>
      <c r="DS473" s="9" t="n"/>
    </row>
    <row hidden="false" ht="15" outlineLevel="0" r="474">
      <c r="A474" s="183" t="n">
        <f aca="false" ca="false" dt2D="false" dtr="false" t="normal">+A473+1</f>
        <v>453</v>
      </c>
      <c r="B474" s="117" t="n">
        <v>234</v>
      </c>
      <c r="C474" s="117" t="s">
        <v>253</v>
      </c>
      <c r="D474" s="117" t="s">
        <v>506</v>
      </c>
      <c r="E474" s="201" t="n">
        <v>1975</v>
      </c>
      <c r="F474" s="201" t="n">
        <v>2010</v>
      </c>
      <c r="G474" s="201" t="s">
        <v>68</v>
      </c>
      <c r="H474" s="201" t="n">
        <v>4</v>
      </c>
      <c r="I474" s="201" t="n">
        <v>2</v>
      </c>
      <c r="J474" s="114" t="n">
        <v>1415.4</v>
      </c>
      <c r="K474" s="114" t="n">
        <v>1415.4</v>
      </c>
      <c r="L474" s="114" t="n">
        <v>0</v>
      </c>
      <c r="M474" s="202" t="n">
        <v>39</v>
      </c>
      <c r="N474" s="108" t="n">
        <f aca="false" ca="false" dt2D="false" dtr="false" t="normal">SUM(P474:T474)</f>
        <v>3298923.58</v>
      </c>
      <c r="O474" s="114" t="n"/>
      <c r="P474" s="114" t="n">
        <v>1410277.86600001</v>
      </c>
      <c r="Q474" s="114" t="n"/>
      <c r="R474" s="114" t="n"/>
      <c r="S474" s="114" t="n">
        <v>1888645.71399999</v>
      </c>
      <c r="T474" s="114" t="n"/>
      <c r="U474" s="114" t="n">
        <v>6431.09330634925</v>
      </c>
      <c r="V474" s="114" t="n">
        <v>6431.09330634925</v>
      </c>
      <c r="W474" s="110" t="n">
        <v>2023</v>
      </c>
      <c r="X474" s="9" t="e">
        <f aca="false" ca="false" dt2D="false" dtr="false" t="normal">+#REF!-'[9]Приложение №1'!$P903</f>
        <v>#REF!</v>
      </c>
      <c r="Z474" s="113" t="n">
        <f aca="false" ca="false" dt2D="false" dtr="false" t="normal">SUM(AA474:AO474)</f>
        <v>29462353.34</v>
      </c>
      <c r="AA474" s="106" t="n">
        <v>0</v>
      </c>
      <c r="AB474" s="106" t="n">
        <v>0</v>
      </c>
      <c r="AC474" s="106" t="n">
        <v>1982909.27199162</v>
      </c>
      <c r="AD474" s="106" t="n">
        <v>1290497.4993876</v>
      </c>
      <c r="AE474" s="106" t="n">
        <v>0</v>
      </c>
      <c r="AF474" s="106" t="n"/>
      <c r="AG474" s="106" t="n">
        <v>0</v>
      </c>
      <c r="AH474" s="106" t="n">
        <v>0</v>
      </c>
      <c r="AI474" s="106" t="n">
        <v>10222502.8898664</v>
      </c>
      <c r="AJ474" s="106" t="n">
        <v>0</v>
      </c>
      <c r="AK474" s="106" t="n">
        <v>5195496.99272898</v>
      </c>
      <c r="AL474" s="106" t="n">
        <v>7037513.84772492</v>
      </c>
      <c r="AM474" s="106" t="n">
        <v>2876169.9234</v>
      </c>
      <c r="AN474" s="114" t="n">
        <v>294623.5334</v>
      </c>
      <c r="AO474" s="115" t="n">
        <v>562639.38150048</v>
      </c>
      <c r="AP474" s="112" t="n">
        <f aca="false" ca="false" dt2D="false" dtr="false" t="normal">+N474-'Приложение №2'!E460</f>
        <v>-1972273.2800000003</v>
      </c>
      <c r="AQ474" s="1" t="n">
        <f aca="false" ca="false" dt2D="false" dtr="false" t="normal">559628.74-472211.3</f>
        <v>87417.44</v>
      </c>
      <c r="AR474" s="3" t="n">
        <f aca="false" ca="false" dt2D="false" dtr="false" t="normal">+(K474*10+L474*20)*12*0.85</f>
        <v>144370.8</v>
      </c>
      <c r="AS474" s="3" t="n">
        <f aca="false" ca="false" dt2D="false" dtr="false" t="normal">+(K474*10+L474*20)*12*30-628714.2721</f>
        <v>4466725.7279</v>
      </c>
      <c r="AT474" s="9" t="n">
        <f aca="false" ca="false" dt2D="false" dtr="false" t="normal">+S474-AS474</f>
        <v>-2578080.0139000104</v>
      </c>
      <c r="AU474" s="9" t="e">
        <f aca="false" ca="false" dt2D="false" dtr="false" t="normal">+P474-'[5]Приложение №1'!$P85</f>
        <v>#REF!</v>
      </c>
      <c r="AV474" s="9" t="e">
        <f aca="false" ca="false" dt2D="false" dtr="false" t="normal">+Q474-'[5]Приложение №1'!$Q85</f>
        <v>#REF!</v>
      </c>
      <c r="AW474" s="113" t="n">
        <f aca="false" ca="true" dt2D="false" dtr="false" t="normal">SUBTOTAL(9, AX474:BL474)</f>
        <v>9102569.465806725</v>
      </c>
      <c r="AX474" s="106" t="n">
        <v>0</v>
      </c>
      <c r="AY474" s="106" t="n">
        <v>0</v>
      </c>
      <c r="AZ474" s="106" t="n">
        <v>2428644.27008731</v>
      </c>
      <c r="BA474" s="106" t="n">
        <v>0</v>
      </c>
      <c r="BB474" s="106" t="n">
        <v>0</v>
      </c>
      <c r="BC474" s="106" t="n"/>
      <c r="BD474" s="106" t="n">
        <v>0</v>
      </c>
      <c r="BE474" s="106" t="n">
        <v>0</v>
      </c>
      <c r="BF474" s="106" t="n">
        <v>0</v>
      </c>
      <c r="BG474" s="106" t="n">
        <v>0</v>
      </c>
      <c r="BH474" s="106" t="n">
        <v>0</v>
      </c>
      <c r="BI474" s="106" t="n">
        <v>6479130.20915115</v>
      </c>
      <c r="BJ474" s="106" t="n"/>
      <c r="BK474" s="114" t="n"/>
      <c r="BL474" s="115" t="n">
        <v>194794.986568264</v>
      </c>
      <c r="BM474" s="113" t="n">
        <f aca="false" ca="true" dt2D="false" dtr="false" t="normal">SUBTOTAL(9, BN474:CB474)</f>
        <v>9102569.465806725</v>
      </c>
      <c r="BN474" s="106" t="n">
        <v>0</v>
      </c>
      <c r="BO474" s="106" t="n">
        <v>0</v>
      </c>
      <c r="BP474" s="106" t="n">
        <v>2428644.27008731</v>
      </c>
      <c r="BQ474" s="106" t="n">
        <v>0</v>
      </c>
      <c r="BR474" s="106" t="n">
        <v>0</v>
      </c>
      <c r="BS474" s="106" t="n"/>
      <c r="BT474" s="106" t="n">
        <v>0</v>
      </c>
      <c r="BU474" s="106" t="n">
        <v>0</v>
      </c>
      <c r="BV474" s="106" t="n">
        <v>0</v>
      </c>
      <c r="BW474" s="106" t="n">
        <v>0</v>
      </c>
      <c r="BX474" s="106" t="n">
        <v>0</v>
      </c>
      <c r="BY474" s="106" t="n">
        <v>6479130.20915115</v>
      </c>
      <c r="BZ474" s="106" t="n"/>
      <c r="CA474" s="114" t="n"/>
      <c r="CB474" s="115" t="n">
        <v>194794.986568264</v>
      </c>
      <c r="CD474" s="116" t="n">
        <f aca="false" ca="false" dt2D="false" dtr="false" t="normal">+CD473+1</f>
        <v>453</v>
      </c>
      <c r="CE474" s="117" t="n">
        <f aca="false" ca="false" dt2D="false" dtr="false" t="normal">+CE473+1</f>
        <v>234</v>
      </c>
      <c r="CF474" s="104" t="s">
        <v>253</v>
      </c>
      <c r="CG474" s="104" t="s">
        <v>506</v>
      </c>
      <c r="CH474" s="118" t="n">
        <f aca="false" ca="true" dt2D="false" dtr="false" t="normal">SUBTOTAL(9, CI474:CW474)</f>
        <v>3493718.5665682643</v>
      </c>
      <c r="CI474" s="106" t="n"/>
      <c r="CJ474" s="114" t="n"/>
      <c r="CK474" s="114" t="n"/>
      <c r="CL474" s="114" t="n">
        <v>0</v>
      </c>
      <c r="CM474" s="114" t="n">
        <v>0</v>
      </c>
      <c r="CN474" s="114" t="n"/>
      <c r="CO474" s="114" t="n"/>
      <c r="CP474" s="114" t="n">
        <v>0</v>
      </c>
      <c r="CQ474" s="114" t="n">
        <v>0</v>
      </c>
      <c r="CR474" s="114" t="n">
        <v>0</v>
      </c>
      <c r="CS474" s="114" t="n">
        <v>0</v>
      </c>
      <c r="CT474" s="114" t="n">
        <v>3298923.58</v>
      </c>
      <c r="CU474" s="114" t="n"/>
      <c r="CV474" s="114" t="n"/>
      <c r="CW474" s="115" t="n">
        <v>194794.986568264</v>
      </c>
      <c r="CZ474" s="104" t="s">
        <v>506</v>
      </c>
      <c r="DA474" s="119" t="n">
        <f aca="false" ca="true" dt2D="false" dtr="false" t="normal">SUBTOTAL(9, DB474:DP474)</f>
        <v>3298923.58</v>
      </c>
      <c r="DB474" s="106" t="n"/>
      <c r="DC474" s="114" t="n"/>
      <c r="DD474" s="114" t="n"/>
      <c r="DE474" s="114" t="n">
        <v>0</v>
      </c>
      <c r="DF474" s="114" t="n">
        <v>0</v>
      </c>
      <c r="DG474" s="114" t="n"/>
      <c r="DH474" s="114" t="n"/>
      <c r="DI474" s="114" t="n">
        <v>0</v>
      </c>
      <c r="DJ474" s="114" t="n">
        <v>0</v>
      </c>
      <c r="DK474" s="114" t="n">
        <v>0</v>
      </c>
      <c r="DL474" s="114" t="n">
        <v>0</v>
      </c>
      <c r="DM474" s="114" t="n">
        <v>3298923.58</v>
      </c>
      <c r="DN474" s="114" t="n"/>
      <c r="DO474" s="114" t="n"/>
      <c r="DP474" s="122" t="n"/>
      <c r="DQ474" s="3" t="n"/>
      <c r="DS474" s="9" t="n"/>
    </row>
    <row hidden="false" ht="15" outlineLevel="0" r="475">
      <c r="A475" s="183" t="n">
        <f aca="false" ca="false" dt2D="false" dtr="false" t="normal">+A474+1</f>
        <v>454</v>
      </c>
      <c r="B475" s="117" t="n">
        <v>235</v>
      </c>
      <c r="C475" s="117" t="s">
        <v>253</v>
      </c>
      <c r="D475" s="117" t="s">
        <v>507</v>
      </c>
      <c r="E475" s="201" t="n">
        <v>1979</v>
      </c>
      <c r="F475" s="201" t="n">
        <v>1979</v>
      </c>
      <c r="G475" s="201" t="s">
        <v>68</v>
      </c>
      <c r="H475" s="201" t="n">
        <v>4</v>
      </c>
      <c r="I475" s="201" t="n">
        <v>2</v>
      </c>
      <c r="J475" s="114" t="n">
        <v>1251.7</v>
      </c>
      <c r="K475" s="114" t="n">
        <v>1251.7</v>
      </c>
      <c r="L475" s="114" t="n">
        <v>0</v>
      </c>
      <c r="M475" s="202" t="n">
        <v>44</v>
      </c>
      <c r="N475" s="108" t="n">
        <f aca="false" ca="false" dt2D="false" dtr="false" t="normal">SUM(P475:T475)</f>
        <v>3158936.6999999997</v>
      </c>
      <c r="O475" s="114" t="n"/>
      <c r="P475" s="114" t="n">
        <v>868511.4615</v>
      </c>
      <c r="Q475" s="114" t="n"/>
      <c r="R475" s="114" t="n">
        <v>143042.91</v>
      </c>
      <c r="S475" s="114" t="n">
        <v>2147382.3285</v>
      </c>
      <c r="T475" s="114" t="n"/>
      <c r="U475" s="114" t="n">
        <v>7740.19833696184</v>
      </c>
      <c r="V475" s="114" t="n">
        <v>7740.19833696184</v>
      </c>
      <c r="W475" s="110" t="n">
        <v>2023</v>
      </c>
      <c r="X475" s="9" t="e">
        <f aca="false" ca="false" dt2D="false" dtr="false" t="normal">+#REF!-'[9]Приложение №1'!$P849</f>
        <v>#REF!</v>
      </c>
      <c r="Z475" s="113" t="n">
        <f aca="false" ca="false" dt2D="false" dtr="false" t="normal">SUM(AA475:AO475)</f>
        <v>10704920.850000001</v>
      </c>
      <c r="AA475" s="106" t="n">
        <v>4162366.3452462</v>
      </c>
      <c r="AB475" s="106" t="n">
        <v>1907523.5611068</v>
      </c>
      <c r="AC475" s="106" t="n">
        <v>1930197.0630411</v>
      </c>
      <c r="AD475" s="106" t="n">
        <v>1256191.858278</v>
      </c>
      <c r="AE475" s="106" t="n">
        <v>0</v>
      </c>
      <c r="AF475" s="106" t="n"/>
      <c r="AG475" s="106" t="n">
        <v>126491.2857684</v>
      </c>
      <c r="AH475" s="106" t="n">
        <v>0</v>
      </c>
      <c r="AI475" s="106" t="n"/>
      <c r="AJ475" s="106" t="n">
        <v>0</v>
      </c>
      <c r="AK475" s="106" t="n"/>
      <c r="AL475" s="106" t="n"/>
      <c r="AM475" s="106" t="n">
        <v>1009919.349</v>
      </c>
      <c r="AN475" s="114" t="n">
        <v>107049.2085</v>
      </c>
      <c r="AO475" s="115" t="n">
        <v>205182.1790595</v>
      </c>
      <c r="AP475" s="112" t="n">
        <f aca="false" ca="false" dt2D="false" dtr="false" t="normal">+N475-'Приложение №2'!E447</f>
        <v>103600.87999999989</v>
      </c>
      <c r="AQ475" s="9" t="n">
        <f aca="false" ca="false" dt2D="false" dtr="false" t="normal">438075.68</f>
        <v>438075.68</v>
      </c>
      <c r="AR475" s="3" t="n">
        <f aca="false" ca="false" dt2D="false" dtr="false" t="normal">+(K475*10+L475*20)*12*0.85</f>
        <v>127673.4</v>
      </c>
      <c r="AS475" s="3" t="n">
        <f aca="false" ca="false" dt2D="false" dtr="false" t="normal">+(K475*10+L475*20)*12*30-1289981.92</f>
        <v>3216138.08</v>
      </c>
      <c r="AT475" s="9" t="n">
        <f aca="false" ca="false" dt2D="false" dtr="false" t="normal">+S475-AS475</f>
        <v>-1068755.7515000002</v>
      </c>
      <c r="AU475" s="9" t="e">
        <f aca="false" ca="false" dt2D="false" dtr="false" t="normal">+P475-'[5]Приложение №1'!$P83</f>
        <v>#REF!</v>
      </c>
      <c r="AV475" s="9" t="e">
        <f aca="false" ca="false" dt2D="false" dtr="false" t="normal">+Q475-'[5]Приложение №1'!$Q83</f>
        <v>#REF!</v>
      </c>
      <c r="AW475" s="113" t="n">
        <f aca="false" ca="true" dt2D="false" dtr="false" t="normal">SUBTOTAL(9, AX475:BL475)</f>
        <v>9688406.258375138</v>
      </c>
      <c r="AX475" s="106" t="n">
        <v>1130532.88</v>
      </c>
      <c r="AY475" s="106" t="n">
        <v>322661.12</v>
      </c>
      <c r="AZ475" s="106" t="n">
        <v>2032941.39</v>
      </c>
      <c r="BA475" s="106" t="n">
        <v>361992.49</v>
      </c>
      <c r="BB475" s="106" t="n">
        <v>0</v>
      </c>
      <c r="BC475" s="106" t="n"/>
      <c r="BD475" s="106" t="n"/>
      <c r="BE475" s="106" t="n">
        <v>0</v>
      </c>
      <c r="BF475" s="106" t="n">
        <v>0</v>
      </c>
      <c r="BG475" s="106" t="n">
        <v>0</v>
      </c>
      <c r="BH475" s="106" t="n">
        <v>0</v>
      </c>
      <c r="BI475" s="106" t="n">
        <v>5683076.94</v>
      </c>
      <c r="BJ475" s="106" t="n"/>
      <c r="BK475" s="114" t="n"/>
      <c r="BL475" s="115" t="n">
        <v>157201.438375138</v>
      </c>
      <c r="BM475" s="113" t="n">
        <f aca="false" ca="true" dt2D="false" dtr="false" t="normal">SUBTOTAL(9, BN475:CB475)</f>
        <v>9688406.258375138</v>
      </c>
      <c r="BN475" s="106" t="n">
        <v>1130532.88</v>
      </c>
      <c r="BO475" s="106" t="n">
        <v>322661.12</v>
      </c>
      <c r="BP475" s="106" t="n">
        <v>2032941.39</v>
      </c>
      <c r="BQ475" s="106" t="n">
        <v>361992.49</v>
      </c>
      <c r="BR475" s="106" t="n">
        <v>0</v>
      </c>
      <c r="BS475" s="106" t="n"/>
      <c r="BT475" s="106" t="n"/>
      <c r="BU475" s="106" t="n">
        <v>0</v>
      </c>
      <c r="BV475" s="106" t="n">
        <v>0</v>
      </c>
      <c r="BW475" s="106" t="n">
        <v>0</v>
      </c>
      <c r="BX475" s="106" t="n">
        <v>0</v>
      </c>
      <c r="BY475" s="106" t="n">
        <v>5683076.94</v>
      </c>
      <c r="BZ475" s="106" t="n"/>
      <c r="CA475" s="114" t="n"/>
      <c r="CB475" s="115" t="n">
        <v>157201.438375138</v>
      </c>
      <c r="CD475" s="116" t="n">
        <f aca="false" ca="false" dt2D="false" dtr="false" t="normal">+CD474+1</f>
        <v>454</v>
      </c>
      <c r="CE475" s="117" t="n">
        <f aca="false" ca="false" dt2D="false" dtr="false" t="normal">+CE474+1</f>
        <v>235</v>
      </c>
      <c r="CF475" s="104" t="s">
        <v>253</v>
      </c>
      <c r="CG475" s="104" t="s">
        <v>507</v>
      </c>
      <c r="CH475" s="118" t="n">
        <f aca="false" ca="true" dt2D="false" dtr="false" t="normal">SUBTOTAL(9, CI475:CW475)</f>
        <v>3316138.138375138</v>
      </c>
      <c r="CI475" s="106" t="n"/>
      <c r="CJ475" s="114" t="n"/>
      <c r="CK475" s="114" t="n"/>
      <c r="CL475" s="114" t="n">
        <v>316550.13</v>
      </c>
      <c r="CM475" s="114" t="n">
        <v>0</v>
      </c>
      <c r="CN475" s="114" t="n"/>
      <c r="CO475" s="114" t="n"/>
      <c r="CP475" s="114" t="n">
        <v>0</v>
      </c>
      <c r="CQ475" s="114" t="n">
        <v>0</v>
      </c>
      <c r="CR475" s="114" t="n">
        <v>0</v>
      </c>
      <c r="CS475" s="114" t="n">
        <v>0</v>
      </c>
      <c r="CT475" s="114" t="n">
        <v>2842386.57</v>
      </c>
      <c r="CU475" s="114" t="n"/>
      <c r="CV475" s="114" t="n"/>
      <c r="CW475" s="115" t="n">
        <v>157201.438375138</v>
      </c>
      <c r="CZ475" s="104" t="s">
        <v>507</v>
      </c>
      <c r="DA475" s="119" t="n">
        <f aca="false" ca="true" dt2D="false" dtr="false" t="normal">SUBTOTAL(9, DB475:DP475)</f>
        <v>3158936.6999999997</v>
      </c>
      <c r="DB475" s="106" t="n"/>
      <c r="DC475" s="114" t="n"/>
      <c r="DD475" s="114" t="n"/>
      <c r="DE475" s="114" t="n">
        <v>316550.13</v>
      </c>
      <c r="DF475" s="114" t="n">
        <v>0</v>
      </c>
      <c r="DG475" s="114" t="n"/>
      <c r="DH475" s="114" t="n"/>
      <c r="DI475" s="114" t="n">
        <v>0</v>
      </c>
      <c r="DJ475" s="114" t="n">
        <v>0</v>
      </c>
      <c r="DK475" s="114" t="n">
        <v>0</v>
      </c>
      <c r="DL475" s="114" t="n">
        <v>0</v>
      </c>
      <c r="DM475" s="114" t="n">
        <v>2842386.57</v>
      </c>
      <c r="DN475" s="114" t="n"/>
      <c r="DO475" s="114" t="n"/>
      <c r="DP475" s="122" t="n"/>
      <c r="DQ475" s="3" t="n"/>
      <c r="DS475" s="9" t="n"/>
    </row>
    <row hidden="false" ht="15" outlineLevel="0" r="476">
      <c r="A476" s="183" t="n">
        <f aca="false" ca="false" dt2D="false" dtr="false" t="normal">+A475+1</f>
        <v>455</v>
      </c>
      <c r="B476" s="117" t="n">
        <v>236</v>
      </c>
      <c r="C476" s="117" t="s">
        <v>253</v>
      </c>
      <c r="D476" s="117" t="s">
        <v>508</v>
      </c>
      <c r="E476" s="201" t="n">
        <v>1972</v>
      </c>
      <c r="F476" s="201" t="n">
        <v>1972</v>
      </c>
      <c r="G476" s="201" t="s">
        <v>68</v>
      </c>
      <c r="H476" s="201" t="n">
        <v>4</v>
      </c>
      <c r="I476" s="201" t="n">
        <v>2</v>
      </c>
      <c r="J476" s="114" t="n">
        <v>1471.5</v>
      </c>
      <c r="K476" s="114" t="n">
        <v>1257.9</v>
      </c>
      <c r="L476" s="114" t="n">
        <v>0</v>
      </c>
      <c r="M476" s="202" t="n">
        <v>37</v>
      </c>
      <c r="N476" s="108" t="n">
        <f aca="false" ca="false" dt2D="false" dtr="false" t="normal">SUM(P476:T476)</f>
        <v>5454094.26</v>
      </c>
      <c r="O476" s="114" t="n"/>
      <c r="P476" s="114" t="n">
        <v>3266723.87134463</v>
      </c>
      <c r="Q476" s="114" t="n"/>
      <c r="R476" s="114" t="n"/>
      <c r="S476" s="114" t="n">
        <v>2187370.38865537</v>
      </c>
      <c r="T476" s="114" t="n"/>
      <c r="U476" s="114" t="n">
        <v>5285.59583227029</v>
      </c>
      <c r="V476" s="114" t="n">
        <v>5285.59583227029</v>
      </c>
      <c r="W476" s="110" t="n">
        <v>2023</v>
      </c>
      <c r="X476" s="9" t="e">
        <f aca="false" ca="false" dt2D="false" dtr="false" t="normal">+#REF!-'[9]Приложение №1'!$P859</f>
        <v>#REF!</v>
      </c>
      <c r="Z476" s="113" t="n">
        <f aca="false" ca="false" dt2D="false" dtr="false" t="normal">SUM(AA476:AO476)</f>
        <v>16159497.98</v>
      </c>
      <c r="AA476" s="106" t="n">
        <v>0</v>
      </c>
      <c r="AB476" s="106" t="n">
        <v>0</v>
      </c>
      <c r="AC476" s="106" t="n">
        <v>0</v>
      </c>
      <c r="AD476" s="106" t="n">
        <v>0</v>
      </c>
      <c r="AE476" s="106" t="n">
        <v>0</v>
      </c>
      <c r="AF476" s="106" t="n"/>
      <c r="AG476" s="106" t="n">
        <v>0</v>
      </c>
      <c r="AH476" s="106" t="n">
        <v>0</v>
      </c>
      <c r="AI476" s="106" t="n">
        <v>0</v>
      </c>
      <c r="AJ476" s="106" t="n">
        <v>0</v>
      </c>
      <c r="AK476" s="106" t="n">
        <v>5977461.9471231</v>
      </c>
      <c r="AL476" s="106" t="n">
        <v>8096717.45654982</v>
      </c>
      <c r="AM476" s="106" t="n">
        <v>1615949.798</v>
      </c>
      <c r="AN476" s="114" t="n">
        <v>161594.9798</v>
      </c>
      <c r="AO476" s="115" t="n">
        <v>307773.79852708</v>
      </c>
      <c r="AP476" s="112" t="n">
        <f aca="false" ca="false" dt2D="false" dtr="false" t="normal">+N476-'Приложение №2'!E476</f>
        <v>0</v>
      </c>
      <c r="AQ476" s="1" t="n">
        <f aca="false" ca="false" dt2D="false" dtr="false" t="normal">337730.12</f>
        <v>337730.12</v>
      </c>
      <c r="AR476" s="3" t="n">
        <f aca="false" ca="false" dt2D="false" dtr="false" t="normal">+(K476*10+L476*20)*12*0.85</f>
        <v>128305.8</v>
      </c>
      <c r="AS476" s="3" t="n">
        <f aca="false" ca="false" dt2D="false" dtr="false" t="normal">+(K476*10+L476*20)*12*30</f>
        <v>4528440</v>
      </c>
      <c r="AT476" s="9" t="n">
        <f aca="false" ca="false" dt2D="false" dtr="false" t="normal">+S476-AS476</f>
        <v>-2341069.61134463</v>
      </c>
      <c r="AU476" s="9" t="e">
        <f aca="false" ca="false" dt2D="false" dtr="false" t="normal">+P476-'[5]Приложение №1'!$P426</f>
        <v>#REF!</v>
      </c>
      <c r="AV476" s="9" t="e">
        <f aca="false" ca="false" dt2D="false" dtr="false" t="normal">+Q476-'[5]Приложение №1'!$Q426</f>
        <v>#REF!</v>
      </c>
      <c r="AW476" s="113" t="n">
        <f aca="false" ca="true" dt2D="false" dtr="false" t="normal">SUBTOTAL(9, AX476:BL476)</f>
        <v>6648750.997412804</v>
      </c>
      <c r="AX476" s="106" t="n">
        <v>0</v>
      </c>
      <c r="AY476" s="106" t="n">
        <v>0</v>
      </c>
      <c r="AZ476" s="106" t="n">
        <v>0</v>
      </c>
      <c r="BA476" s="106" t="n">
        <v>0</v>
      </c>
      <c r="BB476" s="106" t="n">
        <v>0</v>
      </c>
      <c r="BC476" s="106" t="n"/>
      <c r="BD476" s="106" t="n"/>
      <c r="BE476" s="106" t="n">
        <v>0</v>
      </c>
      <c r="BF476" s="106" t="n">
        <v>0</v>
      </c>
      <c r="BG476" s="106" t="n">
        <v>0</v>
      </c>
      <c r="BH476" s="106" t="n">
        <v>6506467.72606817</v>
      </c>
      <c r="BI476" s="106" t="n"/>
      <c r="BJ476" s="106" t="n"/>
      <c r="BK476" s="114" t="n"/>
      <c r="BL476" s="115" t="n">
        <v>142283.271344634</v>
      </c>
      <c r="BM476" s="113" t="n">
        <f aca="false" ca="true" dt2D="false" dtr="false" t="normal">SUBTOTAL(9, BN476:CB476)</f>
        <v>6648750.997412804</v>
      </c>
      <c r="BN476" s="106" t="n">
        <v>0</v>
      </c>
      <c r="BO476" s="106" t="n">
        <v>0</v>
      </c>
      <c r="BP476" s="106" t="n">
        <v>0</v>
      </c>
      <c r="BQ476" s="106" t="n">
        <v>0</v>
      </c>
      <c r="BR476" s="106" t="n">
        <v>0</v>
      </c>
      <c r="BS476" s="106" t="n"/>
      <c r="BT476" s="106" t="n"/>
      <c r="BU476" s="106" t="n">
        <v>0</v>
      </c>
      <c r="BV476" s="106" t="n">
        <v>0</v>
      </c>
      <c r="BW476" s="106" t="n">
        <v>0</v>
      </c>
      <c r="BX476" s="106" t="n">
        <v>6506467.72606817</v>
      </c>
      <c r="BY476" s="106" t="n"/>
      <c r="BZ476" s="106" t="n"/>
      <c r="CA476" s="114" t="n"/>
      <c r="CB476" s="115" t="n">
        <v>142283.271344634</v>
      </c>
      <c r="CD476" s="116" t="n">
        <f aca="false" ca="false" dt2D="false" dtr="false" t="normal">+CD475+1</f>
        <v>455</v>
      </c>
      <c r="CE476" s="117" t="n">
        <f aca="false" ca="false" dt2D="false" dtr="false" t="normal">+CE475+1</f>
        <v>236</v>
      </c>
      <c r="CF476" s="104" t="s">
        <v>253</v>
      </c>
      <c r="CG476" s="104" t="s">
        <v>508</v>
      </c>
      <c r="CH476" s="118" t="n">
        <f aca="false" ca="true" dt2D="false" dtr="false" t="normal">SUBTOTAL(9, CI476:CW476)</f>
        <v>5596377.531344634</v>
      </c>
      <c r="CI476" s="106" t="n">
        <v>0</v>
      </c>
      <c r="CJ476" s="114" t="n">
        <v>0</v>
      </c>
      <c r="CK476" s="114" t="n">
        <v>0</v>
      </c>
      <c r="CL476" s="114" t="n">
        <v>0</v>
      </c>
      <c r="CM476" s="114" t="n">
        <v>0</v>
      </c>
      <c r="CN476" s="114" t="n"/>
      <c r="CO476" s="114" t="n"/>
      <c r="CP476" s="114" t="n">
        <v>0</v>
      </c>
      <c r="CQ476" s="114" t="n">
        <v>0</v>
      </c>
      <c r="CR476" s="114" t="n">
        <v>0</v>
      </c>
      <c r="CS476" s="114" t="n">
        <v>5454094.26</v>
      </c>
      <c r="CT476" s="114" t="n"/>
      <c r="CU476" s="114" t="n"/>
      <c r="CV476" s="114" t="n"/>
      <c r="CW476" s="115" t="n">
        <v>142283.271344634</v>
      </c>
      <c r="CZ476" s="104" t="s">
        <v>508</v>
      </c>
      <c r="DA476" s="119" t="n">
        <f aca="false" ca="true" dt2D="false" dtr="false" t="normal">SUBTOTAL(9, DB476:DP476)</f>
        <v>5454094.26</v>
      </c>
      <c r="DB476" s="106" t="n">
        <v>0</v>
      </c>
      <c r="DC476" s="114" t="n">
        <v>0</v>
      </c>
      <c r="DD476" s="114" t="n">
        <v>0</v>
      </c>
      <c r="DE476" s="114" t="n">
        <v>0</v>
      </c>
      <c r="DF476" s="114" t="n">
        <v>0</v>
      </c>
      <c r="DG476" s="114" t="n"/>
      <c r="DH476" s="114" t="n"/>
      <c r="DI476" s="114" t="n">
        <v>0</v>
      </c>
      <c r="DJ476" s="114" t="n">
        <v>0</v>
      </c>
      <c r="DK476" s="114" t="n">
        <v>0</v>
      </c>
      <c r="DL476" s="114" t="n">
        <v>5454094.26</v>
      </c>
      <c r="DM476" s="114" t="n"/>
      <c r="DN476" s="114" t="n"/>
      <c r="DO476" s="114" t="n"/>
      <c r="DP476" s="122" t="n"/>
      <c r="DQ476" s="3" t="n"/>
      <c r="DS476" s="9" t="n"/>
    </row>
    <row hidden="false" ht="15" outlineLevel="0" r="477">
      <c r="A477" s="183" t="n">
        <f aca="false" ca="false" dt2D="false" dtr="false" t="normal">+A476+1</f>
        <v>456</v>
      </c>
      <c r="B477" s="117" t="n">
        <v>237</v>
      </c>
      <c r="C477" s="104" t="s">
        <v>428</v>
      </c>
      <c r="D477" s="104" t="s">
        <v>509</v>
      </c>
      <c r="E477" s="105" t="n">
        <v>1989</v>
      </c>
      <c r="F477" s="105" t="n">
        <v>2013</v>
      </c>
      <c r="G477" s="105" t="s">
        <v>68</v>
      </c>
      <c r="H477" s="105" t="n">
        <v>4</v>
      </c>
      <c r="I477" s="105" t="n">
        <v>2</v>
      </c>
      <c r="J477" s="106" t="n">
        <v>1529.1</v>
      </c>
      <c r="K477" s="106" t="n">
        <v>1348.1</v>
      </c>
      <c r="L477" s="106" t="n">
        <v>0</v>
      </c>
      <c r="M477" s="107" t="n">
        <v>46</v>
      </c>
      <c r="N477" s="108" t="n">
        <f aca="false" ca="false" dt2D="false" dtr="false" t="normal">SUM(P477:T477)</f>
        <v>5770612.33</v>
      </c>
      <c r="O477" s="106" t="n"/>
      <c r="P477" s="114" t="n">
        <v>3305050.92</v>
      </c>
      <c r="Q477" s="114" t="n"/>
      <c r="R477" s="114" t="n">
        <v>444526.31</v>
      </c>
      <c r="S477" s="114" t="n">
        <v>2021035.1</v>
      </c>
      <c r="T477" s="114" t="n"/>
      <c r="U477" s="106" t="n">
        <v>5519.69417137156</v>
      </c>
      <c r="V477" s="106" t="n">
        <v>5519.69417137156</v>
      </c>
      <c r="W477" s="110" t="n">
        <v>2023</v>
      </c>
      <c r="X477" s="9" t="e">
        <f aca="false" ca="false" dt2D="false" dtr="false" t="normal">+#REF!-'[9]Приложение №1'!$P1740</f>
        <v>#REF!</v>
      </c>
      <c r="Z477" s="113" t="n">
        <f aca="false" ca="false" dt2D="false" dtr="false" t="normal">SUM(AA477:AO477)</f>
        <v>12006150.479999999</v>
      </c>
      <c r="AA477" s="106" t="n">
        <v>2778320.4092007</v>
      </c>
      <c r="AB477" s="106" t="n">
        <v>1283573.09968482</v>
      </c>
      <c r="AC477" s="106" t="n">
        <v>0</v>
      </c>
      <c r="AD477" s="106" t="n">
        <v>0</v>
      </c>
      <c r="AE477" s="106" t="n">
        <v>0</v>
      </c>
      <c r="AF477" s="106" t="n"/>
      <c r="AG477" s="106" t="n">
        <v>0</v>
      </c>
      <c r="AH477" s="106" t="n">
        <v>0</v>
      </c>
      <c r="AI477" s="106" t="n">
        <v>6528512.288718</v>
      </c>
      <c r="AJ477" s="106" t="n">
        <v>0</v>
      </c>
      <c r="AK477" s="106" t="n">
        <v>0</v>
      </c>
      <c r="AL477" s="106" t="n">
        <v>0</v>
      </c>
      <c r="AM477" s="106" t="n">
        <v>1064092.452</v>
      </c>
      <c r="AN477" s="114" t="n">
        <v>120061.5048</v>
      </c>
      <c r="AO477" s="115" t="n">
        <v>231590.72559648</v>
      </c>
      <c r="AP477" s="112" t="n">
        <f aca="false" ca="false" dt2D="false" dtr="false" t="normal">+N477-'Приложение №2'!E477</f>
        <v>0</v>
      </c>
      <c r="AQ477" s="1" t="n">
        <v>579070.04</v>
      </c>
      <c r="AR477" s="3" t="n">
        <f aca="false" ca="false" dt2D="false" dtr="false" t="normal">+(K477*10+L477*20)*12*0.85</f>
        <v>137506.19999999998</v>
      </c>
      <c r="AS477" s="3" t="n">
        <f aca="false" ca="false" dt2D="false" dtr="false" t="normal">+(K477*10+L477*20)*12*30</f>
        <v>4853160</v>
      </c>
      <c r="AT477" s="9" t="n">
        <f aca="false" ca="false" dt2D="false" dtr="false" t="normal">+S477-AS477</f>
        <v>-2832124.9</v>
      </c>
      <c r="AU477" s="9" t="e">
        <f aca="false" ca="false" dt2D="false" dtr="false" t="normal">+P477-'[5]Приложение №1'!$P492</f>
        <v>#REF!</v>
      </c>
      <c r="AV477" s="9" t="e">
        <f aca="false" ca="false" dt2D="false" dtr="false" t="normal">+Q477-'[5]Приложение №1'!$Q492</f>
        <v>#REF!</v>
      </c>
      <c r="AW477" s="113" t="n">
        <f aca="false" ca="true" dt2D="false" dtr="false" t="normal">SUBTOTAL(9, AX477:BL477)</f>
        <v>7441099.712426</v>
      </c>
      <c r="AX477" s="106" t="n"/>
      <c r="AY477" s="106" t="n">
        <v>539640.37</v>
      </c>
      <c r="AZ477" s="106" t="n">
        <v>0</v>
      </c>
      <c r="BA477" s="106" t="n">
        <v>0</v>
      </c>
      <c r="BB477" s="106" t="n">
        <v>0</v>
      </c>
      <c r="BC477" s="106" t="n"/>
      <c r="BD477" s="106" t="n"/>
      <c r="BE477" s="106" t="n">
        <v>0</v>
      </c>
      <c r="BF477" s="106" t="n">
        <v>6713480.51</v>
      </c>
      <c r="BG477" s="106" t="n">
        <v>0</v>
      </c>
      <c r="BH477" s="106" t="n">
        <v>0</v>
      </c>
      <c r="BI477" s="106" t="n">
        <v>0</v>
      </c>
      <c r="BJ477" s="106" t="n"/>
      <c r="BK477" s="114" t="n"/>
      <c r="BL477" s="187" t="n">
        <v>187978.832426</v>
      </c>
      <c r="BM477" s="113" t="n">
        <f aca="false" ca="true" dt2D="false" dtr="false" t="normal">SUBTOTAL(9, BN477:CB477)</f>
        <v>7441099.712426</v>
      </c>
      <c r="BN477" s="106" t="n"/>
      <c r="BO477" s="106" t="n">
        <v>539640.37</v>
      </c>
      <c r="BP477" s="106" t="n">
        <v>0</v>
      </c>
      <c r="BQ477" s="106" t="n">
        <v>0</v>
      </c>
      <c r="BR477" s="106" t="n">
        <v>0</v>
      </c>
      <c r="BS477" s="106" t="n"/>
      <c r="BT477" s="106" t="n"/>
      <c r="BU477" s="106" t="n">
        <v>0</v>
      </c>
      <c r="BV477" s="106" t="n">
        <v>6713480.51</v>
      </c>
      <c r="BW477" s="106" t="n">
        <v>0</v>
      </c>
      <c r="BX477" s="106" t="n">
        <v>0</v>
      </c>
      <c r="BY477" s="106" t="n">
        <v>0</v>
      </c>
      <c r="BZ477" s="106" t="n"/>
      <c r="CA477" s="114" t="n"/>
      <c r="CB477" s="115" t="n">
        <v>187978.832426</v>
      </c>
      <c r="CD477" s="116" t="n">
        <f aca="false" ca="false" dt2D="false" dtr="false" t="normal">+CD476+1</f>
        <v>456</v>
      </c>
      <c r="CE477" s="117" t="n">
        <f aca="false" ca="false" dt2D="false" dtr="false" t="normal">+CE476+1</f>
        <v>237</v>
      </c>
      <c r="CF477" s="104" t="s">
        <v>428</v>
      </c>
      <c r="CG477" s="117" t="s">
        <v>509</v>
      </c>
      <c r="CH477" s="118" t="n">
        <f aca="false" ca="true" dt2D="false" dtr="false" t="normal">SUBTOTAL(9, CI477:CW477)</f>
        <v>5958591.162426</v>
      </c>
      <c r="CI477" s="114" t="n"/>
      <c r="CJ477" s="114" t="n"/>
      <c r="CK477" s="114" t="n">
        <v>0</v>
      </c>
      <c r="CL477" s="114" t="n">
        <v>0</v>
      </c>
      <c r="CM477" s="114" t="n">
        <v>0</v>
      </c>
      <c r="CN477" s="114" t="n"/>
      <c r="CO477" s="114" t="n"/>
      <c r="CP477" s="114" t="n">
        <v>0</v>
      </c>
      <c r="CQ477" s="114" t="n">
        <v>5770612.33</v>
      </c>
      <c r="CR477" s="114" t="n">
        <v>0</v>
      </c>
      <c r="CS477" s="114" t="n">
        <v>0</v>
      </c>
      <c r="CT477" s="114" t="n">
        <v>0</v>
      </c>
      <c r="CU477" s="114" t="n"/>
      <c r="CV477" s="114" t="n"/>
      <c r="CW477" s="115" t="n">
        <v>187978.832426</v>
      </c>
      <c r="CZ477" s="117" t="s">
        <v>509</v>
      </c>
      <c r="DA477" s="119" t="n">
        <f aca="false" ca="true" dt2D="false" dtr="false" t="normal">SUBTOTAL(9, DB477:DP477)</f>
        <v>5770612.33</v>
      </c>
      <c r="DB477" s="114" t="n"/>
      <c r="DC477" s="114" t="n"/>
      <c r="DD477" s="114" t="n">
        <v>0</v>
      </c>
      <c r="DE477" s="114" t="n">
        <v>0</v>
      </c>
      <c r="DF477" s="114" t="n">
        <v>0</v>
      </c>
      <c r="DG477" s="114" t="n"/>
      <c r="DH477" s="114" t="n"/>
      <c r="DI477" s="114" t="n">
        <v>0</v>
      </c>
      <c r="DJ477" s="114" t="n">
        <v>5770612.33</v>
      </c>
      <c r="DK477" s="114" t="n">
        <v>0</v>
      </c>
      <c r="DL477" s="114" t="n">
        <v>0</v>
      </c>
      <c r="DM477" s="114" t="n">
        <v>0</v>
      </c>
      <c r="DN477" s="114" t="n"/>
      <c r="DO477" s="114" t="n"/>
      <c r="DP477" s="122" t="n"/>
      <c r="DQ477" s="3" t="n"/>
      <c r="DS477" s="9" t="n"/>
    </row>
    <row hidden="false" ht="15" outlineLevel="0" r="478">
      <c r="A478" s="183" t="n">
        <f aca="false" ca="false" dt2D="false" dtr="false" t="normal">+A477+1</f>
        <v>457</v>
      </c>
      <c r="B478" s="117" t="n">
        <v>238</v>
      </c>
      <c r="C478" s="104" t="s">
        <v>428</v>
      </c>
      <c r="D478" s="104" t="s">
        <v>510</v>
      </c>
      <c r="E478" s="105" t="n">
        <v>1988</v>
      </c>
      <c r="F478" s="105" t="n">
        <v>2013</v>
      </c>
      <c r="G478" s="105" t="s">
        <v>68</v>
      </c>
      <c r="H478" s="105" t="n">
        <v>3</v>
      </c>
      <c r="I478" s="105" t="n">
        <v>3</v>
      </c>
      <c r="J478" s="106" t="n">
        <v>1390.3</v>
      </c>
      <c r="K478" s="106" t="n">
        <v>1293.32</v>
      </c>
      <c r="L478" s="106" t="n">
        <v>0</v>
      </c>
      <c r="M478" s="107" t="n">
        <v>45</v>
      </c>
      <c r="N478" s="108" t="n">
        <f aca="false" ca="false" dt2D="false" dtr="false" t="normal">SUM(P478:T478)</f>
        <v>7256814.72</v>
      </c>
      <c r="O478" s="106" t="n"/>
      <c r="P478" s="114" t="n">
        <v>814890.639999999</v>
      </c>
      <c r="Q478" s="114" t="n"/>
      <c r="R478" s="114" t="n">
        <v>668271.06</v>
      </c>
      <c r="S478" s="114" t="n">
        <v>4475429.462426</v>
      </c>
      <c r="T478" s="114" t="n">
        <v>1298223.557574</v>
      </c>
      <c r="U478" s="106" t="n">
        <v>7207.47290536449</v>
      </c>
      <c r="V478" s="106" t="n">
        <v>7207.47290536449</v>
      </c>
      <c r="W478" s="110" t="n">
        <v>2023</v>
      </c>
      <c r="X478" s="9" t="e">
        <f aca="false" ca="false" dt2D="false" dtr="false" t="normal">+#REF!-'[9]Приложение №1'!$P1253</f>
        <v>#REF!</v>
      </c>
      <c r="Z478" s="113" t="n">
        <f aca="false" ca="false" dt2D="false" dtr="false" t="normal">SUM(AA478:AO478)</f>
        <v>25655177.409999996</v>
      </c>
      <c r="AA478" s="106" t="n">
        <v>0</v>
      </c>
      <c r="AB478" s="106" t="n">
        <v>0</v>
      </c>
      <c r="AC478" s="106" t="n">
        <v>0</v>
      </c>
      <c r="AD478" s="106" t="n">
        <v>0</v>
      </c>
      <c r="AE478" s="106" t="n">
        <v>0</v>
      </c>
      <c r="AF478" s="106" t="n"/>
      <c r="AG478" s="106" t="n">
        <v>0</v>
      </c>
      <c r="AH478" s="106" t="n">
        <v>0</v>
      </c>
      <c r="AI478" s="106" t="n">
        <v>12294937.7469324</v>
      </c>
      <c r="AJ478" s="106" t="n">
        <v>0</v>
      </c>
      <c r="AK478" s="106" t="n">
        <v>10186152.0584271</v>
      </c>
      <c r="AL478" s="106" t="n">
        <v>0</v>
      </c>
      <c r="AM478" s="106" t="n">
        <v>2425919.9284</v>
      </c>
      <c r="AN478" s="114" t="n">
        <v>256551.7741</v>
      </c>
      <c r="AO478" s="115" t="n">
        <v>491615.9021405</v>
      </c>
      <c r="AP478" s="112" t="n">
        <f aca="false" ca="false" dt2D="false" dtr="false" t="normal">+N478-'Приложение №2'!E478</f>
        <v>0</v>
      </c>
      <c r="AQ478" s="1" t="n">
        <f aca="false" ca="false" dt2D="false" dtr="false" t="normal">536959.76-224352.09</f>
        <v>312607.67000000004</v>
      </c>
      <c r="AR478" s="3" t="n">
        <f aca="false" ca="false" dt2D="false" dtr="false" t="normal">+(K478*10+L478*20)*12*0.85</f>
        <v>131918.63999999998</v>
      </c>
      <c r="AS478" s="3" t="n">
        <f aca="false" ca="false" dt2D="false" dtr="false" t="normal">+(K478*10+L478*20)*12*30-1061869.95</f>
        <v>3594082.05</v>
      </c>
      <c r="AT478" s="9" t="n">
        <f aca="false" ca="false" dt2D="false" dtr="false" t="normal">+S478-AS478</f>
        <v>881347.4124260005</v>
      </c>
      <c r="AU478" s="9" t="e">
        <f aca="false" ca="false" dt2D="false" dtr="false" t="normal">+P478-'[5]Приложение №1'!$P436</f>
        <v>#REF!</v>
      </c>
      <c r="AV478" s="9" t="e">
        <f aca="false" ca="false" dt2D="false" dtr="false" t="normal">+Q478-'[5]Приложение №1'!$Q436</f>
        <v>#REF!</v>
      </c>
      <c r="AW478" s="113" t="n">
        <f aca="false" ca="true" dt2D="false" dtr="false" t="normal">SUBTOTAL(9, AX478:BL478)</f>
        <v>9321568.857966</v>
      </c>
      <c r="AX478" s="106" t="n">
        <v>0</v>
      </c>
      <c r="AY478" s="106" t="n">
        <v>0</v>
      </c>
      <c r="AZ478" s="106" t="n">
        <v>0</v>
      </c>
      <c r="BA478" s="106" t="n">
        <v>0</v>
      </c>
      <c r="BB478" s="106" t="n">
        <v>0</v>
      </c>
      <c r="BC478" s="106" t="n"/>
      <c r="BD478" s="106" t="n"/>
      <c r="BE478" s="106" t="n">
        <v>0</v>
      </c>
      <c r="BF478" s="106" t="n">
        <v>9023845.88</v>
      </c>
      <c r="BG478" s="106" t="n">
        <v>0</v>
      </c>
      <c r="BH478" s="106" t="n"/>
      <c r="BI478" s="106" t="n">
        <v>0</v>
      </c>
      <c r="BJ478" s="106" t="n"/>
      <c r="BK478" s="114" t="n"/>
      <c r="BL478" s="187" t="n">
        <v>297722.977966</v>
      </c>
      <c r="BM478" s="113" t="n">
        <f aca="false" ca="true" dt2D="false" dtr="false" t="normal">SUBTOTAL(9, BN478:CB478)</f>
        <v>9321568.857966</v>
      </c>
      <c r="BN478" s="106" t="n">
        <v>0</v>
      </c>
      <c r="BO478" s="106" t="n">
        <v>0</v>
      </c>
      <c r="BP478" s="106" t="n">
        <v>0</v>
      </c>
      <c r="BQ478" s="106" t="n">
        <v>0</v>
      </c>
      <c r="BR478" s="106" t="n">
        <v>0</v>
      </c>
      <c r="BS478" s="106" t="n"/>
      <c r="BT478" s="106" t="n"/>
      <c r="BU478" s="106" t="n">
        <v>0</v>
      </c>
      <c r="BV478" s="106" t="n">
        <v>9023845.88</v>
      </c>
      <c r="BW478" s="106" t="n">
        <v>0</v>
      </c>
      <c r="BX478" s="106" t="n"/>
      <c r="BY478" s="106" t="n">
        <v>0</v>
      </c>
      <c r="BZ478" s="106" t="n"/>
      <c r="CA478" s="114" t="n"/>
      <c r="CB478" s="187" t="n">
        <v>297722.977966</v>
      </c>
      <c r="CD478" s="116" t="n">
        <f aca="false" ca="false" dt2D="false" dtr="false" t="normal">+CD477+1</f>
        <v>457</v>
      </c>
      <c r="CE478" s="117" t="n">
        <f aca="false" ca="false" dt2D="false" dtr="false" t="normal">+CE477+1</f>
        <v>238</v>
      </c>
      <c r="CF478" s="104" t="s">
        <v>428</v>
      </c>
      <c r="CG478" s="117" t="s">
        <v>510</v>
      </c>
      <c r="CH478" s="118" t="n">
        <f aca="false" ca="true" dt2D="false" dtr="false" t="normal">SUBTOTAL(9, CI478:CW478)</f>
        <v>7554537.697966</v>
      </c>
      <c r="CI478" s="114" t="n">
        <v>0</v>
      </c>
      <c r="CJ478" s="114" t="n">
        <v>0</v>
      </c>
      <c r="CK478" s="114" t="n">
        <v>0</v>
      </c>
      <c r="CL478" s="114" t="n">
        <v>0</v>
      </c>
      <c r="CM478" s="114" t="n">
        <v>0</v>
      </c>
      <c r="CN478" s="114" t="n"/>
      <c r="CO478" s="114" t="n"/>
      <c r="CP478" s="114" t="n">
        <v>0</v>
      </c>
      <c r="CQ478" s="114" t="n">
        <v>7256814.72</v>
      </c>
      <c r="CR478" s="114" t="n">
        <v>0</v>
      </c>
      <c r="CS478" s="114" t="n"/>
      <c r="CT478" s="114" t="n">
        <v>0</v>
      </c>
      <c r="CU478" s="114" t="n"/>
      <c r="CV478" s="114" t="n"/>
      <c r="CW478" s="115" t="n">
        <v>297722.977966</v>
      </c>
      <c r="CZ478" s="117" t="s">
        <v>510</v>
      </c>
      <c r="DA478" s="119" t="n">
        <f aca="false" ca="true" dt2D="false" dtr="false" t="normal">SUBTOTAL(9, DB478:DP478)</f>
        <v>7256814.72</v>
      </c>
      <c r="DB478" s="114" t="n">
        <v>0</v>
      </c>
      <c r="DC478" s="114" t="n">
        <v>0</v>
      </c>
      <c r="DD478" s="114" t="n">
        <v>0</v>
      </c>
      <c r="DE478" s="114" t="n">
        <v>0</v>
      </c>
      <c r="DF478" s="114" t="n">
        <v>0</v>
      </c>
      <c r="DG478" s="114" t="n"/>
      <c r="DH478" s="114" t="n"/>
      <c r="DI478" s="114" t="n">
        <v>0</v>
      </c>
      <c r="DJ478" s="114" t="n">
        <v>7256814.72</v>
      </c>
      <c r="DK478" s="114" t="n">
        <v>0</v>
      </c>
      <c r="DL478" s="114" t="n"/>
      <c r="DM478" s="114" t="n">
        <v>0</v>
      </c>
      <c r="DN478" s="114" t="n"/>
      <c r="DO478" s="114" t="n"/>
      <c r="DP478" s="122" t="n"/>
      <c r="DQ478" s="3" t="n"/>
      <c r="DS478" s="9" t="n"/>
    </row>
    <row hidden="false" ht="15" outlineLevel="0" r="479">
      <c r="A479" s="183" t="n">
        <f aca="false" ca="false" dt2D="false" dtr="false" t="normal">+A478+1</f>
        <v>458</v>
      </c>
      <c r="B479" s="117" t="n">
        <v>239</v>
      </c>
      <c r="C479" s="117" t="s">
        <v>280</v>
      </c>
      <c r="D479" s="117" t="s">
        <v>511</v>
      </c>
      <c r="E479" s="201" t="n">
        <v>1978</v>
      </c>
      <c r="F479" s="201" t="n">
        <v>2011</v>
      </c>
      <c r="G479" s="201" t="s">
        <v>68</v>
      </c>
      <c r="H479" s="201" t="n">
        <v>4</v>
      </c>
      <c r="I479" s="201" t="n">
        <v>4</v>
      </c>
      <c r="J479" s="114" t="n">
        <v>3928.1</v>
      </c>
      <c r="K479" s="114" t="n">
        <v>3427.4</v>
      </c>
      <c r="L479" s="114" t="n">
        <v>412.7</v>
      </c>
      <c r="M479" s="202" t="n">
        <v>110</v>
      </c>
      <c r="N479" s="108" t="n">
        <f aca="false" ca="false" dt2D="false" dtr="false" t="normal">SUM(P479:T479)</f>
        <v>6397046.15</v>
      </c>
      <c r="O479" s="114" t="n"/>
      <c r="P479" s="114" t="n">
        <v>357289.05</v>
      </c>
      <c r="Q479" s="114" t="n"/>
      <c r="R479" s="114" t="n">
        <v>2262800.45</v>
      </c>
      <c r="S479" s="114" t="n">
        <v>3776956.65</v>
      </c>
      <c r="T479" s="114" t="n">
        <v>0</v>
      </c>
      <c r="U479" s="114" t="n">
        <v>1616.9992983324</v>
      </c>
      <c r="V479" s="114" t="n">
        <v>1616.9992983324</v>
      </c>
      <c r="W479" s="110" t="n">
        <v>2023</v>
      </c>
      <c r="X479" s="9" t="e">
        <f aca="false" ca="false" dt2D="false" dtr="false" t="normal">+#REF!-'[9]Приложение №1'!$P1988</f>
        <v>#REF!</v>
      </c>
      <c r="Z479" s="113" t="n">
        <f aca="false" ca="false" dt2D="false" dtr="false" t="normal">SUM(AA479:AO479)</f>
        <v>8909057.31</v>
      </c>
      <c r="AA479" s="106" t="n">
        <v>0</v>
      </c>
      <c r="AB479" s="106" t="n">
        <v>0</v>
      </c>
      <c r="AC479" s="106" t="n">
        <v>0</v>
      </c>
      <c r="AD479" s="106" t="n">
        <v>0</v>
      </c>
      <c r="AE479" s="106" t="n">
        <v>0</v>
      </c>
      <c r="AF479" s="106" t="n"/>
      <c r="AG479" s="106" t="n">
        <v>0</v>
      </c>
      <c r="AH479" s="106" t="n">
        <v>0</v>
      </c>
      <c r="AI479" s="106" t="n">
        <v>0</v>
      </c>
      <c r="AJ479" s="106" t="n">
        <v>0</v>
      </c>
      <c r="AK479" s="106" t="n">
        <v>0</v>
      </c>
      <c r="AL479" s="106" t="n">
        <v>7759379.10037374</v>
      </c>
      <c r="AM479" s="106" t="n">
        <v>890905.731</v>
      </c>
      <c r="AN479" s="114" t="n">
        <v>89090.5731</v>
      </c>
      <c r="AO479" s="115" t="n">
        <v>169681.90552626</v>
      </c>
      <c r="AP479" s="112" t="n">
        <f aca="false" ca="false" dt2D="false" dtr="false" t="normal">+N479-'Приложение №2'!E479</f>
        <v>0</v>
      </c>
      <c r="AQ479" s="1" t="n">
        <v>1829014.85</v>
      </c>
      <c r="AR479" s="3" t="n">
        <f aca="false" ca="false" dt2D="false" dtr="false" t="normal">+(K479*10+L479*20)*12*0.85</f>
        <v>433785.6</v>
      </c>
      <c r="AS479" s="3" t="n">
        <f aca="false" ca="false" dt2D="false" dtr="false" t="normal">+(K479*10+L479*20)*12*30</f>
        <v>15310080</v>
      </c>
      <c r="AT479" s="9" t="n">
        <f aca="false" ca="false" dt2D="false" dtr="false" t="normal">+S479-AS479</f>
        <v>-11533123.35</v>
      </c>
      <c r="AU479" s="9" t="e">
        <f aca="false" ca="false" dt2D="false" dtr="false" t="normal">+P479-'[5]Приложение №1'!$P448</f>
        <v>#REF!</v>
      </c>
      <c r="AV479" s="9" t="e">
        <f aca="false" ca="false" dt2D="false" dtr="false" t="normal">+Q479-'[5]Приложение №1'!$Q448</f>
        <v>#REF!</v>
      </c>
      <c r="AW479" s="113" t="n">
        <f aca="false" ca="true" dt2D="false" dtr="false" t="normal">SUBTOTAL(9, AX479:BL479)</f>
        <v>6209439.00552626</v>
      </c>
      <c r="AX479" s="106" t="n">
        <v>0</v>
      </c>
      <c r="AY479" s="106" t="n">
        <v>0</v>
      </c>
      <c r="AZ479" s="106" t="n">
        <v>0</v>
      </c>
      <c r="BA479" s="106" t="n">
        <v>0</v>
      </c>
      <c r="BB479" s="106" t="n">
        <v>0</v>
      </c>
      <c r="BC479" s="106" t="n"/>
      <c r="BD479" s="106" t="n"/>
      <c r="BE479" s="106" t="n">
        <v>0</v>
      </c>
      <c r="BF479" s="106" t="n">
        <v>0</v>
      </c>
      <c r="BG479" s="106" t="n">
        <v>0</v>
      </c>
      <c r="BH479" s="106" t="n">
        <v>0</v>
      </c>
      <c r="BI479" s="106" t="n">
        <v>6039757.1</v>
      </c>
      <c r="BJ479" s="106" t="n"/>
      <c r="BK479" s="114" t="n"/>
      <c r="BL479" s="115" t="n">
        <v>169681.90552626</v>
      </c>
      <c r="BM479" s="113" t="n">
        <f aca="false" ca="true" dt2D="false" dtr="false" t="normal">SUBTOTAL(9, BN479:CB479)</f>
        <v>6209439.00552626</v>
      </c>
      <c r="BN479" s="106" t="n">
        <v>0</v>
      </c>
      <c r="BO479" s="106" t="n">
        <v>0</v>
      </c>
      <c r="BP479" s="106" t="n">
        <v>0</v>
      </c>
      <c r="BQ479" s="106" t="n">
        <v>0</v>
      </c>
      <c r="BR479" s="106" t="n">
        <v>0</v>
      </c>
      <c r="BS479" s="106" t="n"/>
      <c r="BT479" s="106" t="n"/>
      <c r="BU479" s="106" t="n">
        <v>0</v>
      </c>
      <c r="BV479" s="106" t="n">
        <v>0</v>
      </c>
      <c r="BW479" s="106" t="n">
        <v>0</v>
      </c>
      <c r="BX479" s="106" t="n">
        <v>0</v>
      </c>
      <c r="BY479" s="106" t="n">
        <v>6039757.1</v>
      </c>
      <c r="BZ479" s="106" t="n"/>
      <c r="CA479" s="114" t="n"/>
      <c r="CB479" s="187" t="n">
        <v>169681.90552626</v>
      </c>
      <c r="CD479" s="116" t="n">
        <f aca="false" ca="false" dt2D="false" dtr="false" t="normal">+CD478+1</f>
        <v>458</v>
      </c>
      <c r="CE479" s="117" t="n">
        <f aca="false" ca="false" dt2D="false" dtr="false" t="normal">+CE478+1</f>
        <v>239</v>
      </c>
      <c r="CF479" s="104" t="s">
        <v>280</v>
      </c>
      <c r="CG479" s="104" t="s">
        <v>511</v>
      </c>
      <c r="CH479" s="118" t="n">
        <f aca="false" ca="true" dt2D="false" dtr="false" t="normal">SUBTOTAL(9, CI479:CW479)</f>
        <v>6566728.05552626</v>
      </c>
      <c r="CI479" s="106" t="n">
        <v>0</v>
      </c>
      <c r="CJ479" s="114" t="n">
        <v>0</v>
      </c>
      <c r="CK479" s="114" t="n">
        <v>0</v>
      </c>
      <c r="CL479" s="114" t="n">
        <v>0</v>
      </c>
      <c r="CM479" s="114" t="n">
        <v>0</v>
      </c>
      <c r="CN479" s="114" t="n"/>
      <c r="CO479" s="114" t="n"/>
      <c r="CP479" s="114" t="n">
        <v>0</v>
      </c>
      <c r="CQ479" s="114" t="n">
        <v>0</v>
      </c>
      <c r="CR479" s="114" t="n">
        <v>0</v>
      </c>
      <c r="CS479" s="114" t="n">
        <v>0</v>
      </c>
      <c r="CT479" s="114" t="n">
        <v>6397046.15</v>
      </c>
      <c r="CU479" s="114" t="n"/>
      <c r="CV479" s="114" t="n"/>
      <c r="CW479" s="115" t="n">
        <v>169681.90552626</v>
      </c>
      <c r="CZ479" s="104" t="s">
        <v>511</v>
      </c>
      <c r="DA479" s="119" t="n">
        <f aca="false" ca="true" dt2D="false" dtr="false" t="normal">SUBTOTAL(9, DB479:DP479)</f>
        <v>6397046.15</v>
      </c>
      <c r="DB479" s="106" t="n">
        <v>0</v>
      </c>
      <c r="DC479" s="114" t="n">
        <v>0</v>
      </c>
      <c r="DD479" s="114" t="n">
        <v>0</v>
      </c>
      <c r="DE479" s="114" t="n">
        <v>0</v>
      </c>
      <c r="DF479" s="114" t="n">
        <v>0</v>
      </c>
      <c r="DG479" s="114" t="n"/>
      <c r="DH479" s="114" t="n"/>
      <c r="DI479" s="114" t="n">
        <v>0</v>
      </c>
      <c r="DJ479" s="114" t="n">
        <v>0</v>
      </c>
      <c r="DK479" s="114" t="n">
        <v>0</v>
      </c>
      <c r="DL479" s="114" t="n">
        <v>0</v>
      </c>
      <c r="DM479" s="114" t="n">
        <v>6397046.15</v>
      </c>
      <c r="DN479" s="114" t="n"/>
      <c r="DO479" s="114" t="n"/>
      <c r="DP479" s="122" t="n"/>
      <c r="DQ479" s="3" t="n"/>
      <c r="DS479" s="9" t="n"/>
    </row>
    <row hidden="false" ht="15" outlineLevel="0" r="480">
      <c r="A480" s="183" t="n">
        <f aca="false" ca="false" dt2D="false" dtr="false" t="normal">+A479+1</f>
        <v>459</v>
      </c>
      <c r="B480" s="117" t="n">
        <v>240</v>
      </c>
      <c r="C480" s="104" t="s">
        <v>283</v>
      </c>
      <c r="D480" s="104" t="s">
        <v>512</v>
      </c>
      <c r="E480" s="105" t="n">
        <v>1970</v>
      </c>
      <c r="F480" s="105" t="n">
        <v>2010</v>
      </c>
      <c r="G480" s="105" t="s">
        <v>68</v>
      </c>
      <c r="H480" s="105" t="n">
        <v>5</v>
      </c>
      <c r="I480" s="105" t="n">
        <v>4</v>
      </c>
      <c r="J480" s="106" t="n">
        <v>3258</v>
      </c>
      <c r="K480" s="106" t="n">
        <v>3018.9</v>
      </c>
      <c r="L480" s="106" t="n">
        <v>0</v>
      </c>
      <c r="M480" s="107" t="n">
        <v>132</v>
      </c>
      <c r="N480" s="108" t="n">
        <f aca="false" ca="false" dt2D="false" dtr="false" t="normal">SUM(P480:T480)</f>
        <v>9357328.82</v>
      </c>
      <c r="O480" s="114" t="n"/>
      <c r="P480" s="114" t="n">
        <v>919348.41</v>
      </c>
      <c r="Q480" s="114" t="n"/>
      <c r="R480" s="114" t="n">
        <v>652968.1</v>
      </c>
      <c r="S480" s="114" t="n">
        <v>7785012.31</v>
      </c>
      <c r="T480" s="114" t="n"/>
      <c r="U480" s="114" t="n">
        <v>4397.22658584253</v>
      </c>
      <c r="V480" s="114" t="n">
        <v>4397.22658584253</v>
      </c>
      <c r="W480" s="110" t="n">
        <v>2023</v>
      </c>
      <c r="X480" s="9" t="e">
        <f aca="false" ca="false" dt2D="false" dtr="false" t="normal">+#REF!-'[9]Приложение №1'!$P1583</f>
        <v>#REF!</v>
      </c>
      <c r="Z480" s="113" t="n">
        <f aca="false" ca="false" dt2D="false" dtr="false" t="normal">SUM(AA480:AO480)</f>
        <v>13575281.44</v>
      </c>
      <c r="AA480" s="106" t="n">
        <v>0</v>
      </c>
      <c r="AB480" s="106" t="n">
        <v>0</v>
      </c>
      <c r="AC480" s="106" t="n">
        <v>0</v>
      </c>
      <c r="AD480" s="106" t="n">
        <v>0</v>
      </c>
      <c r="AE480" s="106" t="n">
        <v>0</v>
      </c>
      <c r="AF480" s="106" t="n"/>
      <c r="AG480" s="106" t="n">
        <v>0</v>
      </c>
      <c r="AH480" s="106" t="n">
        <v>0</v>
      </c>
      <c r="AI480" s="106" t="n">
        <v>0</v>
      </c>
      <c r="AJ480" s="106" t="n">
        <v>0</v>
      </c>
      <c r="AK480" s="106" t="n">
        <v>7231455.42</v>
      </c>
      <c r="AL480" s="106" t="n">
        <v>5881945.19</v>
      </c>
      <c r="AM480" s="106" t="n">
        <f aca="false" ca="false" dt2D="false" dtr="false" t="normal">139621.27+118844.77</f>
        <v>258466.03999999998</v>
      </c>
      <c r="AN480" s="114" t="n">
        <f aca="false" ca="false" dt2D="false" dtr="false" t="normal">5000+37028.06</f>
        <v>42028.06</v>
      </c>
      <c r="AO480" s="115" t="n">
        <f aca="false" ca="false" dt2D="false" dtr="false" t="normal">88997.58+72389.15</f>
        <v>161386.72999999998</v>
      </c>
      <c r="AP480" s="112" t="n">
        <f aca="false" ca="false" dt2D="false" dtr="false" t="normal">+N480-'Приложение №2'!E480</f>
        <v>0</v>
      </c>
      <c r="AQ480" s="1" t="n">
        <f aca="false" ca="false" dt2D="false" dtr="false" t="normal">1025494.69-680454.39</f>
        <v>345040.29999999993</v>
      </c>
      <c r="AR480" s="3" t="n">
        <f aca="false" ca="false" dt2D="false" dtr="false" t="normal">+(K480*10+L480*20)*12*0.85</f>
        <v>307927.8</v>
      </c>
      <c r="AS480" s="3" t="n">
        <f aca="false" ca="false" dt2D="false" dtr="false" t="normal">+(K480*10+L480*20)*12*30-16805.39</f>
        <v>10851234.61</v>
      </c>
      <c r="AT480" s="9" t="n">
        <f aca="false" ca="false" dt2D="false" dtr="false" t="normal">+S480-AS480</f>
        <v>-3066222.3</v>
      </c>
      <c r="AU480" s="9" t="e">
        <f aca="false" ca="false" dt2D="false" dtr="false" t="normal">+P480-'[5]Приложение №1'!$P457</f>
        <v>#REF!</v>
      </c>
      <c r="AV480" s="9" t="e">
        <f aca="false" ca="false" dt2D="false" dtr="false" t="normal">+Q480-'[5]Приложение №1'!$Q457</f>
        <v>#REF!</v>
      </c>
      <c r="AW480" s="113" t="n">
        <f aca="false" ca="true" dt2D="false" dtr="false" t="normal">SUBTOTAL(9, AX480:BL480)</f>
        <v>13274787.34</v>
      </c>
      <c r="AX480" s="106" t="n">
        <v>0</v>
      </c>
      <c r="AY480" s="106" t="n">
        <v>0</v>
      </c>
      <c r="AZ480" s="106" t="n">
        <v>0</v>
      </c>
      <c r="BA480" s="106" t="n">
        <v>0</v>
      </c>
      <c r="BB480" s="106" t="n">
        <v>0</v>
      </c>
      <c r="BC480" s="106" t="n"/>
      <c r="BD480" s="106" t="n"/>
      <c r="BE480" s="106" t="n">
        <v>0</v>
      </c>
      <c r="BF480" s="106" t="n">
        <v>0</v>
      </c>
      <c r="BG480" s="106" t="n">
        <v>0</v>
      </c>
      <c r="BH480" s="106" t="n">
        <v>7231455.42</v>
      </c>
      <c r="BI480" s="106" t="n">
        <v>5881945.19</v>
      </c>
      <c r="BJ480" s="106" t="n"/>
      <c r="BK480" s="114" t="n"/>
      <c r="BL480" s="187" t="n">
        <v>161386.73</v>
      </c>
      <c r="BM480" s="113" t="n">
        <f aca="false" ca="true" dt2D="false" dtr="false" t="normal">SUBTOTAL(9, BN480:CB480)</f>
        <v>13274787.34</v>
      </c>
      <c r="BN480" s="106" t="n">
        <v>0</v>
      </c>
      <c r="BO480" s="106" t="n">
        <v>0</v>
      </c>
      <c r="BP480" s="106" t="n">
        <v>0</v>
      </c>
      <c r="BQ480" s="106" t="n">
        <v>0</v>
      </c>
      <c r="BR480" s="106" t="n">
        <v>0</v>
      </c>
      <c r="BS480" s="106" t="n"/>
      <c r="BT480" s="106" t="n"/>
      <c r="BU480" s="106" t="n">
        <v>0</v>
      </c>
      <c r="BV480" s="106" t="n">
        <v>0</v>
      </c>
      <c r="BW480" s="106" t="n">
        <v>0</v>
      </c>
      <c r="BX480" s="106" t="n">
        <v>7231455.42</v>
      </c>
      <c r="BY480" s="106" t="n">
        <v>5881945.19</v>
      </c>
      <c r="BZ480" s="106" t="n"/>
      <c r="CA480" s="114" t="n"/>
      <c r="CB480" s="187" t="n">
        <v>161386.73</v>
      </c>
      <c r="CD480" s="116" t="n">
        <f aca="false" ca="false" dt2D="false" dtr="false" t="normal">+CD479+1</f>
        <v>459</v>
      </c>
      <c r="CE480" s="117" t="n">
        <f aca="false" ca="false" dt2D="false" dtr="false" t="normal">+CE479+1</f>
        <v>240</v>
      </c>
      <c r="CF480" s="104" t="s">
        <v>283</v>
      </c>
      <c r="CG480" s="117" t="s">
        <v>512</v>
      </c>
      <c r="CH480" s="118" t="n">
        <f aca="false" ca="true" dt2D="false" dtr="false" t="normal">SUBTOTAL(9, CI480:CW480)</f>
        <v>9518715.55</v>
      </c>
      <c r="CI480" s="114" t="n">
        <v>0</v>
      </c>
      <c r="CJ480" s="114" t="n">
        <v>0</v>
      </c>
      <c r="CK480" s="114" t="n">
        <v>0</v>
      </c>
      <c r="CL480" s="114" t="n">
        <v>0</v>
      </c>
      <c r="CM480" s="114" t="n">
        <v>0</v>
      </c>
      <c r="CN480" s="114" t="n"/>
      <c r="CO480" s="114" t="n"/>
      <c r="CP480" s="114" t="n">
        <v>0</v>
      </c>
      <c r="CQ480" s="114" t="n">
        <v>0</v>
      </c>
      <c r="CR480" s="114" t="n">
        <v>0</v>
      </c>
      <c r="CS480" s="114" t="n">
        <v>7030996.8</v>
      </c>
      <c r="CT480" s="114" t="n">
        <v>2326332.02</v>
      </c>
      <c r="CU480" s="114" t="n"/>
      <c r="CV480" s="114" t="n"/>
      <c r="CW480" s="115" t="n">
        <v>161386.73</v>
      </c>
      <c r="CZ480" s="117" t="s">
        <v>512</v>
      </c>
      <c r="DA480" s="119" t="n">
        <f aca="false" ca="true" dt2D="false" dtr="false" t="normal">SUBTOTAL(9, DB480:DP480)</f>
        <v>9357328.82</v>
      </c>
      <c r="DB480" s="114" t="n">
        <v>0</v>
      </c>
      <c r="DC480" s="114" t="n">
        <v>0</v>
      </c>
      <c r="DD480" s="114" t="n">
        <v>0</v>
      </c>
      <c r="DE480" s="114" t="n">
        <v>0</v>
      </c>
      <c r="DF480" s="114" t="n">
        <v>0</v>
      </c>
      <c r="DG480" s="114" t="n"/>
      <c r="DH480" s="114" t="n"/>
      <c r="DI480" s="114" t="n">
        <v>0</v>
      </c>
      <c r="DJ480" s="114" t="n">
        <v>0</v>
      </c>
      <c r="DK480" s="114" t="n">
        <v>0</v>
      </c>
      <c r="DL480" s="114" t="n">
        <v>7030996.8</v>
      </c>
      <c r="DM480" s="114" t="n">
        <v>2326332.02</v>
      </c>
      <c r="DN480" s="114" t="n"/>
      <c r="DO480" s="114" t="n"/>
      <c r="DP480" s="122" t="n"/>
      <c r="DQ480" s="3" t="n"/>
      <c r="DS480" s="9" t="n"/>
    </row>
    <row customFormat="true" customHeight="true" hidden="false" ht="17.25" outlineLevel="0" r="481" s="149">
      <c r="D481" s="74" t="n">
        <v>2024</v>
      </c>
      <c r="E481" s="150" t="n"/>
      <c r="F481" s="150" t="n"/>
      <c r="G481" s="150" t="n"/>
      <c r="H481" s="150" t="n"/>
      <c r="I481" s="150" t="n"/>
      <c r="J481" s="152" t="n">
        <f aca="false" ca="false" dt2D="false" dtr="false" t="normal">SUM(J482:J597, J599:J831)</f>
        <v>1324748.6400000008</v>
      </c>
      <c r="K481" s="152" t="n">
        <f aca="false" ca="false" dt2D="false" dtr="false" t="normal">SUM(K482:K597, K599:K831)</f>
        <v>1094353.3099999998</v>
      </c>
      <c r="L481" s="152" t="n">
        <f aca="false" ca="false" dt2D="false" dtr="false" t="normal">SUM(L482:L597, L599:L831)</f>
        <v>58045.49999999999</v>
      </c>
      <c r="M481" s="152" t="n">
        <f aca="false" ca="false" dt2D="false" dtr="false" t="normal">SUM(M482:M597, M599:M831)</f>
        <v>45614</v>
      </c>
      <c r="N481" s="151" t="n">
        <f aca="false" ca="false" dt2D="false" dtr="false" t="normal">SUM(P481:T481)</f>
        <v>3746953688.650001</v>
      </c>
      <c r="O481" s="152" t="n">
        <v>0</v>
      </c>
      <c r="P481" s="152" t="n">
        <f aca="false" ca="false" dt2D="false" dtr="false" t="normal">SUM(P482:P831)</f>
        <v>444755620.00000006</v>
      </c>
      <c r="Q481" s="152" t="n">
        <f aca="false" ca="false" dt2D="false" dtr="false" t="normal">SUM(Q482:Q832)</f>
        <v>105746703.85999998</v>
      </c>
      <c r="R481" s="152" t="n">
        <f aca="false" ca="false" dt2D="false" dtr="false" t="normal">SUM(R482:R831)</f>
        <v>496992245.23000026</v>
      </c>
      <c r="S481" s="152" t="n">
        <f aca="false" ca="false" dt2D="false" dtr="false" t="normal">SUM(S482:S831)</f>
        <v>1591378473.1800008</v>
      </c>
      <c r="T481" s="152" t="n">
        <f aca="false" ca="false" dt2D="false" dtr="false" t="normal">SUM(T482:T831)</f>
        <v>1108080646.38</v>
      </c>
      <c r="U481" s="233" t="n"/>
      <c r="V481" s="233" t="n"/>
      <c r="W481" s="154" t="n"/>
      <c r="AP481" s="95" t="n">
        <f aca="false" ca="false" dt2D="false" dtr="false" t="normal">+N481-'Приложение №2'!E481</f>
        <v>0</v>
      </c>
      <c r="AR481" s="175" t="n"/>
      <c r="AS481" s="175" t="n"/>
      <c r="AT481" s="171" t="n">
        <f aca="false" ca="false" dt2D="false" dtr="false" t="normal">+S481-AS481</f>
        <v>1591378473.1800008</v>
      </c>
      <c r="AW481" s="151" t="n">
        <f aca="false" ca="false" dt2D="false" dtr="false" t="normal">SUM(AX481:BL481)</f>
        <v>4430822230.489073</v>
      </c>
      <c r="AX481" s="151" t="n">
        <f aca="false" ca="false" dt2D="false" dtr="false" t="normal">SUM(AX482:AX831)</f>
        <v>879217460.0904728</v>
      </c>
      <c r="AY481" s="151" t="n">
        <f aca="false" ca="false" dt2D="false" dtr="false" t="normal">SUM(AY482:AY831)</f>
        <v>266772308.5122468</v>
      </c>
      <c r="AZ481" s="151" t="n">
        <f aca="false" ca="false" dt2D="false" dtr="false" t="normal">SUM(AZ482:AZ831)</f>
        <v>353676882.5333782</v>
      </c>
      <c r="BA481" s="151" t="n">
        <f aca="false" ca="false" dt2D="false" dtr="false" t="normal">SUM(BA482:BA831)</f>
        <v>208931808.42858446</v>
      </c>
      <c r="BB481" s="151" t="n">
        <f aca="false" ca="false" dt2D="false" dtr="false" t="normal">SUM(BB482:BB831)</f>
        <v>68325175.3621567</v>
      </c>
      <c r="BC481" s="151" t="n">
        <f aca="false" ca="false" dt2D="false" dtr="false" t="normal">SUM(BC482:BC831)</f>
        <v>0</v>
      </c>
      <c r="BD481" s="151" t="n">
        <f aca="false" ca="false" dt2D="false" dtr="false" t="normal">SUM(BD482:BD831)</f>
        <v>30911774.13526704</v>
      </c>
      <c r="BE481" s="151" t="n">
        <f aca="false" ca="false" dt2D="false" dtr="false" t="normal">SUM(BE482:BE831)</f>
        <v>224590907.9046884</v>
      </c>
      <c r="BF481" s="151" t="n">
        <f aca="false" ca="false" dt2D="false" dtr="false" t="normal">SUM(BF482:BF831)</f>
        <v>613512482.0586214</v>
      </c>
      <c r="BG481" s="151" t="n">
        <f aca="false" ca="false" dt2D="false" dtr="false" t="normal">SUM(BG482:BG831)</f>
        <v>151048211.3635667</v>
      </c>
      <c r="BH481" s="151" t="n">
        <f aca="false" ca="false" dt2D="false" dtr="false" t="normal">SUM(BH482:BH831)</f>
        <v>1094209619.386209</v>
      </c>
      <c r="BI481" s="151" t="n">
        <f aca="false" ca="false" dt2D="false" dtr="false" t="normal">SUM(BI482:BI831)</f>
        <v>331618644.0573352</v>
      </c>
      <c r="BJ481" s="151" t="n">
        <f aca="false" ca="false" dt2D="false" dtr="false" t="normal">SUM(BJ482:BJ831)</f>
        <v>76843496.86183375</v>
      </c>
      <c r="BK481" s="151" t="n">
        <f aca="false" ca="false" dt2D="false" dtr="false" t="normal">SUM(BK482:BK831)</f>
        <v>9995217.006193753</v>
      </c>
      <c r="BL481" s="234" t="n">
        <f aca="false" ca="false" dt2D="false" dtr="false" t="normal">SUM(BL482:BL831)</f>
        <v>121168242.78851758</v>
      </c>
      <c r="BM481" s="235" t="n">
        <f aca="false" ca="false" dt2D="false" dtr="false" t="normal">SUM(BN481:CB481)</f>
        <v>4371513625.516139</v>
      </c>
      <c r="BN481" s="151" t="n">
        <f aca="false" ca="false" dt2D="false" dtr="false" t="normal">SUM(BN482:BN831)</f>
        <v>875186676.4226385</v>
      </c>
      <c r="BO481" s="151" t="n">
        <f aca="false" ca="false" dt2D="false" dtr="false" t="normal">SUM(BO482:BO831)</f>
        <v>266772308.5122468</v>
      </c>
      <c r="BP481" s="151" t="n">
        <f aca="false" ca="false" dt2D="false" dtr="false" t="normal">SUM(BP482:BP831)</f>
        <v>351928482.94077057</v>
      </c>
      <c r="BQ481" s="151" t="n">
        <f aca="false" ca="false" dt2D="false" dtr="false" t="normal">SUM(BQ482:BQ831)</f>
        <v>207595987.38563383</v>
      </c>
      <c r="BR481" s="151" t="n">
        <f aca="false" ca="false" dt2D="false" dtr="false" t="normal">SUM(BR482:BR831)</f>
        <v>68352447.2276197</v>
      </c>
      <c r="BS481" s="151" t="n">
        <f aca="false" ca="false" dt2D="false" dtr="false" t="normal">SUM(BS482:BS831)</f>
        <v>0</v>
      </c>
      <c r="BT481" s="151" t="n">
        <f aca="false" ca="false" dt2D="false" dtr="false" t="normal">SUM(BT482:BT831)</f>
        <v>30911774.13526704</v>
      </c>
      <c r="BU481" s="151" t="n">
        <f aca="false" ca="false" dt2D="false" dtr="false" t="normal">SUM(BU482:BU831)</f>
        <v>224590907.9046884</v>
      </c>
      <c r="BV481" s="151" t="n">
        <f aca="false" ca="false" dt2D="false" dtr="false" t="normal">SUM(BV482:BV831)</f>
        <v>588387294.716742</v>
      </c>
      <c r="BW481" s="151" t="n">
        <f aca="false" ca="false" dt2D="false" dtr="false" t="normal">SUM(BW482:BW831)</f>
        <v>149763630.7635667</v>
      </c>
      <c r="BX481" s="151" t="n">
        <f aca="false" ca="false" dt2D="false" dtr="false" t="normal">SUM(BX482:BX831)</f>
        <v>1070967891.1497743</v>
      </c>
      <c r="BY481" s="151" t="n">
        <f aca="false" ca="false" dt2D="false" dtr="false" t="normal">SUM(BY482:BY831)</f>
        <v>329049267.7006472</v>
      </c>
      <c r="BZ481" s="151" t="n">
        <f aca="false" ca="false" dt2D="false" dtr="false" t="normal">SUM(BZ482:BZ831)</f>
        <v>76843496.86183375</v>
      </c>
      <c r="CA481" s="151" t="n">
        <f aca="false" ca="false" dt2D="false" dtr="false" t="normal">SUM(CA482:CA831)</f>
        <v>9995217.006193753</v>
      </c>
      <c r="CB481" s="234" t="n">
        <f aca="false" ca="false" dt2D="false" dtr="false" t="normal">SUM(CB482:CB831)</f>
        <v>121168242.78851758</v>
      </c>
      <c r="CC481" s="1" t="n"/>
      <c r="CD481" s="236" t="n"/>
      <c r="CE481" s="237" t="n"/>
      <c r="CF481" s="237" t="n"/>
      <c r="CG481" s="238" t="n">
        <v>2024</v>
      </c>
      <c r="CH481" s="151" t="n">
        <f aca="false" ca="false" dt2D="false" dtr="false" t="normal">SUM(CH482:CH831)</f>
        <v>3807257076.2024484</v>
      </c>
      <c r="CI481" s="151" t="n">
        <f aca="false" ca="false" dt2D="false" dtr="false" t="normal">SUM(CI482:CI831)</f>
        <v>816627020.99</v>
      </c>
      <c r="CJ481" s="151" t="n">
        <f aca="false" ca="false" dt2D="false" dtr="false" t="normal">SUM(CJ482:CJ831)</f>
        <v>268798820.7699999</v>
      </c>
      <c r="CK481" s="151" t="n">
        <f aca="false" ca="false" dt2D="false" dtr="false" t="normal">SUM(CK482:CK831)</f>
        <v>305584226.0794401</v>
      </c>
      <c r="CL481" s="151" t="n">
        <f aca="false" ca="false" dt2D="false" dtr="false" t="normal">SUM(CL482:CL831)</f>
        <v>186243149.26999998</v>
      </c>
      <c r="CM481" s="151" t="n">
        <f aca="false" ca="false" dt2D="false" dtr="false" t="normal">SUM(CM482:CM831)</f>
        <v>70797284.06999998</v>
      </c>
      <c r="CN481" s="151" t="n">
        <f aca="false" ca="false" dt2D="false" dtr="false" t="normal">SUM(CN482:CN831)</f>
        <v>0</v>
      </c>
      <c r="CO481" s="151" t="n">
        <f aca="false" ca="false" dt2D="false" dtr="false" t="normal">SUM(CO482:CO831)</f>
        <v>0</v>
      </c>
      <c r="CP481" s="151" t="n">
        <f aca="false" ca="false" dt2D="false" dtr="false" t="normal">SUM(CP482:CP831)</f>
        <v>198675524.85999998</v>
      </c>
      <c r="CQ481" s="151" t="n">
        <f aca="false" ca="false" dt2D="false" dtr="false" t="normal">SUM(CQ482:CQ831)</f>
        <v>489930897.23300964</v>
      </c>
      <c r="CR481" s="151" t="n">
        <f aca="false" ca="false" dt2D="false" dtr="false" t="normal">SUM(CR482:CR831)</f>
        <v>140408390.76000002</v>
      </c>
      <c r="CS481" s="151" t="n">
        <f aca="false" ca="false" dt2D="false" dtr="false" t="normal">SUM(CS482:CS831)</f>
        <v>1018187642.6900003</v>
      </c>
      <c r="CT481" s="151" t="n">
        <f aca="false" ca="false" dt2D="false" dtr="false" t="normal">SUM(CT482:CT831)</f>
        <v>213038032.86</v>
      </c>
      <c r="CU481" s="151" t="n">
        <f aca="false" ca="false" dt2D="false" dtr="false" t="normal">SUM(CU482:CU831)</f>
        <v>9243803.190000001</v>
      </c>
      <c r="CV481" s="151" t="n">
        <f aca="false" ca="false" dt2D="false" dtr="false" t="normal">SUM(CV482:CV831)</f>
        <v>2092352.4500000002</v>
      </c>
      <c r="CW481" s="239" t="n">
        <f aca="false" ca="false" dt2D="false" dtr="false" t="normal">SUM(CW482:CW831)</f>
        <v>87629930.98</v>
      </c>
      <c r="CX481" s="9" t="n">
        <f aca="false" ca="false" dt2D="false" dtr="false" t="normal">+CH481-N481</f>
        <v>60303387.55244732</v>
      </c>
      <c r="CY481" s="1" t="n"/>
      <c r="CZ481" s="238" t="n">
        <v>2024</v>
      </c>
      <c r="DA481" s="181" t="n">
        <f aca="false" ca="false" dt2D="false" dtr="false" t="normal">SUM(DA482:DA831)</f>
        <v>3723145383.799448</v>
      </c>
      <c r="DB481" s="151" t="n">
        <f aca="false" ca="false" dt2D="false" dtr="false" t="normal">SUM(DB482:DB831)</f>
        <v>816627020.99</v>
      </c>
      <c r="DC481" s="151" t="n">
        <f aca="false" ca="false" dt2D="false" dtr="false" t="normal">SUM(DC482:DC831)</f>
        <v>268798820.7699999</v>
      </c>
      <c r="DD481" s="151" t="n">
        <f aca="false" ca="false" dt2D="false" dtr="false" t="normal">SUM(DD482:DD831)</f>
        <v>305584226.0794401</v>
      </c>
      <c r="DE481" s="151" t="n">
        <f aca="false" ca="false" dt2D="false" dtr="false" t="normal">SUM(DE482:DE831)</f>
        <v>186243149.26999998</v>
      </c>
      <c r="DF481" s="151" t="n">
        <f aca="false" ca="false" dt2D="false" dtr="false" t="normal">SUM(DF482:DF831)</f>
        <v>70797284.06999998</v>
      </c>
      <c r="DG481" s="151" t="n">
        <f aca="false" ca="false" dt2D="false" dtr="false" t="normal">SUM(DG482:DG831)</f>
        <v>0</v>
      </c>
      <c r="DH481" s="151" t="n">
        <f aca="false" ca="false" dt2D="false" dtr="false" t="normal">SUM(DH482:DH831)</f>
        <v>0</v>
      </c>
      <c r="DI481" s="151" t="n">
        <f aca="false" ca="false" dt2D="false" dtr="false" t="normal">SUM(DI482:DI831)</f>
        <v>198675524.85999998</v>
      </c>
      <c r="DJ481" s="151" t="n">
        <f aca="false" ca="false" dt2D="false" dtr="false" t="normal">SUM(DJ482:DJ831)</f>
        <v>489930897.23300964</v>
      </c>
      <c r="DK481" s="151" t="n">
        <f aca="false" ca="false" dt2D="false" dtr="false" t="normal">SUM(DK482:DK831)</f>
        <v>140408390.76000002</v>
      </c>
      <c r="DL481" s="151" t="n">
        <f aca="false" ca="false" dt2D="false" dtr="false" t="normal">SUM(DL482:DL831)</f>
        <v>1018187642.6900003</v>
      </c>
      <c r="DM481" s="151" t="n">
        <f aca="false" ca="false" dt2D="false" dtr="false" t="normal">SUM(DM482:DM831)</f>
        <v>213038032.86</v>
      </c>
      <c r="DN481" s="151" t="n">
        <f aca="false" ca="false" dt2D="false" dtr="false" t="normal">SUM(DN482:DN831)</f>
        <v>9243803.190000001</v>
      </c>
      <c r="DO481" s="151" t="n">
        <f aca="false" ca="false" dt2D="false" dtr="false" t="normal">SUM(DO482:DO831)</f>
        <v>2092352.4500000002</v>
      </c>
      <c r="DP481" s="239" t="n">
        <f aca="false" ca="false" dt2D="false" dtr="false" t="normal">SUM(DP482:DP831)</f>
        <v>3518238.5769999987</v>
      </c>
      <c r="DQ481" s="3" t="n"/>
      <c r="DR481" s="1" t="n"/>
      <c r="DS481" s="9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</row>
    <row customFormat="true" hidden="false" ht="15" outlineLevel="0" r="482" s="129">
      <c r="A482" s="183" t="n">
        <v>460</v>
      </c>
      <c r="B482" s="117" t="n">
        <f aca="false" ca="false" dt2D="false" dtr="false" t="normal">+B481+1</f>
        <v>1</v>
      </c>
      <c r="C482" s="104" t="s">
        <v>305</v>
      </c>
      <c r="D482" s="104" t="s">
        <v>513</v>
      </c>
      <c r="E482" s="105" t="s">
        <v>514</v>
      </c>
      <c r="F482" s="105" t="n"/>
      <c r="G482" s="105" t="s">
        <v>68</v>
      </c>
      <c r="H482" s="105" t="s">
        <v>126</v>
      </c>
      <c r="I482" s="105" t="s">
        <v>148</v>
      </c>
      <c r="J482" s="106" t="n">
        <v>11221.5</v>
      </c>
      <c r="K482" s="106" t="n">
        <v>7503.7</v>
      </c>
      <c r="L482" s="106" t="n">
        <v>56.5</v>
      </c>
      <c r="M482" s="107" t="n">
        <v>285</v>
      </c>
      <c r="N482" s="108" t="n">
        <f aca="false" ca="false" dt2D="false" dtr="false" t="normal">SUM(P482:T482)</f>
        <v>9000055.33</v>
      </c>
      <c r="O482" s="106" t="n">
        <v>0</v>
      </c>
      <c r="P482" s="114" t="n"/>
      <c r="Q482" s="114" t="n"/>
      <c r="R482" s="113" t="n">
        <v>5773243.8</v>
      </c>
      <c r="S482" s="113" t="n">
        <v>3226811.53</v>
      </c>
      <c r="T482" s="114" t="n"/>
      <c r="U482" s="114" t="n">
        <v>1707.57759505311</v>
      </c>
      <c r="V482" s="114" t="n">
        <v>1172.283020064</v>
      </c>
      <c r="W482" s="110" t="n">
        <v>2024</v>
      </c>
      <c r="X482" s="129" t="n">
        <v>3494459.14</v>
      </c>
      <c r="Y482" s="129" t="n">
        <f aca="false" ca="false" dt2D="false" dtr="false" t="normal">+(K482*12.08+L482*20.47)*12</f>
        <v>1101615.0119999999</v>
      </c>
      <c r="AA482" s="130" t="e">
        <f aca="false" ca="false" dt2D="false" dtr="false" t="normal">+N482-'[8]Приложение № 2'!E422</f>
        <v>#REF!</v>
      </c>
      <c r="AD482" s="130" t="e">
        <f aca="false" ca="false" dt2D="false" dtr="false" t="normal">+N482-'[8]Приложение № 2'!E422</f>
        <v>#REF!</v>
      </c>
      <c r="AP482" s="112" t="n">
        <f aca="false" ca="false" dt2D="false" dtr="false" t="normal">+N482-'Приложение №2'!E482</f>
        <v>0</v>
      </c>
      <c r="AQ482" s="129" t="n">
        <v>5336292.42</v>
      </c>
      <c r="AR482" s="3" t="n">
        <f aca="false" ca="false" dt2D="false" dtr="false" t="normal">+(K482*13.95+L482*23.65)*12*0.85</f>
        <v>1081330.968</v>
      </c>
      <c r="AS482" s="3" t="n">
        <f aca="false" ca="false" dt2D="false" dtr="false" t="normal">+(K482*13.95+L482*23.65)*12*30</f>
        <v>38164622.400000006</v>
      </c>
      <c r="AT482" s="9" t="n">
        <f aca="false" ca="false" dt2D="false" dtr="false" t="normal">+S482-AS482</f>
        <v>-34937810.870000005</v>
      </c>
      <c r="AU482" s="9" t="e">
        <f aca="false" ca="false" dt2D="false" dtr="false" t="normal">+P482-'[5]Приложение №1'!$P459</f>
        <v>#REF!</v>
      </c>
      <c r="AV482" s="9" t="e">
        <f aca="false" ca="false" dt2D="false" dtr="false" t="normal">+Q482-'[5]Приложение №1'!$Q459</f>
        <v>#REF!</v>
      </c>
      <c r="AW482" s="186" t="n">
        <f aca="false" ca="true" dt2D="false" dtr="false" t="normal">SUBTOTAL(9, AX482:BL482)</f>
        <v>12813150</v>
      </c>
      <c r="AX482" s="196" t="n">
        <v>0</v>
      </c>
      <c r="AY482" s="196" t="n">
        <v>0</v>
      </c>
      <c r="AZ482" s="196" t="n">
        <v>0</v>
      </c>
      <c r="BA482" s="196" t="n">
        <v>0</v>
      </c>
      <c r="BB482" s="196" t="n"/>
      <c r="BC482" s="196" t="n">
        <v>0</v>
      </c>
      <c r="BD482" s="196" t="n"/>
      <c r="BE482" s="196" t="n">
        <v>12037390.6464</v>
      </c>
      <c r="BF482" s="196" t="n">
        <v>0</v>
      </c>
      <c r="BG482" s="196" t="n">
        <v>0</v>
      </c>
      <c r="BH482" s="196" t="n">
        <v>0</v>
      </c>
      <c r="BI482" s="196" t="n">
        <v>0</v>
      </c>
      <c r="BJ482" s="196" t="n">
        <v>384394.5</v>
      </c>
      <c r="BK482" s="197" t="n">
        <v>128131.5</v>
      </c>
      <c r="BL482" s="199" t="n">
        <v>263233.3536</v>
      </c>
      <c r="BM482" s="186" t="n">
        <f aca="false" ca="true" dt2D="false" dtr="false" t="normal">SUBTOTAL(9, BN482:CB482)</f>
        <v>12813150</v>
      </c>
      <c r="BN482" s="196" t="n">
        <v>0</v>
      </c>
      <c r="BO482" s="196" t="n">
        <v>0</v>
      </c>
      <c r="BP482" s="196" t="n">
        <v>0</v>
      </c>
      <c r="BQ482" s="196" t="n">
        <v>0</v>
      </c>
      <c r="BR482" s="196" t="n"/>
      <c r="BS482" s="196" t="n">
        <v>0</v>
      </c>
      <c r="BT482" s="196" t="n"/>
      <c r="BU482" s="196" t="n">
        <v>12037390.6464</v>
      </c>
      <c r="BV482" s="196" t="n">
        <v>0</v>
      </c>
      <c r="BW482" s="196" t="n">
        <v>0</v>
      </c>
      <c r="BX482" s="196" t="n">
        <v>0</v>
      </c>
      <c r="BY482" s="196" t="n">
        <v>0</v>
      </c>
      <c r="BZ482" s="196" t="n">
        <v>384394.5</v>
      </c>
      <c r="CA482" s="197" t="n">
        <v>128131.5</v>
      </c>
      <c r="CB482" s="199" t="n">
        <v>263233.3536</v>
      </c>
      <c r="CC482" s="1" t="n"/>
      <c r="CD482" s="116" t="n">
        <v>460</v>
      </c>
      <c r="CE482" s="117" t="n">
        <f aca="false" ca="false" dt2D="false" dtr="false" t="normal">+CE481+1</f>
        <v>1</v>
      </c>
      <c r="CF482" s="104" t="s">
        <v>305</v>
      </c>
      <c r="CG482" s="117" t="s">
        <v>513</v>
      </c>
      <c r="CH482" s="108" t="n">
        <f aca="false" ca="false" dt2D="false" dtr="false" t="normal">SUM(CI482:CW482)</f>
        <v>12549916.65</v>
      </c>
      <c r="CI482" s="106" t="n">
        <v>0</v>
      </c>
      <c r="CJ482" s="114" t="n">
        <v>0</v>
      </c>
      <c r="CK482" s="114" t="n">
        <v>0</v>
      </c>
      <c r="CL482" s="106" t="n">
        <v>0</v>
      </c>
      <c r="CM482" s="114" t="n"/>
      <c r="CN482" s="114" t="n">
        <v>0</v>
      </c>
      <c r="CO482" s="106" t="n"/>
      <c r="CP482" s="114" t="n">
        <v>12037390.65</v>
      </c>
      <c r="CQ482" s="114" t="n">
        <v>0</v>
      </c>
      <c r="CR482" s="106" t="n">
        <v>0</v>
      </c>
      <c r="CS482" s="114" t="n">
        <v>0</v>
      </c>
      <c r="CT482" s="114" t="n">
        <v>0</v>
      </c>
      <c r="CU482" s="114" t="n">
        <v>384394.5</v>
      </c>
      <c r="CV482" s="114" t="n">
        <v>128131.5</v>
      </c>
      <c r="CW482" s="115" t="n"/>
      <c r="CX482" s="3" t="n">
        <f aca="false" ca="false" dt2D="false" dtr="false" t="normal">+N482-CH482</f>
        <v>-3549861.3200000003</v>
      </c>
      <c r="CY482" s="1" t="n"/>
      <c r="CZ482" s="117" t="s">
        <v>513</v>
      </c>
      <c r="DA482" s="113" t="n">
        <f aca="false" ca="false" dt2D="false" dtr="false" t="normal">SUM(DB482:DP482)</f>
        <v>12549916.65</v>
      </c>
      <c r="DB482" s="106" t="n">
        <v>0</v>
      </c>
      <c r="DC482" s="114" t="n">
        <v>0</v>
      </c>
      <c r="DD482" s="114" t="n">
        <v>0</v>
      </c>
      <c r="DE482" s="106" t="n">
        <v>0</v>
      </c>
      <c r="DF482" s="114" t="n"/>
      <c r="DG482" s="114" t="n">
        <v>0</v>
      </c>
      <c r="DH482" s="106" t="n"/>
      <c r="DI482" s="114" t="n">
        <v>12037390.65</v>
      </c>
      <c r="DJ482" s="114" t="n">
        <v>0</v>
      </c>
      <c r="DK482" s="106" t="n">
        <v>0</v>
      </c>
      <c r="DL482" s="114" t="n">
        <v>0</v>
      </c>
      <c r="DM482" s="114" t="n">
        <v>0</v>
      </c>
      <c r="DN482" s="114" t="n">
        <v>384394.5</v>
      </c>
      <c r="DO482" s="114" t="n">
        <v>128131.5</v>
      </c>
      <c r="DP482" s="240" t="n"/>
      <c r="DQ482" s="3" t="n"/>
      <c r="DR482" s="1" t="n"/>
      <c r="DS482" s="9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</row>
    <row customFormat="true" hidden="false" ht="15" outlineLevel="0" r="483" s="1">
      <c r="A483" s="183" t="n">
        <f aca="false" ca="false" dt2D="false" dtr="false" t="normal">+A482+1</f>
        <v>461</v>
      </c>
      <c r="B483" s="117" t="n">
        <f aca="false" ca="false" dt2D="false" dtr="false" t="normal">+B482+1</f>
        <v>2</v>
      </c>
      <c r="C483" s="104" t="s">
        <v>305</v>
      </c>
      <c r="D483" s="104" t="s">
        <v>515</v>
      </c>
      <c r="E483" s="105" t="n">
        <v>1991</v>
      </c>
      <c r="F483" s="105" t="n">
        <v>2015</v>
      </c>
      <c r="G483" s="105" t="s">
        <v>68</v>
      </c>
      <c r="H483" s="105" t="n">
        <v>5</v>
      </c>
      <c r="I483" s="105" t="n">
        <v>5</v>
      </c>
      <c r="J483" s="106" t="n">
        <v>11474.2</v>
      </c>
      <c r="K483" s="106" t="n">
        <v>7084.2</v>
      </c>
      <c r="L483" s="106" t="n">
        <v>82.6</v>
      </c>
      <c r="M483" s="107" t="n">
        <v>178</v>
      </c>
      <c r="N483" s="108" t="n">
        <f aca="false" ca="false" dt2D="false" dtr="false" t="normal">SUM(P483:T483)</f>
        <v>14405926.62</v>
      </c>
      <c r="O483" s="106" t="n"/>
      <c r="P483" s="114" t="n"/>
      <c r="Q483" s="114" t="n"/>
      <c r="R483" s="113" t="n">
        <v>4817746.92</v>
      </c>
      <c r="S483" s="113" t="n">
        <v>9588179.7</v>
      </c>
      <c r="T483" s="114" t="n"/>
      <c r="U483" s="114" t="n">
        <v>2077.99822914089</v>
      </c>
      <c r="V483" s="114" t="n">
        <v>1176.283020064</v>
      </c>
      <c r="W483" s="110" t="n">
        <v>2024</v>
      </c>
      <c r="X483" s="9" t="e">
        <f aca="false" ca="false" dt2D="false" dtr="false" t="normal">+#REF!-'[9]Приложение №1'!$P360</f>
        <v>#REF!</v>
      </c>
      <c r="Z483" s="113" t="n">
        <f aca="false" ca="false" dt2D="false" dtr="false" t="normal">SUM(AA483:AO483)</f>
        <v>12331740.678400008</v>
      </c>
      <c r="AA483" s="106" t="n">
        <v>0</v>
      </c>
      <c r="AB483" s="106" t="n">
        <v>0</v>
      </c>
      <c r="AC483" s="106" t="n">
        <v>0</v>
      </c>
      <c r="AD483" s="106" t="n">
        <v>0</v>
      </c>
      <c r="AE483" s="106" t="n">
        <v>0</v>
      </c>
      <c r="AF483" s="106" t="n"/>
      <c r="AG483" s="106" t="n">
        <v>0</v>
      </c>
      <c r="AH483" s="106" t="n">
        <v>0</v>
      </c>
      <c r="AI483" s="106" t="n">
        <v>0</v>
      </c>
      <c r="AJ483" s="106" t="n">
        <v>10740378.8708152</v>
      </c>
      <c r="AK483" s="106" t="n">
        <v>0</v>
      </c>
      <c r="AL483" s="106" t="n">
        <v>0</v>
      </c>
      <c r="AM483" s="106" t="n">
        <v>1233174.06784</v>
      </c>
      <c r="AN483" s="114" t="n">
        <v>123317.406784</v>
      </c>
      <c r="AO483" s="115" t="n">
        <v>234870.332960806</v>
      </c>
      <c r="AP483" s="112" t="n">
        <f aca="false" ca="false" dt2D="false" dtr="false" t="normal">+N483-'Приложение №2'!E483</f>
        <v>0</v>
      </c>
      <c r="AQ483" s="1" t="n">
        <v>4356364.62</v>
      </c>
      <c r="AR483" s="3" t="n">
        <f aca="false" ca="false" dt2D="false" dtr="false" t="normal">+(K483*10.5+L483*21)*12*0.85</f>
        <v>776410.7399999999</v>
      </c>
      <c r="AS483" s="3" t="n">
        <f aca="false" ca="false" dt2D="false" dtr="false" t="normal">+(K483*10.5+L483*21)*12*30</f>
        <v>27402731.999999996</v>
      </c>
      <c r="AT483" s="9" t="n">
        <f aca="false" ca="false" dt2D="false" dtr="false" t="normal">+S483-AS483</f>
        <v>-17814552.299999997</v>
      </c>
      <c r="AU483" s="9" t="e">
        <f aca="false" ca="false" dt2D="false" dtr="false" t="normal">+P483-'[5]Приложение №1'!$P463</f>
        <v>#REF!</v>
      </c>
      <c r="AV483" s="9" t="e">
        <f aca="false" ca="false" dt2D="false" dtr="false" t="normal">+Q483-'[5]Приложение №1'!$Q463</f>
        <v>#REF!</v>
      </c>
      <c r="AW483" s="186" t="n">
        <f aca="false" ca="true" dt2D="false" dtr="false" t="normal">SUBTOTAL(9, AX483:BL483)</f>
        <v>14720955.05487983</v>
      </c>
      <c r="AX483" s="106" t="n">
        <v>0</v>
      </c>
      <c r="AY483" s="106" t="n">
        <v>0</v>
      </c>
      <c r="AZ483" s="106" t="n">
        <v>0</v>
      </c>
      <c r="BA483" s="106" t="n">
        <v>0</v>
      </c>
      <c r="BB483" s="106" t="n">
        <v>0</v>
      </c>
      <c r="BC483" s="106" t="n"/>
      <c r="BD483" s="106" t="n"/>
      <c r="BE483" s="106" t="n">
        <v>0</v>
      </c>
      <c r="BF483" s="106" t="n">
        <v>0</v>
      </c>
      <c r="BG483" s="106" t="n">
        <v>14405926.6167054</v>
      </c>
      <c r="BH483" s="106" t="n">
        <v>0</v>
      </c>
      <c r="BI483" s="106" t="n">
        <v>0</v>
      </c>
      <c r="BJ483" s="106" t="n"/>
      <c r="BK483" s="114" t="n"/>
      <c r="BL483" s="115" t="n">
        <v>315028.438174429</v>
      </c>
      <c r="BM483" s="186" t="n">
        <f aca="false" ca="true" dt2D="false" dtr="false" t="normal">SUBTOTAL(9, BN483:CB483)</f>
        <v>14720955.05487983</v>
      </c>
      <c r="BN483" s="106" t="n">
        <v>0</v>
      </c>
      <c r="BO483" s="106" t="n">
        <v>0</v>
      </c>
      <c r="BP483" s="106" t="n">
        <v>0</v>
      </c>
      <c r="BQ483" s="106" t="n">
        <v>0</v>
      </c>
      <c r="BR483" s="106" t="n">
        <v>0</v>
      </c>
      <c r="BS483" s="106" t="n"/>
      <c r="BT483" s="106" t="n"/>
      <c r="BU483" s="106" t="n">
        <v>0</v>
      </c>
      <c r="BV483" s="106" t="n">
        <v>0</v>
      </c>
      <c r="BW483" s="106" t="n">
        <v>14405926.6167054</v>
      </c>
      <c r="BX483" s="106" t="n">
        <v>0</v>
      </c>
      <c r="BY483" s="106" t="n">
        <v>0</v>
      </c>
      <c r="BZ483" s="106" t="n"/>
      <c r="CA483" s="114" t="n"/>
      <c r="CB483" s="187" t="n">
        <v>315028.438174429</v>
      </c>
      <c r="CD483" s="116" t="n">
        <f aca="false" ca="false" dt2D="false" dtr="false" t="normal">+CD482+1</f>
        <v>461</v>
      </c>
      <c r="CE483" s="117" t="n">
        <f aca="false" ca="false" dt2D="false" dtr="false" t="normal">+CE482+1</f>
        <v>2</v>
      </c>
      <c r="CF483" s="104" t="s">
        <v>305</v>
      </c>
      <c r="CG483" s="117" t="s">
        <v>515</v>
      </c>
      <c r="CH483" s="108" t="n">
        <f aca="false" ca="true" dt2D="false" dtr="false" t="normal">SUBTOTAL(9, CI483:CW483)</f>
        <v>14405926.62</v>
      </c>
      <c r="CI483" s="106" t="n">
        <v>0</v>
      </c>
      <c r="CJ483" s="114" t="n">
        <v>0</v>
      </c>
      <c r="CK483" s="114" t="n">
        <v>0</v>
      </c>
      <c r="CL483" s="106" t="n">
        <v>0</v>
      </c>
      <c r="CM483" s="114" t="n">
        <v>0</v>
      </c>
      <c r="CN483" s="114" t="n"/>
      <c r="CO483" s="106" t="n"/>
      <c r="CP483" s="114" t="n">
        <v>0</v>
      </c>
      <c r="CQ483" s="114" t="n">
        <v>0</v>
      </c>
      <c r="CR483" s="106" t="n">
        <v>14405926.62</v>
      </c>
      <c r="CS483" s="114" t="n">
        <v>0</v>
      </c>
      <c r="CT483" s="114" t="n">
        <v>0</v>
      </c>
      <c r="CU483" s="114" t="n"/>
      <c r="CV483" s="114" t="n"/>
      <c r="CW483" s="115" t="n"/>
      <c r="CX483" s="3" t="n">
        <f aca="false" ca="false" dt2D="false" dtr="false" t="normal">+N483-CH483</f>
        <v>0</v>
      </c>
      <c r="CZ483" s="117" t="s">
        <v>515</v>
      </c>
      <c r="DA483" s="113" t="n">
        <f aca="false" ca="true" dt2D="false" dtr="false" t="normal">SUBTOTAL(9, DB483:DP483)</f>
        <v>14405926.62</v>
      </c>
      <c r="DB483" s="106" t="n">
        <v>0</v>
      </c>
      <c r="DC483" s="114" t="n">
        <v>0</v>
      </c>
      <c r="DD483" s="114" t="n">
        <v>0</v>
      </c>
      <c r="DE483" s="106" t="n">
        <v>0</v>
      </c>
      <c r="DF483" s="114" t="n">
        <v>0</v>
      </c>
      <c r="DG483" s="114" t="n"/>
      <c r="DH483" s="106" t="n"/>
      <c r="DI483" s="114" t="n">
        <v>0</v>
      </c>
      <c r="DJ483" s="114" t="n">
        <v>0</v>
      </c>
      <c r="DK483" s="106" t="n">
        <v>14405926.62</v>
      </c>
      <c r="DL483" s="114" t="n">
        <v>0</v>
      </c>
      <c r="DM483" s="114" t="n">
        <v>0</v>
      </c>
      <c r="DN483" s="114" t="n"/>
      <c r="DO483" s="114" t="n"/>
      <c r="DP483" s="240" t="n"/>
      <c r="DQ483" s="3" t="n"/>
      <c r="DR483" s="1" t="n"/>
      <c r="DS483" s="9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</row>
    <row customFormat="true" hidden="false" ht="15" outlineLevel="0" r="484" s="1">
      <c r="A484" s="183" t="n">
        <f aca="false" ca="false" dt2D="false" dtr="false" t="normal">+A483+1</f>
        <v>462</v>
      </c>
      <c r="B484" s="117" t="n">
        <f aca="false" ca="false" dt2D="false" dtr="false" t="normal">+B483+1</f>
        <v>3</v>
      </c>
      <c r="C484" s="104" t="s">
        <v>305</v>
      </c>
      <c r="D484" s="104" t="s">
        <v>516</v>
      </c>
      <c r="E484" s="105" t="n">
        <v>1993</v>
      </c>
      <c r="F484" s="105" t="n">
        <v>2013</v>
      </c>
      <c r="G484" s="105" t="s">
        <v>68</v>
      </c>
      <c r="H484" s="105" t="n">
        <v>9</v>
      </c>
      <c r="I484" s="105" t="n">
        <v>5</v>
      </c>
      <c r="J484" s="106" t="n">
        <v>19441.7</v>
      </c>
      <c r="K484" s="106" t="n">
        <v>13182.1</v>
      </c>
      <c r="L484" s="106" t="n">
        <v>0</v>
      </c>
      <c r="M484" s="107" t="n">
        <v>478</v>
      </c>
      <c r="N484" s="108" t="n">
        <f aca="false" ca="false" dt2D="false" dtr="false" t="normal">SUM(P484:T484)</f>
        <v>39978559.15</v>
      </c>
      <c r="O484" s="106" t="n"/>
      <c r="P484" s="114" t="n"/>
      <c r="Q484" s="114" t="n"/>
      <c r="R484" s="113" t="n">
        <v>5380304.07</v>
      </c>
      <c r="S484" s="113" t="n">
        <v>34598255.08</v>
      </c>
      <c r="T484" s="114" t="n"/>
      <c r="U484" s="114" t="n">
        <v>2885.28697522024</v>
      </c>
      <c r="V484" s="114" t="n">
        <v>1177.283020064</v>
      </c>
      <c r="W484" s="110" t="n">
        <v>2024</v>
      </c>
      <c r="X484" s="9" t="e">
        <f aca="false" ca="false" dt2D="false" dtr="false" t="normal">+#REF!-'[9]Приложение №1'!$P361</f>
        <v>#REF!</v>
      </c>
      <c r="Z484" s="113" t="n">
        <f aca="false" ca="false" dt2D="false" dtr="false" t="normal">SUM(AA484:AO484)</f>
        <v>35897392.059609585</v>
      </c>
      <c r="AA484" s="106" t="n">
        <v>0</v>
      </c>
      <c r="AB484" s="106" t="n">
        <v>0</v>
      </c>
      <c r="AC484" s="106" t="n">
        <v>9324692.0449531</v>
      </c>
      <c r="AD484" s="106" t="n">
        <v>0</v>
      </c>
      <c r="AE484" s="106" t="n">
        <v>0</v>
      </c>
      <c r="AF484" s="106" t="n"/>
      <c r="AG484" s="106" t="n">
        <v>0</v>
      </c>
      <c r="AH484" s="106" t="n">
        <v>0</v>
      </c>
      <c r="AI484" s="106" t="n">
        <v>0</v>
      </c>
      <c r="AJ484" s="106" t="n">
        <v>21940285.1589321</v>
      </c>
      <c r="AK484" s="106" t="n">
        <v>0</v>
      </c>
      <c r="AL484" s="106" t="n">
        <v>0</v>
      </c>
      <c r="AM484" s="106" t="n">
        <v>3589739.20596096</v>
      </c>
      <c r="AN484" s="114" t="n">
        <v>358973.920596096</v>
      </c>
      <c r="AO484" s="115" t="n">
        <v>683701.729167325</v>
      </c>
      <c r="AP484" s="112" t="n">
        <f aca="false" ca="false" dt2D="false" dtr="false" t="normal">+N484-'Приложение №2'!E484</f>
        <v>0</v>
      </c>
      <c r="AQ484" s="1" t="n">
        <f aca="false" ca="false" dt2D="false" dtr="false" t="normal">10027782.74-4892369.7628-1630789.92</f>
        <v>3504623.0572000006</v>
      </c>
      <c r="AR484" s="3" t="n">
        <f aca="false" ca="false" dt2D="false" dtr="false" t="normal">+(K484*13.95+L484*23.65)*12*0.85</f>
        <v>1875681.009</v>
      </c>
      <c r="AS484" s="3" t="n">
        <f aca="false" ca="false" dt2D="false" dtr="false" t="normal">+(K484*13.95+L484*23.65)*12*30-2885417.2772-5487600.1</f>
        <v>57827488.8228</v>
      </c>
      <c r="AT484" s="9" t="n">
        <f aca="false" ca="false" dt2D="false" dtr="false" t="normal">+S484-AS484</f>
        <v>-23229233.742800005</v>
      </c>
      <c r="AU484" s="9" t="e">
        <f aca="false" ca="false" dt2D="false" dtr="false" t="normal">+P484-'[5]Приложение №1'!$P464</f>
        <v>#REF!</v>
      </c>
      <c r="AV484" s="9" t="e">
        <f aca="false" ca="false" dt2D="false" dtr="false" t="normal">+Q484-'[5]Приложение №1'!$Q464</f>
        <v>#REF!</v>
      </c>
      <c r="AW484" s="186" t="n">
        <f aca="false" ca="true" dt2D="false" dtr="false" t="normal">SUBTOTAL(9, AX484:BL484)</f>
        <v>38034141.43605079</v>
      </c>
      <c r="AX484" s="106" t="n">
        <v>0</v>
      </c>
      <c r="AY484" s="106" t="n">
        <v>0</v>
      </c>
      <c r="AZ484" s="106" t="n">
        <v>11100823.8189922</v>
      </c>
      <c r="BA484" s="106" t="n">
        <v>0</v>
      </c>
      <c r="BB484" s="106" t="n">
        <v>0</v>
      </c>
      <c r="BC484" s="106" t="n"/>
      <c r="BD484" s="106" t="n">
        <v>0</v>
      </c>
      <c r="BE484" s="106" t="n">
        <v>0</v>
      </c>
      <c r="BF484" s="106" t="n">
        <v>0</v>
      </c>
      <c r="BG484" s="106" t="n">
        <v>26119386.9903271</v>
      </c>
      <c r="BH484" s="106" t="n">
        <v>0</v>
      </c>
      <c r="BI484" s="106" t="n">
        <v>0</v>
      </c>
      <c r="BJ484" s="106" t="n"/>
      <c r="BK484" s="114" t="n"/>
      <c r="BL484" s="115" t="n">
        <v>813930.626731486</v>
      </c>
      <c r="BM484" s="186" t="n">
        <f aca="false" ca="true" dt2D="false" dtr="false" t="normal">SUBTOTAL(9, BN484:CB484)</f>
        <v>38034141.43605079</v>
      </c>
      <c r="BN484" s="106" t="n">
        <v>0</v>
      </c>
      <c r="BO484" s="106" t="n">
        <v>0</v>
      </c>
      <c r="BP484" s="106" t="n">
        <v>11100823.8189922</v>
      </c>
      <c r="BQ484" s="106" t="n">
        <v>0</v>
      </c>
      <c r="BR484" s="106" t="n">
        <v>0</v>
      </c>
      <c r="BS484" s="106" t="n"/>
      <c r="BT484" s="106" t="n">
        <v>0</v>
      </c>
      <c r="BU484" s="106" t="n">
        <v>0</v>
      </c>
      <c r="BV484" s="106" t="n">
        <v>0</v>
      </c>
      <c r="BW484" s="106" t="n">
        <v>26119386.9903271</v>
      </c>
      <c r="BX484" s="106" t="n">
        <v>0</v>
      </c>
      <c r="BY484" s="106" t="n">
        <v>0</v>
      </c>
      <c r="BZ484" s="106" t="n"/>
      <c r="CA484" s="114" t="n"/>
      <c r="CB484" s="115" t="n">
        <v>813930.626731486</v>
      </c>
      <c r="CD484" s="116" t="n">
        <f aca="false" ca="false" dt2D="false" dtr="false" t="normal">+CD483+1</f>
        <v>462</v>
      </c>
      <c r="CE484" s="117" t="n">
        <f aca="false" ca="false" dt2D="false" dtr="false" t="normal">+CE483+1</f>
        <v>3</v>
      </c>
      <c r="CF484" s="104" t="s">
        <v>305</v>
      </c>
      <c r="CG484" s="117" t="s">
        <v>516</v>
      </c>
      <c r="CH484" s="108" t="n">
        <f aca="false" ca="true" dt2D="false" dtr="false" t="normal">SUBTOTAL(9, CI484:CW484)</f>
        <v>40792489.78</v>
      </c>
      <c r="CI484" s="106" t="n">
        <v>0</v>
      </c>
      <c r="CJ484" s="114" t="n">
        <v>0</v>
      </c>
      <c r="CK484" s="114" t="n">
        <v>11100823.82</v>
      </c>
      <c r="CL484" s="114" t="n">
        <v>0</v>
      </c>
      <c r="CM484" s="114" t="n">
        <v>0</v>
      </c>
      <c r="CN484" s="114" t="n"/>
      <c r="CO484" s="106" t="n">
        <v>0</v>
      </c>
      <c r="CP484" s="114" t="n">
        <v>0</v>
      </c>
      <c r="CQ484" s="114" t="n">
        <v>0</v>
      </c>
      <c r="CR484" s="106" t="n">
        <v>28877735.33</v>
      </c>
      <c r="CS484" s="114" t="n">
        <v>0</v>
      </c>
      <c r="CT484" s="114" t="n">
        <v>0</v>
      </c>
      <c r="CU484" s="114" t="n"/>
      <c r="CV484" s="114" t="n"/>
      <c r="CW484" s="115" t="n">
        <v>813930.63</v>
      </c>
      <c r="CX484" s="3" t="n">
        <f aca="false" ca="false" dt2D="false" dtr="false" t="normal">+N484-CH484</f>
        <v>-813930.6300000027</v>
      </c>
      <c r="CZ484" s="117" t="s">
        <v>516</v>
      </c>
      <c r="DA484" s="113" t="n">
        <f aca="false" ca="true" dt2D="false" dtr="false" t="normal">SUBTOTAL(9, DB484:DP484)</f>
        <v>39978559.15</v>
      </c>
      <c r="DB484" s="106" t="n">
        <v>0</v>
      </c>
      <c r="DC484" s="114" t="n">
        <v>0</v>
      </c>
      <c r="DD484" s="114" t="n">
        <v>11100823.82</v>
      </c>
      <c r="DE484" s="114" t="n">
        <v>0</v>
      </c>
      <c r="DF484" s="114" t="n">
        <v>0</v>
      </c>
      <c r="DG484" s="114" t="n"/>
      <c r="DH484" s="106" t="n">
        <v>0</v>
      </c>
      <c r="DI484" s="114" t="n">
        <v>0</v>
      </c>
      <c r="DJ484" s="114" t="n">
        <v>0</v>
      </c>
      <c r="DK484" s="106" t="n">
        <v>28877735.33</v>
      </c>
      <c r="DL484" s="114" t="n">
        <v>0</v>
      </c>
      <c r="DM484" s="114" t="n">
        <v>0</v>
      </c>
      <c r="DN484" s="114" t="n"/>
      <c r="DO484" s="114" t="n"/>
      <c r="DP484" s="240" t="n"/>
      <c r="DQ484" s="3" t="n"/>
      <c r="DR484" s="1" t="n"/>
      <c r="DS484" s="9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</row>
    <row customFormat="true" hidden="false" ht="15" outlineLevel="0" r="485" s="1">
      <c r="A485" s="183" t="n">
        <f aca="false" ca="false" dt2D="false" dtr="false" t="normal">+A484+1</f>
        <v>463</v>
      </c>
      <c r="B485" s="117" t="n">
        <f aca="false" ca="false" dt2D="false" dtr="false" t="normal">+B484+1</f>
        <v>4</v>
      </c>
      <c r="C485" s="104" t="s">
        <v>305</v>
      </c>
      <c r="D485" s="104" t="s">
        <v>308</v>
      </c>
      <c r="E485" s="105" t="n">
        <v>1997</v>
      </c>
      <c r="F485" s="105" t="n">
        <v>2013</v>
      </c>
      <c r="G485" s="105" t="s">
        <v>68</v>
      </c>
      <c r="H485" s="105" t="n">
        <v>3</v>
      </c>
      <c r="I485" s="105" t="n">
        <v>3</v>
      </c>
      <c r="J485" s="106" t="n">
        <v>2554.7</v>
      </c>
      <c r="K485" s="106" t="n">
        <v>1158.4</v>
      </c>
      <c r="L485" s="106" t="n">
        <v>157.9</v>
      </c>
      <c r="M485" s="107" t="n">
        <v>40</v>
      </c>
      <c r="N485" s="108" t="n">
        <f aca="false" ca="false" dt2D="false" dtr="false" t="normal">SUM(P485:T485)</f>
        <v>19402429.97</v>
      </c>
      <c r="O485" s="106" t="n"/>
      <c r="P485" s="106" t="n"/>
      <c r="Q485" s="106" t="n"/>
      <c r="R485" s="106" t="n"/>
      <c r="S485" s="108" t="n">
        <v>4488145.36</v>
      </c>
      <c r="T485" s="108" t="n">
        <v>14914284.61</v>
      </c>
      <c r="U485" s="106" t="n">
        <v>7543.5478082504</v>
      </c>
      <c r="V485" s="106" t="n">
        <v>7543.5478082504</v>
      </c>
      <c r="W485" s="110" t="n">
        <v>2024</v>
      </c>
      <c r="X485" s="9" t="e">
        <f aca="false" ca="false" dt2D="false" dtr="false" t="normal">+#REF!-'[9]Приложение №1'!$P1840</f>
        <v>#REF!</v>
      </c>
      <c r="Z485" s="108" t="n">
        <f aca="false" ca="false" dt2D="false" dtr="false" t="normal">SUM(AA485:AO485)</f>
        <v>50522516.66999996</v>
      </c>
      <c r="AA485" s="106" t="n">
        <v>5373102.41241228</v>
      </c>
      <c r="AB485" s="106" t="n">
        <v>2799379.09841856</v>
      </c>
      <c r="AC485" s="106" t="n">
        <v>1158345.46972326</v>
      </c>
      <c r="AD485" s="106" t="n">
        <v>601928.63075688</v>
      </c>
      <c r="AE485" s="106" t="n">
        <v>0</v>
      </c>
      <c r="AF485" s="106" t="n"/>
      <c r="AG485" s="106" t="n">
        <v>439165.68767148</v>
      </c>
      <c r="AH485" s="106" t="n">
        <v>0</v>
      </c>
      <c r="AI485" s="106" t="n">
        <v>12048310.589364</v>
      </c>
      <c r="AJ485" s="106" t="n">
        <v>4856893.85457318</v>
      </c>
      <c r="AK485" s="106" t="n">
        <v>13999412.9497916</v>
      </c>
      <c r="AL485" s="106" t="n">
        <v>2997543.60403176</v>
      </c>
      <c r="AM485" s="106" t="n">
        <v>4775024.6969</v>
      </c>
      <c r="AN485" s="106" t="n">
        <v>505225.1667</v>
      </c>
      <c r="AO485" s="111" t="n">
        <v>968184.50965696</v>
      </c>
      <c r="AP485" s="112" t="n">
        <f aca="false" ca="false" dt2D="false" dtr="false" t="normal">+N485-'Приложение №2'!E485</f>
        <v>0</v>
      </c>
      <c r="AQ485" s="9" t="n">
        <f aca="false" ca="false" dt2D="false" dtr="false" t="normal">739157.71-R210</f>
        <v>297065.20999999996</v>
      </c>
      <c r="AR485" s="3" t="n">
        <f aca="false" ca="false" dt2D="false" dtr="false" t="normal">+(K485*10+L485*20)*12*0.85</f>
        <v>150368.4</v>
      </c>
      <c r="AS485" s="3" t="n">
        <f aca="false" ca="false" dt2D="false" dtr="false" t="normal">+(K485*10+L485*20)*12*30-S210</f>
        <v>5307120</v>
      </c>
      <c r="AT485" s="9" t="n">
        <f aca="false" ca="false" dt2D="false" dtr="false" t="normal">+S485-AS485</f>
        <v>-818974.6399999997</v>
      </c>
      <c r="AU485" s="9" t="e">
        <f aca="false" ca="false" dt2D="false" dtr="false" t="normal">+P485-'[5]Приложение №1'!$P580</f>
        <v>#REF!</v>
      </c>
      <c r="AV485" s="9" t="e">
        <f aca="false" ca="false" dt2D="false" dtr="false" t="normal">+Q485-'[5]Приложение №1'!$Q580</f>
        <v>#REF!</v>
      </c>
      <c r="AW485" s="113" t="n">
        <f aca="false" ca="true" dt2D="false" dtr="false" t="normal">SUBTOTAL(9, AX485:BL485)</f>
        <v>9929571.979999999</v>
      </c>
      <c r="AX485" s="106" t="n">
        <v>2320624.28</v>
      </c>
      <c r="AY485" s="106" t="n">
        <v>1208886.87</v>
      </c>
      <c r="AZ485" s="106" t="n"/>
      <c r="BA485" s="106" t="n">
        <v>480187.06</v>
      </c>
      <c r="BB485" s="106" t="n">
        <v>0</v>
      </c>
      <c r="BC485" s="106" t="n"/>
      <c r="BD485" s="106" t="n"/>
      <c r="BE485" s="106" t="n">
        <v>0</v>
      </c>
      <c r="BF485" s="106" t="n"/>
      <c r="BG485" s="106" t="n">
        <v>4924704.85</v>
      </c>
      <c r="BH485" s="106" t="n"/>
      <c r="BI485" s="106" t="n"/>
      <c r="BJ485" s="106" t="n"/>
      <c r="BK485" s="114" t="n"/>
      <c r="BL485" s="114" t="n">
        <v>995168.92</v>
      </c>
      <c r="BM485" s="113" t="n">
        <f aca="false" ca="true" dt2D="false" dtr="false" t="normal">SUBTOTAL(9, BN485:CB485)</f>
        <v>9929571.979999999</v>
      </c>
      <c r="BN485" s="106" t="n">
        <v>2320624.28</v>
      </c>
      <c r="BO485" s="106" t="n">
        <v>1208886.87</v>
      </c>
      <c r="BP485" s="106" t="n"/>
      <c r="BQ485" s="106" t="n">
        <v>480187.06</v>
      </c>
      <c r="BR485" s="106" t="n">
        <v>0</v>
      </c>
      <c r="BS485" s="106" t="n"/>
      <c r="BT485" s="106" t="n"/>
      <c r="BU485" s="106" t="n">
        <v>0</v>
      </c>
      <c r="BV485" s="106" t="n"/>
      <c r="BW485" s="106" t="n">
        <v>4924704.85</v>
      </c>
      <c r="BX485" s="106" t="n"/>
      <c r="BY485" s="106" t="n"/>
      <c r="BZ485" s="106" t="n"/>
      <c r="CA485" s="114" t="n"/>
      <c r="CB485" s="114" t="n">
        <v>995168.92</v>
      </c>
      <c r="CD485" s="116" t="n">
        <f aca="false" ca="false" dt2D="false" dtr="false" t="normal">+CD484+1</f>
        <v>463</v>
      </c>
      <c r="CE485" s="117" t="n">
        <f aca="false" ca="false" dt2D="false" dtr="false" t="normal">+CE484+1</f>
        <v>4</v>
      </c>
      <c r="CF485" s="104" t="s">
        <v>305</v>
      </c>
      <c r="CG485" s="117" t="s">
        <v>308</v>
      </c>
      <c r="CH485" s="108" t="n">
        <f aca="false" ca="true" dt2D="false" dtr="false" t="normal">SUBTOTAL(9, CI485:CW485)</f>
        <v>20142166.740000002</v>
      </c>
      <c r="CI485" s="106" t="n">
        <v>2320624.28</v>
      </c>
      <c r="CJ485" s="114" t="n">
        <v>1208886.87</v>
      </c>
      <c r="CK485" s="114" t="n"/>
      <c r="CL485" s="114" t="n">
        <v>480187.06</v>
      </c>
      <c r="CM485" s="114" t="n">
        <v>0</v>
      </c>
      <c r="CN485" s="114" t="n"/>
      <c r="CO485" s="106" t="n"/>
      <c r="CP485" s="114" t="n">
        <v>0</v>
      </c>
      <c r="CQ485" s="114" t="n">
        <v>4272787.71</v>
      </c>
      <c r="CR485" s="106" t="n">
        <v>4924704.85</v>
      </c>
      <c r="CS485" s="114" t="n">
        <v>5939807.05</v>
      </c>
      <c r="CT485" s="114" t="n"/>
      <c r="CU485" s="114" t="n"/>
      <c r="CV485" s="114" t="n"/>
      <c r="CW485" s="115" t="n">
        <v>995168.92</v>
      </c>
      <c r="CX485" s="3" t="n">
        <f aca="false" ca="false" dt2D="false" dtr="false" t="normal">+N485-CH485</f>
        <v>-739736.7700000033</v>
      </c>
      <c r="CZ485" s="117" t="s">
        <v>308</v>
      </c>
      <c r="DA485" s="113" t="n">
        <f aca="false" ca="true" dt2D="false" dtr="false" t="normal">SUBTOTAL(9, DB485:DP485)</f>
        <v>19402429.97</v>
      </c>
      <c r="DB485" s="106" t="n">
        <v>2320624.28</v>
      </c>
      <c r="DC485" s="114" t="n">
        <v>1208886.87</v>
      </c>
      <c r="DD485" s="114" t="n"/>
      <c r="DE485" s="114" t="n">
        <v>480187.06</v>
      </c>
      <c r="DF485" s="114" t="n">
        <v>0</v>
      </c>
      <c r="DG485" s="114" t="n"/>
      <c r="DH485" s="106" t="n"/>
      <c r="DI485" s="114" t="n">
        <v>0</v>
      </c>
      <c r="DJ485" s="114" t="n">
        <v>4272787.71</v>
      </c>
      <c r="DK485" s="106" t="n">
        <v>4924704.85</v>
      </c>
      <c r="DL485" s="114" t="n">
        <v>5939807.05</v>
      </c>
      <c r="DM485" s="114" t="n"/>
      <c r="DN485" s="114" t="n"/>
      <c r="DO485" s="114" t="n"/>
      <c r="DP485" s="111" t="n">
        <v>255432.15</v>
      </c>
      <c r="DQ485" s="3" t="n"/>
      <c r="DR485" s="1" t="n"/>
      <c r="DS485" s="9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</row>
    <row customFormat="true" hidden="false" ht="15" outlineLevel="0" r="486" s="129">
      <c r="A486" s="183" t="n">
        <f aca="false" ca="false" dt2D="false" dtr="false" t="normal">+A485+1</f>
        <v>464</v>
      </c>
      <c r="B486" s="117" t="n">
        <f aca="false" ca="false" dt2D="false" dtr="false" t="normal">+B485+1</f>
        <v>5</v>
      </c>
      <c r="C486" s="104" t="s">
        <v>305</v>
      </c>
      <c r="D486" s="104" t="s">
        <v>517</v>
      </c>
      <c r="E486" s="105" t="s">
        <v>518</v>
      </c>
      <c r="F486" s="105" t="n"/>
      <c r="G486" s="105" t="s">
        <v>68</v>
      </c>
      <c r="H486" s="105" t="s">
        <v>187</v>
      </c>
      <c r="I486" s="105" t="s">
        <v>187</v>
      </c>
      <c r="J486" s="106" t="n">
        <v>4119.1</v>
      </c>
      <c r="K486" s="106" t="n">
        <v>2443.1</v>
      </c>
      <c r="L486" s="106" t="n">
        <v>0</v>
      </c>
      <c r="M486" s="107" t="n">
        <v>95</v>
      </c>
      <c r="N486" s="108" t="n">
        <f aca="false" ca="false" dt2D="false" dtr="false" t="normal">SUM(P486:T486)</f>
        <v>25233182.36</v>
      </c>
      <c r="O486" s="106" t="n">
        <v>0</v>
      </c>
      <c r="P486" s="113" t="n">
        <v>3678482.74</v>
      </c>
      <c r="Q486" s="113" t="n">
        <v>2709187.47</v>
      </c>
      <c r="R486" s="113" t="n">
        <v>1397878.82</v>
      </c>
      <c r="S486" s="113" t="n">
        <v>8755949.08</v>
      </c>
      <c r="T486" s="113" t="n">
        <v>8691684.25</v>
      </c>
      <c r="U486" s="114" t="n">
        <v>10825.8723727263</v>
      </c>
      <c r="V486" s="114" t="n">
        <v>1178.283020064</v>
      </c>
      <c r="W486" s="110" t="n">
        <v>2024</v>
      </c>
      <c r="X486" s="129" t="n">
        <v>889128.05</v>
      </c>
      <c r="Y486" s="129" t="n">
        <f aca="false" ca="false" dt2D="false" dtr="false" t="normal">+(K486*9.1+L486*18.19)*12</f>
        <v>266786.52</v>
      </c>
      <c r="AA486" s="130" t="e">
        <f aca="false" ca="false" dt2D="false" dtr="false" t="normal">+N486-'[8]Приложение № 2'!E427</f>
        <v>#REF!</v>
      </c>
      <c r="AD486" s="130" t="e">
        <f aca="false" ca="false" dt2D="false" dtr="false" t="normal">+N486-'[8]Приложение № 2'!E427</f>
        <v>#REF!</v>
      </c>
      <c r="AP486" s="112" t="n">
        <f aca="false" ca="false" dt2D="false" dtr="false" t="normal">+N486-'Приложение №2'!E486</f>
        <v>0</v>
      </c>
      <c r="AQ486" s="129" t="n">
        <v>1343509.9</v>
      </c>
      <c r="AR486" s="3" t="n">
        <f aca="false" ca="false" dt2D="false" dtr="false" t="normal">+(K486*10.5+L486*21)*12*0.85</f>
        <v>261656.00999999998</v>
      </c>
      <c r="AS486" s="3" t="n">
        <f aca="false" ca="false" dt2D="false" dtr="false" t="normal">+(K486*10.5+L486*21)*12*30</f>
        <v>9234918</v>
      </c>
      <c r="AT486" s="9" t="n">
        <f aca="false" ca="false" dt2D="false" dtr="false" t="normal">+S486-AS486</f>
        <v>-478968.9199999999</v>
      </c>
      <c r="AU486" s="9" t="e">
        <f aca="false" ca="false" dt2D="false" dtr="false" t="normal">+P486-'[5]Приложение №1'!$P465</f>
        <v>#REF!</v>
      </c>
      <c r="AV486" s="9" t="e">
        <f aca="false" ca="false" dt2D="false" dtr="false" t="normal">+Q486-'[5]Приложение №1'!$Q465</f>
        <v>#REF!</v>
      </c>
      <c r="AW486" s="186" t="n">
        <f aca="false" ca="true" dt2D="false" dtr="false" t="normal">SUBTOTAL(9, AX486:BL486)</f>
        <v>26448688.793807607</v>
      </c>
      <c r="AX486" s="106" t="n">
        <v>7353309.26</v>
      </c>
      <c r="AY486" s="106" t="n">
        <v>0</v>
      </c>
      <c r="AZ486" s="106" t="n">
        <v>1849726.77649774</v>
      </c>
      <c r="BA486" s="106" t="n">
        <v>1953691.0272434</v>
      </c>
      <c r="BB486" s="106" t="n">
        <v>0</v>
      </c>
      <c r="BC486" s="106" t="n"/>
      <c r="BD486" s="106" t="n">
        <v>200996.470181811</v>
      </c>
      <c r="BE486" s="106" t="n">
        <v>0</v>
      </c>
      <c r="BF486" s="106" t="n"/>
      <c r="BG486" s="106" t="n"/>
      <c r="BH486" s="106" t="n">
        <v>12058761.4052178</v>
      </c>
      <c r="BI486" s="106" t="n">
        <v>0</v>
      </c>
      <c r="BJ486" s="106" t="n">
        <v>2335704.42246998</v>
      </c>
      <c r="BK486" s="114" t="n">
        <v>239364.941588447</v>
      </c>
      <c r="BL486" s="115" t="n">
        <v>457134.490608427</v>
      </c>
      <c r="BM486" s="186" t="n">
        <f aca="false" ca="true" dt2D="false" dtr="false" t="normal">SUBTOTAL(9, BN486:CB486)</f>
        <v>26448688.793807607</v>
      </c>
      <c r="BN486" s="106" t="n">
        <v>7353309.26</v>
      </c>
      <c r="BO486" s="106" t="n">
        <v>0</v>
      </c>
      <c r="BP486" s="106" t="n">
        <v>1849726.77649774</v>
      </c>
      <c r="BQ486" s="106" t="n">
        <v>1953691.0272434</v>
      </c>
      <c r="BR486" s="106" t="n">
        <v>0</v>
      </c>
      <c r="BS486" s="106" t="n"/>
      <c r="BT486" s="106" t="n">
        <v>200996.470181811</v>
      </c>
      <c r="BU486" s="106" t="n">
        <v>0</v>
      </c>
      <c r="BV486" s="106" t="n"/>
      <c r="BW486" s="106" t="n"/>
      <c r="BX486" s="106" t="n">
        <v>12058761.4052178</v>
      </c>
      <c r="BY486" s="106" t="n">
        <v>0</v>
      </c>
      <c r="BZ486" s="106" t="n">
        <v>2335704.42246998</v>
      </c>
      <c r="CA486" s="114" t="n">
        <v>239364.941588447</v>
      </c>
      <c r="CB486" s="115" t="n">
        <v>457134.490608427</v>
      </c>
      <c r="CD486" s="116" t="n">
        <f aca="false" ca="false" dt2D="false" dtr="false" t="normal">+CD485+1</f>
        <v>464</v>
      </c>
      <c r="CE486" s="117" t="n">
        <f aca="false" ca="false" dt2D="false" dtr="false" t="normal">+CE485+1</f>
        <v>5</v>
      </c>
      <c r="CF486" s="104" t="s">
        <v>305</v>
      </c>
      <c r="CG486" s="117" t="s">
        <v>517</v>
      </c>
      <c r="CH486" s="108" t="n">
        <f aca="false" ca="true" dt2D="false" dtr="false" t="normal">SUBTOTAL(9, CI486:CW486)</f>
        <v>25690316.849999998</v>
      </c>
      <c r="CI486" s="106" t="n">
        <v>7353309.26</v>
      </c>
      <c r="CJ486" s="114" t="n">
        <v>0</v>
      </c>
      <c r="CK486" s="114" t="n">
        <v>2956319.09</v>
      </c>
      <c r="CL486" s="114" t="n">
        <v>1953691.03</v>
      </c>
      <c r="CM486" s="114" t="n">
        <v>0</v>
      </c>
      <c r="CN486" s="114" t="n"/>
      <c r="CO486" s="106" t="n"/>
      <c r="CP486" s="114" t="n">
        <v>0</v>
      </c>
      <c r="CQ486" s="114" t="n"/>
      <c r="CR486" s="114" t="n"/>
      <c r="CS486" s="114" t="n">
        <v>12969862.98</v>
      </c>
      <c r="CT486" s="114" t="n">
        <v>0</v>
      </c>
      <c r="CU486" s="114" t="n"/>
      <c r="CV486" s="114" t="n"/>
      <c r="CW486" s="115" t="n">
        <v>457134.49</v>
      </c>
      <c r="CX486" s="3" t="n">
        <f aca="false" ca="false" dt2D="false" dtr="false" t="normal">+N486-CH486</f>
        <v>-457134.48999999836</v>
      </c>
      <c r="CZ486" s="117" t="s">
        <v>517</v>
      </c>
      <c r="DA486" s="113" t="n">
        <f aca="false" ca="true" dt2D="false" dtr="false" t="normal">SUBTOTAL(9, DB486:DP486)</f>
        <v>25233182.36</v>
      </c>
      <c r="DB486" s="106" t="n">
        <v>7353309.26</v>
      </c>
      <c r="DC486" s="114" t="n">
        <v>0</v>
      </c>
      <c r="DD486" s="114" t="n">
        <v>2956319.09</v>
      </c>
      <c r="DE486" s="114" t="n">
        <v>1953691.03</v>
      </c>
      <c r="DF486" s="114" t="n">
        <v>0</v>
      </c>
      <c r="DG486" s="114" t="n"/>
      <c r="DH486" s="106" t="n"/>
      <c r="DI486" s="114" t="n">
        <v>0</v>
      </c>
      <c r="DJ486" s="114" t="n"/>
      <c r="DK486" s="114" t="n"/>
      <c r="DL486" s="114" t="n">
        <v>12969862.98</v>
      </c>
      <c r="DM486" s="114" t="n">
        <v>0</v>
      </c>
      <c r="DN486" s="241" t="n"/>
      <c r="DO486" s="241" t="n"/>
      <c r="DP486" s="240" t="n"/>
      <c r="DQ486" s="3" t="n"/>
      <c r="DR486" s="1" t="n"/>
      <c r="DS486" s="9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</row>
    <row customFormat="true" hidden="false" ht="15" outlineLevel="0" r="487" s="129">
      <c r="A487" s="183" t="n">
        <f aca="false" ca="false" dt2D="false" dtr="false" t="normal">+A486+1</f>
        <v>465</v>
      </c>
      <c r="B487" s="117" t="n">
        <f aca="false" ca="false" dt2D="false" dtr="false" t="normal">+B486+1</f>
        <v>6</v>
      </c>
      <c r="C487" s="104" t="s">
        <v>305</v>
      </c>
      <c r="D487" s="104" t="s">
        <v>519</v>
      </c>
      <c r="E487" s="105" t="s">
        <v>520</v>
      </c>
      <c r="F487" s="105" t="n"/>
      <c r="G487" s="105" t="s">
        <v>68</v>
      </c>
      <c r="H487" s="105" t="s">
        <v>187</v>
      </c>
      <c r="I487" s="105" t="s">
        <v>187</v>
      </c>
      <c r="J487" s="106" t="n">
        <v>4123.1</v>
      </c>
      <c r="K487" s="106" t="n">
        <v>2363</v>
      </c>
      <c r="L487" s="106" t="n">
        <v>91.8</v>
      </c>
      <c r="M487" s="107" t="n">
        <v>100</v>
      </c>
      <c r="N487" s="108" t="n">
        <f aca="false" ca="false" dt2D="false" dtr="false" t="normal">SUM(P487:T487)</f>
        <v>24900233.97</v>
      </c>
      <c r="O487" s="106" t="n">
        <v>0</v>
      </c>
      <c r="P487" s="113" t="n">
        <v>3283800.19</v>
      </c>
      <c r="Q487" s="113" t="n">
        <v>2709187.47</v>
      </c>
      <c r="R487" s="113" t="n">
        <v>1689747.05</v>
      </c>
      <c r="S487" s="113" t="n">
        <v>9066674.66</v>
      </c>
      <c r="T487" s="113" t="n">
        <v>8150824.6</v>
      </c>
      <c r="U487" s="114" t="n">
        <v>10259.626094067</v>
      </c>
      <c r="V487" s="114" t="n">
        <v>1179.283020064</v>
      </c>
      <c r="W487" s="110" t="n">
        <v>2024</v>
      </c>
      <c r="X487" s="129" t="n">
        <v>889790.81</v>
      </c>
      <c r="Y487" s="129" t="n">
        <f aca="false" ca="false" dt2D="false" dtr="false" t="normal">+(K487*9.1+L487*18.19)*12</f>
        <v>278077.704</v>
      </c>
      <c r="AA487" s="130" t="e">
        <f aca="false" ca="false" dt2D="false" dtr="false" t="normal">+N487-'[8]Приложение № 2'!E428</f>
        <v>#REF!</v>
      </c>
      <c r="AD487" s="130" t="e">
        <f aca="false" ca="false" dt2D="false" dtr="false" t="normal">+N487-'[8]Приложение № 2'!E428</f>
        <v>#REF!</v>
      </c>
      <c r="AP487" s="112" t="n">
        <f aca="false" ca="false" dt2D="false" dtr="false" t="normal">+N487-'Приложение №2'!E487</f>
        <v>0</v>
      </c>
      <c r="AQ487" s="121" t="n">
        <v>1417006.19</v>
      </c>
      <c r="AR487" s="3" t="n">
        <f aca="false" ca="false" dt2D="false" dtr="false" t="normal">+(K487*10.5+L487*21)*12*0.85</f>
        <v>272740.86</v>
      </c>
      <c r="AS487" s="3" t="n">
        <f aca="false" ca="false" dt2D="false" dtr="false" t="normal">+(K487*10.5+L487*21)*12*30</f>
        <v>9626148</v>
      </c>
      <c r="AT487" s="9" t="n">
        <f aca="false" ca="false" dt2D="false" dtr="false" t="normal">+S487-AS487</f>
        <v>-559473.3399999999</v>
      </c>
      <c r="AU487" s="9" t="e">
        <f aca="false" ca="false" dt2D="false" dtr="false" t="normal">+P487-'[5]Приложение №1'!$P466</f>
        <v>#REF!</v>
      </c>
      <c r="AV487" s="9" t="e">
        <f aca="false" ca="false" dt2D="false" dtr="false" t="normal">+Q487-'[5]Приложение №1'!$Q466</f>
        <v>#REF!</v>
      </c>
      <c r="AW487" s="186" t="n">
        <f aca="false" ca="true" dt2D="false" dtr="false" t="normal">SUBTOTAL(9, AX487:BL487)</f>
        <v>24243496.460280344</v>
      </c>
      <c r="AX487" s="106" t="n">
        <v>5056669.2</v>
      </c>
      <c r="AY487" s="106" t="n">
        <v>0</v>
      </c>
      <c r="AZ487" s="106" t="n">
        <v>1858585.11356337</v>
      </c>
      <c r="BA487" s="106" t="n">
        <v>1963047.24885478</v>
      </c>
      <c r="BB487" s="106" t="n">
        <v>0</v>
      </c>
      <c r="BC487" s="106" t="n"/>
      <c r="BD487" s="106" t="n">
        <v>201959.041792112</v>
      </c>
      <c r="BE487" s="106" t="n">
        <v>0</v>
      </c>
      <c r="BF487" s="106" t="n"/>
      <c r="BG487" s="106" t="n"/>
      <c r="BH487" s="106" t="n">
        <v>12116510.7844659</v>
      </c>
      <c r="BI487" s="106" t="n">
        <v>0</v>
      </c>
      <c r="BJ487" s="106" t="n">
        <v>2346890.10530854</v>
      </c>
      <c r="BK487" s="114" t="n">
        <v>240511.259715657</v>
      </c>
      <c r="BL487" s="115" t="n">
        <v>459323.706579987</v>
      </c>
      <c r="BM487" s="186" t="n">
        <f aca="false" ca="true" dt2D="false" dtr="false" t="normal">SUBTOTAL(9, BN487:CB487)</f>
        <v>24243496.460280344</v>
      </c>
      <c r="BN487" s="106" t="n">
        <v>5056669.2</v>
      </c>
      <c r="BO487" s="106" t="n">
        <v>0</v>
      </c>
      <c r="BP487" s="106" t="n">
        <v>1858585.11356337</v>
      </c>
      <c r="BQ487" s="106" t="n">
        <v>1963047.24885478</v>
      </c>
      <c r="BR487" s="106" t="n">
        <v>0</v>
      </c>
      <c r="BS487" s="106" t="n"/>
      <c r="BT487" s="106" t="n">
        <v>201959.041792112</v>
      </c>
      <c r="BU487" s="106" t="n">
        <v>0</v>
      </c>
      <c r="BV487" s="106" t="n"/>
      <c r="BW487" s="106" t="n"/>
      <c r="BX487" s="106" t="n">
        <v>12116510.7844659</v>
      </c>
      <c r="BY487" s="106" t="n">
        <v>0</v>
      </c>
      <c r="BZ487" s="106" t="n">
        <v>2346890.10530854</v>
      </c>
      <c r="CA487" s="114" t="n">
        <v>240511.259715657</v>
      </c>
      <c r="CB487" s="115" t="n">
        <v>459323.706579987</v>
      </c>
      <c r="CD487" s="116" t="n">
        <f aca="false" ca="false" dt2D="false" dtr="false" t="normal">+CD486+1</f>
        <v>465</v>
      </c>
      <c r="CE487" s="117" t="n">
        <f aca="false" ca="false" dt2D="false" dtr="false" t="normal">+CE486+1</f>
        <v>6</v>
      </c>
      <c r="CF487" s="104" t="s">
        <v>305</v>
      </c>
      <c r="CG487" s="117" t="s">
        <v>519</v>
      </c>
      <c r="CH487" s="108" t="n">
        <f aca="false" ca="true" dt2D="false" dtr="false" t="normal">SUBTOTAL(9, CI487:CW487)</f>
        <v>25359557.68</v>
      </c>
      <c r="CI487" s="106" t="n">
        <v>6584152.93</v>
      </c>
      <c r="CJ487" s="114" t="n">
        <v>0</v>
      </c>
      <c r="CK487" s="114" t="n">
        <v>2939342.87</v>
      </c>
      <c r="CL487" s="114" t="n">
        <v>1963047.25</v>
      </c>
      <c r="CM487" s="114" t="n">
        <v>0</v>
      </c>
      <c r="CN487" s="114" t="n"/>
      <c r="CO487" s="106" t="n"/>
      <c r="CP487" s="114" t="n">
        <v>0</v>
      </c>
      <c r="CQ487" s="114" t="n"/>
      <c r="CR487" s="114" t="n"/>
      <c r="CS487" s="114" t="n">
        <v>13413690.92</v>
      </c>
      <c r="CT487" s="114" t="n">
        <v>0</v>
      </c>
      <c r="CU487" s="114" t="n"/>
      <c r="CV487" s="114" t="n"/>
      <c r="CW487" s="115" t="n">
        <v>459323.71</v>
      </c>
      <c r="CX487" s="3" t="n">
        <f aca="false" ca="false" dt2D="false" dtr="false" t="normal">+N487-CH487</f>
        <v>-459323.7100000009</v>
      </c>
      <c r="CZ487" s="117" t="s">
        <v>519</v>
      </c>
      <c r="DA487" s="113" t="n">
        <f aca="false" ca="true" dt2D="false" dtr="false" t="normal">SUBTOTAL(9, DB487:DP487)</f>
        <v>24900233.97</v>
      </c>
      <c r="DB487" s="106" t="n">
        <v>6584152.93</v>
      </c>
      <c r="DC487" s="114" t="n">
        <v>0</v>
      </c>
      <c r="DD487" s="114" t="n">
        <v>2939342.87</v>
      </c>
      <c r="DE487" s="114" t="n">
        <v>1963047.25</v>
      </c>
      <c r="DF487" s="114" t="n">
        <v>0</v>
      </c>
      <c r="DG487" s="114" t="n"/>
      <c r="DH487" s="106" t="n"/>
      <c r="DI487" s="114" t="n">
        <v>0</v>
      </c>
      <c r="DJ487" s="114" t="n"/>
      <c r="DK487" s="114" t="n"/>
      <c r="DL487" s="114" t="n">
        <v>13413690.92</v>
      </c>
      <c r="DM487" s="114" t="n">
        <v>0</v>
      </c>
      <c r="DN487" s="241" t="n"/>
      <c r="DO487" s="241" t="n"/>
      <c r="DP487" s="240" t="n"/>
      <c r="DQ487" s="3" t="n"/>
      <c r="DR487" s="1" t="n"/>
      <c r="DS487" s="9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</row>
    <row customFormat="true" hidden="false" ht="15" outlineLevel="0" r="488" s="129">
      <c r="A488" s="183" t="n">
        <f aca="false" ca="false" dt2D="false" dtr="false" t="normal">+A487+1</f>
        <v>466</v>
      </c>
      <c r="B488" s="117" t="n">
        <f aca="false" ca="false" dt2D="false" dtr="false" t="normal">+B487+1</f>
        <v>7</v>
      </c>
      <c r="C488" s="104" t="s">
        <v>305</v>
      </c>
      <c r="D488" s="104" t="s">
        <v>521</v>
      </c>
      <c r="E488" s="105" t="s">
        <v>522</v>
      </c>
      <c r="F488" s="105" t="n"/>
      <c r="G488" s="105" t="s">
        <v>68</v>
      </c>
      <c r="H488" s="105" t="s">
        <v>187</v>
      </c>
      <c r="I488" s="105" t="s">
        <v>187</v>
      </c>
      <c r="J488" s="106" t="n">
        <v>4170.5</v>
      </c>
      <c r="K488" s="106" t="n">
        <v>2454.1</v>
      </c>
      <c r="L488" s="106" t="n">
        <v>0</v>
      </c>
      <c r="M488" s="107" t="n">
        <v>90</v>
      </c>
      <c r="N488" s="108" t="n">
        <f aca="false" ca="false" dt2D="false" dtr="false" t="normal">SUM(P488:T488)</f>
        <v>12985326.37</v>
      </c>
      <c r="O488" s="106" t="n"/>
      <c r="P488" s="114" t="n"/>
      <c r="Q488" s="113" t="n">
        <v>2709187.47</v>
      </c>
      <c r="R488" s="113" t="n">
        <v>1637608.13</v>
      </c>
      <c r="S488" s="113" t="n">
        <v>8201729.42</v>
      </c>
      <c r="T488" s="113" t="n">
        <v>436801.35</v>
      </c>
      <c r="U488" s="114" t="n">
        <v>5667.17</v>
      </c>
      <c r="V488" s="114" t="n">
        <v>1180.283020064</v>
      </c>
      <c r="W488" s="110" t="n">
        <v>2024</v>
      </c>
      <c r="AA488" s="130" t="n"/>
      <c r="AD488" s="130" t="n"/>
      <c r="AP488" s="112" t="n">
        <f aca="false" ca="false" dt2D="false" dtr="false" t="normal">+N488-'Приложение №2'!E488</f>
        <v>0</v>
      </c>
      <c r="AQ488" s="242" t="n">
        <v>1374774.02</v>
      </c>
      <c r="AR488" s="3" t="n">
        <f aca="false" ca="false" dt2D="false" dtr="false" t="normal">+(K488*10.5+L488*21)*12*0.85</f>
        <v>262834.11</v>
      </c>
      <c r="AS488" s="3" t="n">
        <f aca="false" ca="false" dt2D="false" dtr="false" t="normal">+(K488*10.5+L488*21)*12*30</f>
        <v>9276498</v>
      </c>
      <c r="AT488" s="9" t="n"/>
      <c r="AU488" s="9" t="n"/>
      <c r="AV488" s="9" t="n"/>
      <c r="AW488" s="186" t="n">
        <f aca="false" ca="true" dt2D="false" dtr="false" t="normal">SUBTOTAL(9, AX488:BL488)</f>
        <v>13907801.89699996</v>
      </c>
      <c r="AX488" s="106" t="n"/>
      <c r="AY488" s="106" t="n"/>
      <c r="AZ488" s="106" t="n"/>
      <c r="BA488" s="106" t="n"/>
      <c r="BB488" s="106" t="n"/>
      <c r="BC488" s="106" t="n"/>
      <c r="BD488" s="106" t="n"/>
      <c r="BE488" s="106" t="n"/>
      <c r="BF488" s="106" t="n"/>
      <c r="BG488" s="106" t="n"/>
      <c r="BH488" s="106" t="n">
        <v>12113055.6933997</v>
      </c>
      <c r="BI488" s="106" t="n">
        <v>0</v>
      </c>
      <c r="BJ488" s="106" t="n">
        <v>1390780.1897</v>
      </c>
      <c r="BK488" s="114" t="n">
        <v>139078.01897</v>
      </c>
      <c r="BL488" s="115" t="n">
        <v>264887.994930262</v>
      </c>
      <c r="BM488" s="186" t="n">
        <f aca="false" ca="true" dt2D="false" dtr="false" t="normal">SUBTOTAL(9, BN488:CB488)</f>
        <v>13907801.89699996</v>
      </c>
      <c r="BN488" s="106" t="n"/>
      <c r="BO488" s="106" t="n"/>
      <c r="BP488" s="106" t="n"/>
      <c r="BQ488" s="106" t="n"/>
      <c r="BR488" s="106" t="n"/>
      <c r="BS488" s="106" t="n"/>
      <c r="BT488" s="106" t="n"/>
      <c r="BU488" s="106" t="n"/>
      <c r="BV488" s="106" t="n"/>
      <c r="BW488" s="106" t="n"/>
      <c r="BX488" s="106" t="n">
        <v>12113055.6933997</v>
      </c>
      <c r="BY488" s="106" t="n">
        <v>0</v>
      </c>
      <c r="BZ488" s="106" t="n">
        <v>1390780.1897</v>
      </c>
      <c r="CA488" s="114" t="n">
        <v>139078.01897</v>
      </c>
      <c r="CB488" s="115" t="n">
        <v>264887.994930262</v>
      </c>
      <c r="CD488" s="116" t="n">
        <f aca="false" ca="false" dt2D="false" dtr="false" t="normal">+CD487+1</f>
        <v>466</v>
      </c>
      <c r="CE488" s="117" t="n">
        <f aca="false" ca="false" dt2D="false" dtr="false" t="normal">+CE487+1</f>
        <v>7</v>
      </c>
      <c r="CF488" s="104" t="s">
        <v>305</v>
      </c>
      <c r="CG488" s="117" t="s">
        <v>521</v>
      </c>
      <c r="CH488" s="108" t="n">
        <f aca="false" ca="true" dt2D="false" dtr="false" t="normal">SUBTOTAL(9, CI488:CW488)</f>
        <v>13610174.94</v>
      </c>
      <c r="CI488" s="106" t="n"/>
      <c r="CJ488" s="114" t="n"/>
      <c r="CK488" s="114" t="n"/>
      <c r="CL488" s="114" t="n"/>
      <c r="CM488" s="114" t="n"/>
      <c r="CN488" s="114" t="n"/>
      <c r="CO488" s="106" t="n"/>
      <c r="CP488" s="114" t="n"/>
      <c r="CQ488" s="114" t="n"/>
      <c r="CR488" s="114" t="n"/>
      <c r="CS488" s="114" t="n">
        <v>13610174.94</v>
      </c>
      <c r="CT488" s="114" t="n">
        <v>0</v>
      </c>
      <c r="CU488" s="114" t="n"/>
      <c r="CV488" s="114" t="n"/>
      <c r="CW488" s="115" t="n"/>
      <c r="CX488" s="3" t="n">
        <f aca="false" ca="false" dt2D="false" dtr="false" t="normal">+N488-CH488</f>
        <v>-624848.5700000003</v>
      </c>
      <c r="CZ488" s="117" t="s">
        <v>521</v>
      </c>
      <c r="DA488" s="113" t="n">
        <f aca="false" ca="true" dt2D="false" dtr="false" t="normal">SUBTOTAL(9, DB488:DP488)</f>
        <v>13610174.94</v>
      </c>
      <c r="DB488" s="106" t="n"/>
      <c r="DC488" s="114" t="n"/>
      <c r="DD488" s="114" t="n"/>
      <c r="DE488" s="114" t="n"/>
      <c r="DF488" s="114" t="n"/>
      <c r="DG488" s="114" t="n"/>
      <c r="DH488" s="106" t="n"/>
      <c r="DI488" s="114" t="n"/>
      <c r="DJ488" s="114" t="n"/>
      <c r="DK488" s="114" t="n"/>
      <c r="DL488" s="114" t="n">
        <v>13610174.94</v>
      </c>
      <c r="DM488" s="114" t="n">
        <v>0</v>
      </c>
      <c r="DN488" s="241" t="n"/>
      <c r="DO488" s="241" t="n"/>
      <c r="DP488" s="240" t="n"/>
      <c r="DQ488" s="3" t="n"/>
      <c r="DR488" s="1" t="n"/>
      <c r="DS488" s="9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</row>
    <row customFormat="true" hidden="false" ht="15" outlineLevel="0" r="489" s="1">
      <c r="A489" s="183" t="n">
        <f aca="false" ca="false" dt2D="false" dtr="false" t="normal">+A488+1</f>
        <v>467</v>
      </c>
      <c r="B489" s="117" t="n">
        <f aca="false" ca="false" dt2D="false" dtr="false" t="normal">+B488+1</f>
        <v>8</v>
      </c>
      <c r="C489" s="117" t="s">
        <v>75</v>
      </c>
      <c r="D489" s="117" t="s">
        <v>311</v>
      </c>
      <c r="E489" s="105" t="n">
        <v>1989</v>
      </c>
      <c r="F489" s="105" t="n">
        <v>2012</v>
      </c>
      <c r="G489" s="105" t="s">
        <v>68</v>
      </c>
      <c r="H489" s="105" t="n">
        <v>5</v>
      </c>
      <c r="I489" s="105" t="n">
        <v>4</v>
      </c>
      <c r="J489" s="106" t="n">
        <v>5759.5</v>
      </c>
      <c r="K489" s="106" t="n">
        <v>4823.5</v>
      </c>
      <c r="L489" s="106" t="n">
        <v>45.7</v>
      </c>
      <c r="M489" s="107" t="n">
        <v>161</v>
      </c>
      <c r="N489" s="108" t="n">
        <f aca="false" ca="false" dt2D="false" dtr="false" t="normal">SUM(P489:T489)</f>
        <v>4650632.72</v>
      </c>
      <c r="O489" s="114" t="n"/>
      <c r="P489" s="113" t="n">
        <v>338879.33</v>
      </c>
      <c r="Q489" s="114" t="n"/>
      <c r="R489" s="114" t="n"/>
      <c r="S489" s="113" t="n">
        <v>1499345.41</v>
      </c>
      <c r="T489" s="113" t="n">
        <v>2812407.98</v>
      </c>
      <c r="U489" s="106" t="n">
        <v>3631.35654119086</v>
      </c>
      <c r="V489" s="106" t="n">
        <v>3631.35654119086</v>
      </c>
      <c r="W489" s="110" t="n">
        <v>2024</v>
      </c>
      <c r="X489" s="9" t="e">
        <f aca="false" ca="false" dt2D="false" dtr="false" t="normal">+#REF!-'[9]Приложение №1'!$P1743</f>
        <v>#REF!</v>
      </c>
      <c r="Z489" s="113" t="n">
        <f aca="false" ca="false" dt2D="false" dtr="false" t="normal">SUM(AA489:AO489)</f>
        <v>25451028.170904994</v>
      </c>
      <c r="AA489" s="106" t="n">
        <v>0</v>
      </c>
      <c r="AB489" s="106" t="n">
        <v>0</v>
      </c>
      <c r="AC489" s="106" t="n">
        <v>0</v>
      </c>
      <c r="AD489" s="106" t="n">
        <v>0</v>
      </c>
      <c r="AE489" s="106" t="n">
        <v>0</v>
      </c>
      <c r="AF489" s="106" t="n"/>
      <c r="AG489" s="106" t="n">
        <v>0</v>
      </c>
      <c r="AH489" s="106" t="n">
        <v>0</v>
      </c>
      <c r="AI489" s="106" t="n">
        <v>0</v>
      </c>
      <c r="AJ489" s="106" t="n">
        <v>8223538.83304262</v>
      </c>
      <c r="AK489" s="106" t="n">
        <v>10255795.8070279</v>
      </c>
      <c r="AL489" s="106" t="n">
        <v>3687340.14949187</v>
      </c>
      <c r="AM489" s="106" t="n">
        <v>2545102.8170905</v>
      </c>
      <c r="AN489" s="114" t="n">
        <v>254510.28170905</v>
      </c>
      <c r="AO489" s="115" t="n">
        <v>484740.282543056</v>
      </c>
      <c r="AP489" s="112" t="n">
        <f aca="false" ca="false" dt2D="false" dtr="false" t="normal">+N489-'Приложение №2'!E484</f>
        <v>-35327926.43</v>
      </c>
      <c r="AQ489" s="1" t="n">
        <v>2384141.34</v>
      </c>
      <c r="AR489" s="3" t="n">
        <f aca="false" ca="false" dt2D="false" dtr="false" t="normal">+(K489*10+L489*20)*12*0.85</f>
        <v>501319.8</v>
      </c>
      <c r="AS489" s="3" t="n">
        <f aca="false" ca="false" dt2D="false" dtr="false" t="normal">+(K489*10+L489*20)*12*30</f>
        <v>17693640</v>
      </c>
      <c r="AT489" s="9" t="n">
        <f aca="false" ca="false" dt2D="false" dtr="false" t="normal">+S489-AS489</f>
        <v>-16194294.59</v>
      </c>
      <c r="AU489" s="9" t="e">
        <f aca="false" ca="false" dt2D="false" dtr="false" t="normal">+P489-'[5]Приложение №1'!$P452</f>
        <v>#REF!</v>
      </c>
      <c r="AV489" s="9" t="e">
        <f aca="false" ca="false" dt2D="false" dtr="false" t="normal">+Q489-'[5]Приложение №1'!$Q452</f>
        <v>#REF!</v>
      </c>
      <c r="AW489" s="113" t="n">
        <f aca="false" ca="true" dt2D="false" dtr="false" t="normal">SUBTOTAL(9, AX489:BL489)</f>
        <v>17681801.27036654</v>
      </c>
      <c r="AX489" s="106" t="n">
        <v>0</v>
      </c>
      <c r="AY489" s="106" t="n">
        <v>0</v>
      </c>
      <c r="AZ489" s="106" t="n">
        <v>3130340.41</v>
      </c>
      <c r="BA489" s="106" t="n">
        <v>2723483.78</v>
      </c>
      <c r="BB489" s="106" t="n">
        <v>0</v>
      </c>
      <c r="BC489" s="106" t="n"/>
      <c r="BD489" s="106" t="n"/>
      <c r="BE489" s="106" t="n">
        <v>0</v>
      </c>
      <c r="BF489" s="106" t="n">
        <v>0</v>
      </c>
      <c r="BG489" s="106" t="n">
        <v>6881364.65</v>
      </c>
      <c r="BH489" s="106" t="n">
        <v>4596356.03</v>
      </c>
      <c r="BI489" s="106" t="n"/>
      <c r="BJ489" s="106" t="n"/>
      <c r="BK489" s="114" t="n"/>
      <c r="BL489" s="187" t="n">
        <f aca="false" ca="false" dt2D="false" dtr="false" t="normal">179832.138797376+170424.261569162</f>
        <v>350256.400366538</v>
      </c>
      <c r="BM489" s="113" t="n">
        <f aca="false" ca="true" dt2D="false" dtr="false" t="normal">SUBTOTAL(9, BN489:CB489)</f>
        <v>14479316.830366537</v>
      </c>
      <c r="BN489" s="106" t="n">
        <v>0</v>
      </c>
      <c r="BO489" s="106" t="n">
        <v>0</v>
      </c>
      <c r="BP489" s="106" t="n">
        <v>1953253.18</v>
      </c>
      <c r="BQ489" s="106" t="n">
        <v>1982667.17</v>
      </c>
      <c r="BR489" s="106" t="n">
        <v>0</v>
      </c>
      <c r="BS489" s="106" t="n"/>
      <c r="BT489" s="106" t="n"/>
      <c r="BU489" s="106" t="n">
        <v>0</v>
      </c>
      <c r="BV489" s="106" t="n">
        <v>0</v>
      </c>
      <c r="BW489" s="106" t="n">
        <v>5596784.05</v>
      </c>
      <c r="BX489" s="106" t="n">
        <v>4596356.03</v>
      </c>
      <c r="BY489" s="106" t="n"/>
      <c r="BZ489" s="106" t="n"/>
      <c r="CA489" s="114" t="n"/>
      <c r="CB489" s="115" t="n">
        <f aca="false" ca="false" dt2D="false" dtr="false" t="normal">179832.138797376+170424.261569162</f>
        <v>350256.400366538</v>
      </c>
      <c r="CD489" s="116" t="n">
        <f aca="false" ca="false" dt2D="false" dtr="false" t="normal">+CD488+1</f>
        <v>467</v>
      </c>
      <c r="CE489" s="117" t="n">
        <f aca="false" ca="false" dt2D="false" dtr="false" t="normal">+CE488+1</f>
        <v>8</v>
      </c>
      <c r="CF489" s="104" t="s">
        <v>75</v>
      </c>
      <c r="CG489" s="117" t="s">
        <v>311</v>
      </c>
      <c r="CH489" s="108" t="n">
        <f aca="false" ca="true" dt2D="false" dtr="false" t="normal">SUBTOTAL(9, CI489:CW489)</f>
        <v>4946612.430000001</v>
      </c>
      <c r="CI489" s="106" t="n">
        <v>0</v>
      </c>
      <c r="CJ489" s="114" t="n">
        <v>0</v>
      </c>
      <c r="CK489" s="114" t="n"/>
      <c r="CL489" s="114" t="n"/>
      <c r="CM489" s="114" t="n">
        <v>0</v>
      </c>
      <c r="CN489" s="114" t="n"/>
      <c r="CO489" s="106" t="n"/>
      <c r="CP489" s="114" t="n">
        <v>0</v>
      </c>
      <c r="CQ489" s="114" t="n">
        <v>0</v>
      </c>
      <c r="CR489" s="114" t="n"/>
      <c r="CS489" s="114" t="n">
        <v>4596356.03</v>
      </c>
      <c r="CT489" s="114" t="n"/>
      <c r="CU489" s="114" t="n"/>
      <c r="CV489" s="114" t="n"/>
      <c r="CW489" s="115" t="n">
        <v>350256.4</v>
      </c>
      <c r="CX489" s="3" t="n">
        <f aca="false" ca="false" dt2D="false" dtr="false" t="normal">+N489-CH489</f>
        <v>-295979.7100000009</v>
      </c>
      <c r="CZ489" s="117" t="s">
        <v>311</v>
      </c>
      <c r="DA489" s="113" t="n">
        <f aca="false" ca="true" dt2D="false" dtr="false" t="normal">SUBTOTAL(9, DB489:DP489)</f>
        <v>4650632.718</v>
      </c>
      <c r="DB489" s="106" t="n">
        <v>0</v>
      </c>
      <c r="DC489" s="114" t="n">
        <v>0</v>
      </c>
      <c r="DD489" s="114" t="n"/>
      <c r="DE489" s="114" t="n"/>
      <c r="DF489" s="114" t="n">
        <v>0</v>
      </c>
      <c r="DG489" s="114" t="n"/>
      <c r="DH489" s="106" t="n"/>
      <c r="DI489" s="114" t="n">
        <v>0</v>
      </c>
      <c r="DJ489" s="114" t="n">
        <v>0</v>
      </c>
      <c r="DK489" s="114" t="n"/>
      <c r="DL489" s="114" t="n">
        <v>4596356.03</v>
      </c>
      <c r="DM489" s="114" t="n"/>
      <c r="DN489" s="114" t="n"/>
      <c r="DO489" s="114" t="n"/>
      <c r="DP489" s="115" t="n">
        <f aca="false" ca="false" dt2D="false" dtr="false" t="normal">47197.12*1.15</f>
        <v>54276.688</v>
      </c>
      <c r="DQ489" s="3" t="n"/>
      <c r="DR489" s="1" t="n"/>
      <c r="DS489" s="9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</row>
    <row customFormat="true" hidden="false" ht="15" outlineLevel="0" r="490" s="129">
      <c r="A490" s="183" t="n">
        <f aca="false" ca="false" dt2D="false" dtr="false" t="normal">+A489+1</f>
        <v>468</v>
      </c>
      <c r="B490" s="117" t="n">
        <f aca="false" ca="false" dt2D="false" dtr="false" t="normal">+B489+1</f>
        <v>9</v>
      </c>
      <c r="C490" s="104" t="s">
        <v>66</v>
      </c>
      <c r="D490" s="104" t="s">
        <v>523</v>
      </c>
      <c r="E490" s="105" t="s">
        <v>520</v>
      </c>
      <c r="F490" s="105" t="n"/>
      <c r="G490" s="105" t="s">
        <v>68</v>
      </c>
      <c r="H490" s="105" t="s">
        <v>104</v>
      </c>
      <c r="I490" s="105" t="s">
        <v>187</v>
      </c>
      <c r="J490" s="106" t="n">
        <v>3725.6</v>
      </c>
      <c r="K490" s="106" t="n">
        <v>3166.8</v>
      </c>
      <c r="L490" s="106" t="n">
        <v>0</v>
      </c>
      <c r="M490" s="107" t="n">
        <v>150</v>
      </c>
      <c r="N490" s="108" t="n">
        <f aca="false" ca="false" dt2D="false" dtr="false" t="normal">SUM(P490:T490)</f>
        <v>17226746.400000002</v>
      </c>
      <c r="O490" s="106" t="n">
        <v>0</v>
      </c>
      <c r="P490" s="113" t="n">
        <v>6987716.28</v>
      </c>
      <c r="Q490" s="114" t="n"/>
      <c r="R490" s="113" t="n">
        <v>1473487.75</v>
      </c>
      <c r="S490" s="108" t="n">
        <v>3460512.07</v>
      </c>
      <c r="T490" s="108" t="n">
        <v>5305030.3</v>
      </c>
      <c r="U490" s="114" t="n">
        <v>6036.35638456785</v>
      </c>
      <c r="V490" s="114" t="n">
        <v>1181.283020064</v>
      </c>
      <c r="W490" s="110" t="n">
        <v>2024</v>
      </c>
      <c r="X490" s="129" t="n">
        <v>1326436.89</v>
      </c>
      <c r="Y490" s="129" t="n">
        <f aca="false" ca="false" dt2D="false" dtr="false" t="normal">+(K490*9.1+L490*18.19)*12</f>
        <v>345814.56</v>
      </c>
      <c r="AA490" s="130" t="e">
        <f aca="false" ca="false" dt2D="false" dtr="false" t="normal">+N490-'[8]Приложение № 2'!E200</f>
        <v>#REF!</v>
      </c>
      <c r="AD490" s="130" t="e">
        <f aca="false" ca="false" dt2D="false" dtr="false" t="normal">+N490-'[8]Приложение № 2'!E200</f>
        <v>#REF!</v>
      </c>
      <c r="AP490" s="112" t="n">
        <f aca="false" ca="false" dt2D="false" dtr="false" t="normal">+N490-'Приложение №2'!E490</f>
        <v>0</v>
      </c>
      <c r="AQ490" s="129" t="n">
        <v>1644265.53</v>
      </c>
      <c r="AR490" s="3" t="n">
        <f aca="false" ca="false" dt2D="false" dtr="false" t="normal">+(K490*10+L490*20)*12*0.85</f>
        <v>323013.6</v>
      </c>
      <c r="AS490" s="3" t="n">
        <f aca="false" ca="false" dt2D="false" dtr="false" t="normal">+(K490*10+L490*20)*12*30</f>
        <v>11400480</v>
      </c>
      <c r="AT490" s="9" t="n">
        <f aca="false" ca="false" dt2D="false" dtr="false" t="normal">+S490-AS490</f>
        <v>-7939967.93</v>
      </c>
      <c r="AU490" s="9" t="e">
        <f aca="false" ca="false" dt2D="false" dtr="false" t="normal">+P490-'[5]Приложение №1'!$P210</f>
        <v>#REF!</v>
      </c>
      <c r="AV490" s="9" t="e">
        <f aca="false" ca="false" dt2D="false" dtr="false" t="normal">+Q490-'[5]Приложение №1'!$Q210</f>
        <v>#REF!</v>
      </c>
      <c r="AW490" s="113" t="n">
        <f aca="false" ca="true" dt2D="false" dtr="false" t="normal">SUBTOTAL(9, AX490:BL490)</f>
        <v>19115933.398649473</v>
      </c>
      <c r="AX490" s="106" t="n"/>
      <c r="AY490" s="106" t="n"/>
      <c r="AZ490" s="106" t="n"/>
      <c r="BA490" s="106" t="n"/>
      <c r="BB490" s="106" t="n"/>
      <c r="BC490" s="106" t="n"/>
      <c r="BD490" s="106" t="n"/>
      <c r="BE490" s="106" t="n"/>
      <c r="BF490" s="106" t="n"/>
      <c r="BG490" s="106" t="n"/>
      <c r="BH490" s="106" t="n">
        <v>18418596.8890797</v>
      </c>
      <c r="BI490" s="106" t="n"/>
      <c r="BJ490" s="106" t="n">
        <v>409917.87</v>
      </c>
      <c r="BK490" s="114" t="n"/>
      <c r="BL490" s="115" t="n">
        <v>287418.639569772</v>
      </c>
      <c r="BM490" s="113" t="n">
        <f aca="false" ca="true" dt2D="false" dtr="false" t="normal">SUBTOTAL(9, BN490:CB490)</f>
        <v>19115933.398649473</v>
      </c>
      <c r="BN490" s="106" t="n"/>
      <c r="BO490" s="106" t="n"/>
      <c r="BP490" s="106" t="n"/>
      <c r="BQ490" s="106" t="n"/>
      <c r="BR490" s="106" t="n"/>
      <c r="BS490" s="106" t="n"/>
      <c r="BT490" s="106" t="n"/>
      <c r="BU490" s="106" t="n"/>
      <c r="BV490" s="106" t="n"/>
      <c r="BW490" s="106" t="n"/>
      <c r="BX490" s="106" t="n">
        <v>18418596.8890797</v>
      </c>
      <c r="BY490" s="106" t="n"/>
      <c r="BZ490" s="106" t="n">
        <v>409917.87</v>
      </c>
      <c r="CA490" s="114" t="n"/>
      <c r="CB490" s="115" t="n">
        <v>287418.639569772</v>
      </c>
      <c r="CD490" s="116" t="n">
        <f aca="false" ca="false" dt2D="false" dtr="false" t="normal">+CD489+1</f>
        <v>468</v>
      </c>
      <c r="CE490" s="117" t="n">
        <f aca="false" ca="false" dt2D="false" dtr="false" t="normal">+CE489+1</f>
        <v>9</v>
      </c>
      <c r="CF490" s="104" t="s">
        <v>66</v>
      </c>
      <c r="CG490" s="117" t="s">
        <v>523</v>
      </c>
      <c r="CH490" s="108" t="n">
        <f aca="false" ca="true" dt2D="false" dtr="false" t="normal">SUBTOTAL(9, CI490:CW490)</f>
        <v>17226746.4</v>
      </c>
      <c r="CI490" s="106" t="n"/>
      <c r="CJ490" s="114" t="n"/>
      <c r="CK490" s="114" t="n"/>
      <c r="CL490" s="114" t="n"/>
      <c r="CM490" s="114" t="n"/>
      <c r="CN490" s="114" t="n"/>
      <c r="CO490" s="106" t="n"/>
      <c r="CP490" s="114" t="n"/>
      <c r="CQ490" s="114" t="n"/>
      <c r="CR490" s="114" t="n"/>
      <c r="CS490" s="114" t="n">
        <v>17226746.4</v>
      </c>
      <c r="CT490" s="114" t="n"/>
      <c r="CU490" s="114" t="n"/>
      <c r="CV490" s="114" t="n"/>
      <c r="CW490" s="115" t="n"/>
      <c r="CX490" s="3" t="n">
        <f aca="false" ca="false" dt2D="false" dtr="false" t="normal">+N490-CH490</f>
        <v>0</v>
      </c>
      <c r="CZ490" s="117" t="s">
        <v>523</v>
      </c>
      <c r="DA490" s="113" t="n">
        <f aca="false" ca="true" dt2D="false" dtr="false" t="normal">SUBTOTAL(9, DB490:DP490)</f>
        <v>17226746.4</v>
      </c>
      <c r="DB490" s="106" t="n"/>
      <c r="DC490" s="114" t="n"/>
      <c r="DD490" s="114" t="n"/>
      <c r="DE490" s="114" t="n"/>
      <c r="DF490" s="114" t="n"/>
      <c r="DG490" s="114" t="n"/>
      <c r="DH490" s="106" t="n"/>
      <c r="DI490" s="114" t="n"/>
      <c r="DJ490" s="114" t="n"/>
      <c r="DK490" s="114" t="n"/>
      <c r="DL490" s="114" t="n">
        <v>17226746.4</v>
      </c>
      <c r="DM490" s="114" t="n"/>
      <c r="DN490" s="241" t="n"/>
      <c r="DO490" s="241" t="n"/>
      <c r="DP490" s="240" t="n"/>
      <c r="DQ490" s="3" t="n"/>
      <c r="DR490" s="1" t="n"/>
      <c r="DS490" s="9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</row>
    <row customFormat="true" hidden="false" ht="15" outlineLevel="0" r="491" s="1">
      <c r="A491" s="183" t="n">
        <f aca="false" ca="false" dt2D="false" dtr="false" t="normal">+A490+1</f>
        <v>469</v>
      </c>
      <c r="B491" s="117" t="n">
        <f aca="false" ca="false" dt2D="false" dtr="false" t="normal">+B490+1</f>
        <v>10</v>
      </c>
      <c r="C491" s="104" t="s">
        <v>75</v>
      </c>
      <c r="D491" s="104" t="s">
        <v>464</v>
      </c>
      <c r="E491" s="105" t="n">
        <v>1998</v>
      </c>
      <c r="F491" s="105" t="n">
        <v>1998</v>
      </c>
      <c r="G491" s="105" t="s">
        <v>68</v>
      </c>
      <c r="H491" s="105" t="n">
        <v>5</v>
      </c>
      <c r="I491" s="105" t="n">
        <v>4</v>
      </c>
      <c r="J491" s="106" t="n">
        <v>4979.8</v>
      </c>
      <c r="K491" s="106" t="n">
        <v>4317.2</v>
      </c>
      <c r="L491" s="106" t="n">
        <v>0</v>
      </c>
      <c r="M491" s="107" t="n">
        <v>170</v>
      </c>
      <c r="N491" s="108" t="n">
        <f aca="false" ca="false" dt2D="false" dtr="false" t="normal">SUM(P491:T491)</f>
        <v>12034991.169999998</v>
      </c>
      <c r="O491" s="106" t="n"/>
      <c r="P491" s="113" t="n">
        <v>4298654.6</v>
      </c>
      <c r="Q491" s="114" t="n"/>
      <c r="R491" s="113" t="n">
        <v>449404.89</v>
      </c>
      <c r="S491" s="113" t="n">
        <v>3069210.88</v>
      </c>
      <c r="T491" s="113" t="n">
        <v>4217720.8</v>
      </c>
      <c r="U491" s="114" t="n">
        <v>5983.49263433758</v>
      </c>
      <c r="V491" s="114" t="n">
        <v>1180.283020064</v>
      </c>
      <c r="W491" s="110" t="n">
        <v>2024</v>
      </c>
      <c r="X491" s="9" t="e">
        <f aca="false" ca="false" dt2D="false" dtr="false" t="normal">+#REF!-'[9]Приложение №1'!$P1316</f>
        <v>#REF!</v>
      </c>
      <c r="Z491" s="113" t="n">
        <f aca="false" ca="false" dt2D="false" dtr="false" t="normal">SUM(AA491:AO491)</f>
        <v>27698101.32373692</v>
      </c>
      <c r="AA491" s="106" t="n">
        <v>12131968.2109069</v>
      </c>
      <c r="AB491" s="106" t="n">
        <v>5844352.93577683</v>
      </c>
      <c r="AC491" s="106" t="n">
        <v>3569164.91914033</v>
      </c>
      <c r="AD491" s="106" t="n">
        <v>2405162.55785621</v>
      </c>
      <c r="AE491" s="106" t="n">
        <v>0</v>
      </c>
      <c r="AF491" s="106" t="n"/>
      <c r="AG491" s="106" t="n">
        <v>391844.919018634</v>
      </c>
      <c r="AH491" s="106" t="n">
        <v>0</v>
      </c>
      <c r="AI491" s="106" t="n">
        <v>0</v>
      </c>
      <c r="AJ491" s="106" t="n">
        <v>0</v>
      </c>
      <c r="AK491" s="106" t="n">
        <v>0</v>
      </c>
      <c r="AL491" s="106" t="n">
        <v>0</v>
      </c>
      <c r="AM491" s="106" t="n">
        <v>2546305.73590431</v>
      </c>
      <c r="AN491" s="114" t="n">
        <v>276981.013237369</v>
      </c>
      <c r="AO491" s="115" t="n">
        <v>532321.031896338</v>
      </c>
      <c r="AP491" s="112" t="n">
        <f aca="false" ca="false" dt2D="false" dtr="false" t="normal">+N491-'Приложение №2'!E491</f>
        <v>0</v>
      </c>
      <c r="AQ491" s="1" t="n">
        <f aca="false" ca="false" dt2D="false" dtr="false" t="normal">2564742.71-1318564.22</f>
        <v>1246178.49</v>
      </c>
      <c r="AR491" s="3" t="n">
        <f aca="false" ca="false" dt2D="false" dtr="false" t="normal">+(K491*10.5+L491*21)*12*0.85</f>
        <v>462372.11999999994</v>
      </c>
      <c r="AS491" s="3" t="n">
        <f aca="false" ca="false" dt2D="false" dtr="false" t="normal">+(K491*10.5+L491*21)*12*30</f>
        <v>16319015.999999998</v>
      </c>
      <c r="AT491" s="9" t="n">
        <f aca="false" ca="false" dt2D="false" dtr="false" t="normal">+S491-AS491</f>
        <v>-13249805.119999997</v>
      </c>
      <c r="AU491" s="9" t="e">
        <f aca="false" ca="false" dt2D="false" dtr="false" t="normal">+P491-'[5]Приложение №1'!$P467</f>
        <v>#REF!</v>
      </c>
      <c r="AV491" s="9" t="e">
        <f aca="false" ca="false" dt2D="false" dtr="false" t="normal">+Q491-'[5]Приложение №1'!$Q467</f>
        <v>#REF!</v>
      </c>
      <c r="AW491" s="186" t="n">
        <f aca="false" ca="true" dt2D="false" dtr="false" t="normal">SUBTOTAL(9, AX491:BL491)</f>
        <v>25831934.400962204</v>
      </c>
      <c r="AX491" s="106" t="n">
        <v>12131968.2109069</v>
      </c>
      <c r="AY491" s="106" t="n">
        <v>6473660.02</v>
      </c>
      <c r="AZ491" s="106" t="n">
        <v>3569164.91914033</v>
      </c>
      <c r="BA491" s="106" t="n">
        <v>2732975.3</v>
      </c>
      <c r="BB491" s="106" t="n">
        <v>0</v>
      </c>
      <c r="BC491" s="106" t="n"/>
      <c r="BD491" s="106" t="n">
        <v>391844.919018634</v>
      </c>
      <c r="BE491" s="106" t="n">
        <v>0</v>
      </c>
      <c r="BF491" s="106" t="n">
        <v>0</v>
      </c>
      <c r="BG491" s="106" t="n">
        <v>0</v>
      </c>
      <c r="BH491" s="106" t="n">
        <v>0</v>
      </c>
      <c r="BI491" s="106" t="n">
        <v>0</v>
      </c>
      <c r="BJ491" s="106" t="n"/>
      <c r="BK491" s="114" t="n"/>
      <c r="BL491" s="187" t="n">
        <v>532321.031896338</v>
      </c>
      <c r="BM491" s="186" t="n">
        <f aca="false" ca="true" dt2D="false" dtr="false" t="normal">SUBTOTAL(9, BN491:CB491)</f>
        <v>25831934.400962204</v>
      </c>
      <c r="BN491" s="106" t="n">
        <v>12131968.2109069</v>
      </c>
      <c r="BO491" s="106" t="n">
        <v>6473660.02</v>
      </c>
      <c r="BP491" s="106" t="n">
        <v>3569164.91914033</v>
      </c>
      <c r="BQ491" s="106" t="n">
        <v>2732975.3</v>
      </c>
      <c r="BR491" s="106" t="n">
        <v>0</v>
      </c>
      <c r="BS491" s="106" t="n"/>
      <c r="BT491" s="106" t="n">
        <v>391844.919018634</v>
      </c>
      <c r="BU491" s="106" t="n">
        <v>0</v>
      </c>
      <c r="BV491" s="106" t="n">
        <v>0</v>
      </c>
      <c r="BW491" s="106" t="n">
        <v>0</v>
      </c>
      <c r="BX491" s="106" t="n">
        <v>0</v>
      </c>
      <c r="BY491" s="106" t="n">
        <v>0</v>
      </c>
      <c r="BZ491" s="106" t="n"/>
      <c r="CA491" s="114" t="n"/>
      <c r="CB491" s="115" t="n">
        <v>532321.031896338</v>
      </c>
      <c r="CD491" s="116" t="n">
        <f aca="false" ca="false" dt2D="false" dtr="false" t="normal">+CD490+1</f>
        <v>469</v>
      </c>
      <c r="CE491" s="117" t="n">
        <f aca="false" ca="false" dt2D="false" dtr="false" t="normal">+CE490+1</f>
        <v>10</v>
      </c>
      <c r="CF491" s="104" t="s">
        <v>75</v>
      </c>
      <c r="CG491" s="117" t="s">
        <v>464</v>
      </c>
      <c r="CH491" s="108" t="n">
        <f aca="false" ca="true" dt2D="false" dtr="false" t="normal">SUBTOTAL(9, CI491:CW491)</f>
        <v>12441466.06</v>
      </c>
      <c r="CI491" s="192" t="n">
        <v>5393202.38</v>
      </c>
      <c r="CJ491" s="243" t="n">
        <v>3557169.42</v>
      </c>
      <c r="CK491" s="114" t="n"/>
      <c r="CL491" s="243" t="n">
        <v>2958773.23</v>
      </c>
      <c r="CM491" s="114" t="n">
        <v>0</v>
      </c>
      <c r="CN491" s="114" t="n"/>
      <c r="CO491" s="106" t="n"/>
      <c r="CP491" s="114" t="n">
        <v>0</v>
      </c>
      <c r="CQ491" s="114" t="n">
        <v>0</v>
      </c>
      <c r="CR491" s="114" t="n">
        <v>0</v>
      </c>
      <c r="CS491" s="114" t="n">
        <v>0</v>
      </c>
      <c r="CT491" s="114" t="n">
        <v>0</v>
      </c>
      <c r="CU491" s="114" t="n"/>
      <c r="CV491" s="114" t="n"/>
      <c r="CW491" s="115" t="n">
        <v>532321.03</v>
      </c>
      <c r="CX491" s="3" t="n">
        <f aca="false" ca="false" dt2D="false" dtr="false" t="normal">+N491-CH491</f>
        <v>-406474.89000000246</v>
      </c>
      <c r="CZ491" s="117" t="s">
        <v>464</v>
      </c>
      <c r="DA491" s="113" t="n">
        <f aca="false" ca="true" dt2D="false" dtr="false" t="normal">SUBTOTAL(9, DB491:DP491)</f>
        <v>12034991.174500002</v>
      </c>
      <c r="DB491" s="192" t="n">
        <v>5393202.38</v>
      </c>
      <c r="DC491" s="243" t="n">
        <v>3557169.42</v>
      </c>
      <c r="DD491" s="114" t="n"/>
      <c r="DE491" s="243" t="n">
        <v>2958773.23</v>
      </c>
      <c r="DF491" s="114" t="n">
        <v>0</v>
      </c>
      <c r="DG491" s="114" t="n"/>
      <c r="DH491" s="106" t="n"/>
      <c r="DI491" s="114" t="n">
        <v>0</v>
      </c>
      <c r="DJ491" s="114" t="n">
        <v>0</v>
      </c>
      <c r="DK491" s="114" t="n">
        <v>0</v>
      </c>
      <c r="DL491" s="114" t="n">
        <v>0</v>
      </c>
      <c r="DM491" s="114" t="n">
        <v>0</v>
      </c>
      <c r="DN491" s="114" t="n"/>
      <c r="DO491" s="114" t="n"/>
      <c r="DP491" s="111" t="n">
        <f aca="false" ca="false" dt2D="false" dtr="false" t="normal">1.15*109431.43</f>
        <v>125846.14449999998</v>
      </c>
      <c r="DQ491" s="3" t="n"/>
      <c r="DR491" s="1" t="n"/>
      <c r="DS491" s="9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</row>
    <row customFormat="true" hidden="false" ht="15" outlineLevel="0" r="492" s="1">
      <c r="A492" s="183" t="n">
        <f aca="false" ca="false" dt2D="false" dtr="false" t="normal">+A491+1</f>
        <v>470</v>
      </c>
      <c r="B492" s="117" t="n">
        <f aca="false" ca="false" dt2D="false" dtr="false" t="normal">+B491+1</f>
        <v>11</v>
      </c>
      <c r="C492" s="104" t="s">
        <v>75</v>
      </c>
      <c r="D492" s="104" t="s">
        <v>77</v>
      </c>
      <c r="E492" s="105" t="n">
        <v>1985</v>
      </c>
      <c r="F492" s="105" t="n">
        <v>1985</v>
      </c>
      <c r="G492" s="105" t="s">
        <v>68</v>
      </c>
      <c r="H492" s="105" t="n">
        <v>4</v>
      </c>
      <c r="I492" s="105" t="n">
        <v>2</v>
      </c>
      <c r="J492" s="106" t="n">
        <v>1511.1</v>
      </c>
      <c r="K492" s="106" t="n">
        <v>1366.85</v>
      </c>
      <c r="L492" s="106" t="n">
        <v>0</v>
      </c>
      <c r="M492" s="107" t="n">
        <v>62</v>
      </c>
      <c r="N492" s="108" t="n">
        <f aca="false" ca="false" dt2D="false" dtr="false" t="normal">SUM(P492:T492)</f>
        <v>3152859.25</v>
      </c>
      <c r="O492" s="106" t="n"/>
      <c r="P492" s="113" t="n"/>
      <c r="Q492" s="114" t="n"/>
      <c r="R492" s="113" t="n">
        <v>732918.84</v>
      </c>
      <c r="S492" s="113" t="n">
        <v>1941692.32</v>
      </c>
      <c r="T492" s="113" t="n">
        <v>478248.09</v>
      </c>
      <c r="U492" s="114" t="n">
        <v>2335.86095219865</v>
      </c>
      <c r="V492" s="114" t="n">
        <v>1183.283020064</v>
      </c>
      <c r="W492" s="110" t="n">
        <v>2024</v>
      </c>
      <c r="X492" s="9" t="e">
        <f aca="false" ca="false" dt2D="false" dtr="false" t="normal">+#REF!-'[9]Приложение №1'!$P557</f>
        <v>#REF!</v>
      </c>
      <c r="Z492" s="113" t="n">
        <f aca="false" ca="false" dt2D="false" dtr="false" t="normal">SUM(AA492:AO492)</f>
        <v>7089248.60211328</v>
      </c>
      <c r="AA492" s="106" t="n">
        <v>0</v>
      </c>
      <c r="AB492" s="106" t="n">
        <v>0</v>
      </c>
      <c r="AC492" s="106" t="n">
        <v>0</v>
      </c>
      <c r="AD492" s="106" t="n">
        <v>0</v>
      </c>
      <c r="AE492" s="106" t="n">
        <v>0</v>
      </c>
      <c r="AF492" s="106" t="n"/>
      <c r="AG492" s="106" t="n">
        <v>0</v>
      </c>
      <c r="AH492" s="106" t="n">
        <v>0</v>
      </c>
      <c r="AI492" s="106" t="n">
        <v>0</v>
      </c>
      <c r="AJ492" s="106" t="n">
        <v>2448913.47</v>
      </c>
      <c r="AK492" s="106" t="n">
        <v>3110879.85</v>
      </c>
      <c r="AL492" s="106" t="n">
        <v>1036083.92287794</v>
      </c>
      <c r="AM492" s="106" t="n">
        <v>392917.040656928</v>
      </c>
      <c r="AN492" s="114" t="n">
        <v>18562.6260656928</v>
      </c>
      <c r="AO492" s="115" t="n">
        <v>81891.6925127185</v>
      </c>
      <c r="AP492" s="112" t="n">
        <f aca="false" ca="false" dt2D="false" dtr="false" t="normal">+N492-'Приложение №2'!E492</f>
        <v>0</v>
      </c>
      <c r="AQ492" s="1" t="n">
        <v>593500.14</v>
      </c>
      <c r="AR492" s="3" t="n">
        <f aca="false" ca="false" dt2D="false" dtr="false" t="normal">+(K492*10+L492*20)*12*0.85</f>
        <v>139418.69999999998</v>
      </c>
      <c r="AS492" s="3" t="n">
        <f aca="false" ca="false" dt2D="false" dtr="false" t="normal">+(K492*10+L492*20)*12*30</f>
        <v>4920660</v>
      </c>
      <c r="AT492" s="9" t="n">
        <f aca="false" ca="false" dt2D="false" dtr="false" t="normal">+S492-AS492</f>
        <v>-2978967.6799999997</v>
      </c>
      <c r="AU492" s="9" t="e">
        <f aca="false" ca="false" dt2D="false" dtr="false" t="normal">+P492-'[5]Приложение №1'!$P214</f>
        <v>#REF!</v>
      </c>
      <c r="AV492" s="9" t="e">
        <f aca="false" ca="false" dt2D="false" dtr="false" t="normal">+Q492-'[5]Приложение №1'!$Q214</f>
        <v>#REF!</v>
      </c>
      <c r="AW492" s="113" t="n">
        <f aca="false" ca="true" dt2D="false" dtr="false" t="normal">SUBTOTAL(9, AX492:BL492)</f>
        <v>3192771.5425127186</v>
      </c>
      <c r="AX492" s="106" t="n">
        <v>0</v>
      </c>
      <c r="AY492" s="106" t="n">
        <v>0</v>
      </c>
      <c r="AZ492" s="106" t="n">
        <v>0</v>
      </c>
      <c r="BA492" s="106" t="n">
        <v>0</v>
      </c>
      <c r="BB492" s="106" t="n">
        <v>0</v>
      </c>
      <c r="BC492" s="106" t="n"/>
      <c r="BD492" s="106" t="n"/>
      <c r="BE492" s="106" t="n">
        <v>0</v>
      </c>
      <c r="BF492" s="106" t="n">
        <v>0</v>
      </c>
      <c r="BG492" s="106" t="n"/>
      <c r="BH492" s="106" t="n">
        <v>3110879.85</v>
      </c>
      <c r="BI492" s="106" t="n"/>
      <c r="BJ492" s="106" t="n"/>
      <c r="BK492" s="114" t="n"/>
      <c r="BL492" s="115" t="n">
        <v>81891.6925127185</v>
      </c>
      <c r="BM492" s="113" t="n">
        <f aca="false" ca="true" dt2D="false" dtr="false" t="normal">SUBTOTAL(9, BN492:CB492)</f>
        <v>3192771.5425127186</v>
      </c>
      <c r="BN492" s="106" t="n">
        <v>0</v>
      </c>
      <c r="BO492" s="106" t="n">
        <v>0</v>
      </c>
      <c r="BP492" s="106" t="n">
        <v>0</v>
      </c>
      <c r="BQ492" s="106" t="n">
        <v>0</v>
      </c>
      <c r="BR492" s="106" t="n">
        <v>0</v>
      </c>
      <c r="BS492" s="106" t="n"/>
      <c r="BT492" s="106" t="n"/>
      <c r="BU492" s="106" t="n">
        <v>0</v>
      </c>
      <c r="BV492" s="106" t="n">
        <v>0</v>
      </c>
      <c r="BW492" s="106" t="n"/>
      <c r="BX492" s="106" t="n">
        <v>3110879.85</v>
      </c>
      <c r="BY492" s="106" t="n"/>
      <c r="BZ492" s="106" t="n"/>
      <c r="CA492" s="114" t="n"/>
      <c r="CB492" s="115" t="n">
        <v>81891.6925127185</v>
      </c>
      <c r="CD492" s="116" t="n">
        <f aca="false" ca="false" dt2D="false" dtr="false" t="normal">+CD491+1</f>
        <v>470</v>
      </c>
      <c r="CE492" s="117" t="n">
        <f aca="false" ca="false" dt2D="false" dtr="false" t="normal">+CE491+1</f>
        <v>11</v>
      </c>
      <c r="CF492" s="104" t="s">
        <v>75</v>
      </c>
      <c r="CG492" s="117" t="s">
        <v>77</v>
      </c>
      <c r="CH492" s="108" t="n">
        <f aca="false" ca="true" dt2D="false" dtr="false" t="normal">SUBTOTAL(9, CI492:CW492)</f>
        <v>3192771.54</v>
      </c>
      <c r="CI492" s="106" t="n">
        <v>0</v>
      </c>
      <c r="CJ492" s="114" t="n">
        <v>0</v>
      </c>
      <c r="CK492" s="114" t="n">
        <v>0</v>
      </c>
      <c r="CL492" s="114" t="n">
        <v>0</v>
      </c>
      <c r="CM492" s="114" t="n">
        <v>0</v>
      </c>
      <c r="CN492" s="114" t="n"/>
      <c r="CO492" s="106" t="n"/>
      <c r="CP492" s="114" t="n">
        <v>0</v>
      </c>
      <c r="CQ492" s="114" t="n">
        <v>0</v>
      </c>
      <c r="CR492" s="114" t="n"/>
      <c r="CS492" s="114" t="n">
        <v>3110879.85</v>
      </c>
      <c r="CT492" s="114" t="n"/>
      <c r="CU492" s="114" t="n"/>
      <c r="CV492" s="114" t="n"/>
      <c r="CW492" s="115" t="n">
        <v>81891.69</v>
      </c>
      <c r="CX492" s="3" t="n">
        <f aca="false" ca="false" dt2D="false" dtr="false" t="normal">+N492-CH492</f>
        <v>-39912.29000000004</v>
      </c>
      <c r="CZ492" s="117" t="s">
        <v>77</v>
      </c>
      <c r="DA492" s="113" t="n">
        <f aca="false" ca="true" dt2D="false" dtr="false" t="normal">SUBTOTAL(9, DB492:DP492)</f>
        <v>3152859.2545000003</v>
      </c>
      <c r="DB492" s="106" t="n">
        <v>0</v>
      </c>
      <c r="DC492" s="114" t="n">
        <v>0</v>
      </c>
      <c r="DD492" s="114" t="n">
        <v>0</v>
      </c>
      <c r="DE492" s="114" t="n">
        <v>0</v>
      </c>
      <c r="DF492" s="114" t="n">
        <v>0</v>
      </c>
      <c r="DG492" s="114" t="n"/>
      <c r="DH492" s="106" t="n"/>
      <c r="DI492" s="114" t="n">
        <v>0</v>
      </c>
      <c r="DJ492" s="114" t="n">
        <v>0</v>
      </c>
      <c r="DK492" s="114" t="n"/>
      <c r="DL492" s="114" t="n">
        <v>3110879.85</v>
      </c>
      <c r="DM492" s="114" t="n"/>
      <c r="DN492" s="114" t="n"/>
      <c r="DO492" s="114" t="n"/>
      <c r="DP492" s="111" t="n">
        <f aca="false" ca="false" dt2D="false" dtr="false" t="normal">1.15*36503.83</f>
        <v>41979.4045</v>
      </c>
      <c r="DQ492" s="3" t="n"/>
      <c r="DR492" s="1" t="n"/>
      <c r="DS492" s="9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</row>
    <row customFormat="true" hidden="false" ht="15" outlineLevel="0" r="493" s="1">
      <c r="A493" s="183" t="n">
        <f aca="false" ca="false" dt2D="false" dtr="false" t="normal">+A492+1</f>
        <v>471</v>
      </c>
      <c r="B493" s="117" t="n">
        <f aca="false" ca="false" dt2D="false" dtr="false" t="normal">+B492+1</f>
        <v>12</v>
      </c>
      <c r="C493" s="104" t="s">
        <v>75</v>
      </c>
      <c r="D493" s="104" t="s">
        <v>4</v>
      </c>
      <c r="E493" s="105" t="n">
        <v>1990</v>
      </c>
      <c r="F493" s="105" t="n">
        <v>1990</v>
      </c>
      <c r="G493" s="105" t="s">
        <v>68</v>
      </c>
      <c r="H493" s="105" t="n">
        <v>5</v>
      </c>
      <c r="I493" s="105" t="n">
        <v>6</v>
      </c>
      <c r="J493" s="106" t="n">
        <v>5208.7</v>
      </c>
      <c r="K493" s="106" t="n">
        <v>4621.34</v>
      </c>
      <c r="L493" s="106" t="n">
        <v>0</v>
      </c>
      <c r="M493" s="107" t="n">
        <v>157</v>
      </c>
      <c r="N493" s="108" t="n">
        <f aca="false" ca="false" dt2D="false" dtr="false" t="normal">SUM(P493:T493)</f>
        <v>27280611.119999997</v>
      </c>
      <c r="O493" s="106" t="n"/>
      <c r="P493" s="113" t="n">
        <v>3299198.83</v>
      </c>
      <c r="Q493" s="114" t="n"/>
      <c r="R493" s="113" t="n">
        <v>1221882.47</v>
      </c>
      <c r="S493" s="113" t="n">
        <v>14100981.28</v>
      </c>
      <c r="T493" s="113" t="n">
        <v>8658548.54</v>
      </c>
      <c r="U493" s="114" t="n">
        <v>7126.22820861775</v>
      </c>
      <c r="V493" s="114" t="n">
        <v>1181.283020064</v>
      </c>
      <c r="W493" s="110" t="n">
        <v>2024</v>
      </c>
      <c r="X493" s="9" t="e">
        <f aca="false" ca="false" dt2D="false" dtr="false" t="normal">+#REF!-'[9]Приложение №1'!$P912</f>
        <v>#REF!</v>
      </c>
      <c r="Z493" s="113" t="n">
        <f aca="false" ca="false" dt2D="false" dtr="false" t="normal">SUM(AA493:AO493)</f>
        <v>29603700.840000004</v>
      </c>
      <c r="AA493" s="106" t="n">
        <v>12966620.036643</v>
      </c>
      <c r="AB493" s="106" t="n">
        <v>6246443.29570884</v>
      </c>
      <c r="AC493" s="106" t="n">
        <v>3814719.10351812</v>
      </c>
      <c r="AD493" s="106" t="n">
        <v>2570628.050928</v>
      </c>
      <c r="AE493" s="106" t="n">
        <v>0</v>
      </c>
      <c r="AF493" s="106" t="n"/>
      <c r="AG493" s="106" t="n">
        <v>418822.0089228</v>
      </c>
      <c r="AH493" s="106" t="n">
        <v>0</v>
      </c>
      <c r="AI493" s="106" t="n">
        <v>0</v>
      </c>
      <c r="AJ493" s="106" t="n">
        <v>0</v>
      </c>
      <c r="AK493" s="106" t="n">
        <v>0</v>
      </c>
      <c r="AL493" s="106" t="n">
        <v>0</v>
      </c>
      <c r="AM493" s="106" t="n">
        <v>2721487.155</v>
      </c>
      <c r="AN493" s="114" t="n">
        <v>296037.0084</v>
      </c>
      <c r="AO493" s="115" t="n">
        <v>568944.18087924</v>
      </c>
      <c r="AP493" s="112" t="n">
        <f aca="false" ca="false" dt2D="false" dtr="false" t="normal">+N493-'Приложение №2'!E493</f>
        <v>0</v>
      </c>
      <c r="AQ493" s="9" t="n">
        <f aca="false" ca="false" dt2D="false" dtr="false" t="normal">2725566.58-R25</f>
        <v>726936.96</v>
      </c>
      <c r="AR493" s="3" t="n">
        <f aca="false" ca="false" dt2D="false" dtr="false" t="normal">+(K493*10.5+L493*21)*12*0.85</f>
        <v>494945.51399999997</v>
      </c>
      <c r="AS493" s="3" t="n">
        <f aca="false" ca="false" dt2D="false" dtr="false" t="normal">+(K493*10.5+L493*21)*12*30-S25</f>
        <v>14271521.32</v>
      </c>
      <c r="AT493" s="9" t="n">
        <f aca="false" ca="false" dt2D="false" dtr="false" t="normal">+S493-AS493</f>
        <v>-170540.04000000097</v>
      </c>
      <c r="AU493" s="9" t="e">
        <f aca="false" ca="false" dt2D="false" dtr="false" t="normal">+P493-'[5]Приложение №1'!$P468</f>
        <v>#REF!</v>
      </c>
      <c r="AV493" s="9" t="e">
        <f aca="false" ca="false" dt2D="false" dtr="false" t="normal">+Q493-'[5]Приложение №1'!$Q468</f>
        <v>#REF!</v>
      </c>
      <c r="AW493" s="186" t="n">
        <f aca="false" ca="true" dt2D="false" dtr="false" t="normal">SUBTOTAL(9, AX493:BL493)</f>
        <v>32932723.469613526</v>
      </c>
      <c r="AX493" s="106" t="n">
        <v>15445175.6927505</v>
      </c>
      <c r="AY493" s="106" t="n"/>
      <c r="AZ493" s="106" t="n"/>
      <c r="BA493" s="106" t="n">
        <v>4394988.20828837</v>
      </c>
      <c r="BB493" s="106" t="n">
        <v>0</v>
      </c>
      <c r="BC493" s="106" t="n"/>
      <c r="BD493" s="106" t="n">
        <v>498856.699369969</v>
      </c>
      <c r="BE493" s="106" t="n">
        <v>0</v>
      </c>
      <c r="BF493" s="106" t="n">
        <v>0</v>
      </c>
      <c r="BG493" s="106" t="n">
        <v>0</v>
      </c>
      <c r="BH493" s="106" t="n">
        <v>0</v>
      </c>
      <c r="BI493" s="106" t="n">
        <v>11673633.7116115</v>
      </c>
      <c r="BJ493" s="106" t="n"/>
      <c r="BK493" s="114" t="n"/>
      <c r="BL493" s="115" t="n">
        <v>920069.157593187</v>
      </c>
      <c r="BM493" s="186" t="n">
        <f aca="false" ca="true" dt2D="false" dtr="false" t="normal">SUBTOTAL(9, BN493:CB493)</f>
        <v>32932723.469613526</v>
      </c>
      <c r="BN493" s="106" t="n">
        <v>15445175.6927505</v>
      </c>
      <c r="BO493" s="106" t="n"/>
      <c r="BP493" s="106" t="n"/>
      <c r="BQ493" s="106" t="n">
        <v>4394988.20828837</v>
      </c>
      <c r="BR493" s="106" t="n">
        <v>0</v>
      </c>
      <c r="BS493" s="106" t="n"/>
      <c r="BT493" s="106" t="n">
        <v>498856.699369969</v>
      </c>
      <c r="BU493" s="106" t="n">
        <v>0</v>
      </c>
      <c r="BV493" s="106" t="n">
        <v>0</v>
      </c>
      <c r="BW493" s="106" t="n">
        <v>0</v>
      </c>
      <c r="BX493" s="106" t="n">
        <v>0</v>
      </c>
      <c r="BY493" s="106" t="n">
        <v>11673633.7116115</v>
      </c>
      <c r="BZ493" s="106" t="n"/>
      <c r="CA493" s="114" t="n"/>
      <c r="CB493" s="115" t="n">
        <v>920069.157593187</v>
      </c>
      <c r="CD493" s="116" t="n">
        <f aca="false" ca="false" dt2D="false" dtr="false" t="normal">+CD492+1</f>
        <v>471</v>
      </c>
      <c r="CE493" s="117" t="n">
        <f aca="false" ca="false" dt2D="false" dtr="false" t="normal">+CE492+1</f>
        <v>12</v>
      </c>
      <c r="CF493" s="104" t="s">
        <v>75</v>
      </c>
      <c r="CG493" s="117" t="s">
        <v>4</v>
      </c>
      <c r="CH493" s="108" t="n">
        <f aca="false" ca="true" dt2D="false" dtr="false" t="normal">SUBTOTAL(9, CI493:CW493)</f>
        <v>28200680.28</v>
      </c>
      <c r="CI493" s="106" t="n">
        <v>15445175.69</v>
      </c>
      <c r="CJ493" s="114" t="n">
        <v>7440447.22</v>
      </c>
      <c r="CK493" s="114" t="n"/>
      <c r="CL493" s="114" t="n">
        <v>4394988.21</v>
      </c>
      <c r="CM493" s="114" t="n">
        <v>0</v>
      </c>
      <c r="CN493" s="114" t="n"/>
      <c r="CO493" s="106" t="n"/>
      <c r="CP493" s="114" t="n">
        <v>0</v>
      </c>
      <c r="CQ493" s="114" t="n">
        <v>0</v>
      </c>
      <c r="CR493" s="114" t="n">
        <v>0</v>
      </c>
      <c r="CS493" s="114" t="n">
        <v>0</v>
      </c>
      <c r="CT493" s="114" t="n"/>
      <c r="CU493" s="114" t="n"/>
      <c r="CV493" s="114" t="n"/>
      <c r="CW493" s="115" t="n">
        <v>920069.16</v>
      </c>
      <c r="CX493" s="3" t="n">
        <f aca="false" ca="false" dt2D="false" dtr="false" t="normal">+N493-CH493</f>
        <v>-920069.1600000039</v>
      </c>
      <c r="CZ493" s="117" t="s">
        <v>4</v>
      </c>
      <c r="DA493" s="113" t="n">
        <f aca="false" ca="true" dt2D="false" dtr="false" t="normal">SUBTOTAL(9, DB493:DP493)</f>
        <v>27280611.12</v>
      </c>
      <c r="DB493" s="106" t="n">
        <v>15445175.69</v>
      </c>
      <c r="DC493" s="114" t="n">
        <v>7440447.22</v>
      </c>
      <c r="DD493" s="114" t="n"/>
      <c r="DE493" s="114" t="n">
        <v>4394988.21</v>
      </c>
      <c r="DF493" s="114" t="n">
        <v>0</v>
      </c>
      <c r="DG493" s="114" t="n"/>
      <c r="DH493" s="106" t="n"/>
      <c r="DI493" s="114" t="n">
        <v>0</v>
      </c>
      <c r="DJ493" s="114" t="n">
        <v>0</v>
      </c>
      <c r="DK493" s="114" t="n">
        <v>0</v>
      </c>
      <c r="DL493" s="114" t="n">
        <v>0</v>
      </c>
      <c r="DM493" s="114" t="n"/>
      <c r="DN493" s="114" t="n"/>
      <c r="DO493" s="114" t="n"/>
      <c r="DP493" s="240" t="n"/>
      <c r="DQ493" s="3" t="n"/>
      <c r="DR493" s="1" t="n"/>
      <c r="DS493" s="9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</row>
    <row customFormat="true" hidden="false" ht="15" outlineLevel="0" r="494" s="1">
      <c r="A494" s="183" t="n">
        <f aca="false" ca="false" dt2D="false" dtr="false" t="normal">+A493+1</f>
        <v>472</v>
      </c>
      <c r="B494" s="117" t="n">
        <f aca="false" ca="false" dt2D="false" dtr="false" t="normal">+B493+1</f>
        <v>13</v>
      </c>
      <c r="C494" s="104" t="s">
        <v>75</v>
      </c>
      <c r="D494" s="104" t="s">
        <v>465</v>
      </c>
      <c r="E494" s="105" t="n">
        <v>1996</v>
      </c>
      <c r="F494" s="105" t="n">
        <v>1996</v>
      </c>
      <c r="G494" s="105" t="s">
        <v>68</v>
      </c>
      <c r="H494" s="105" t="n">
        <v>5</v>
      </c>
      <c r="I494" s="105" t="n">
        <v>4</v>
      </c>
      <c r="J494" s="106" t="n">
        <v>3635.6</v>
      </c>
      <c r="K494" s="106" t="n">
        <v>3076.7</v>
      </c>
      <c r="L494" s="106" t="n">
        <v>0</v>
      </c>
      <c r="M494" s="107" t="n">
        <v>99</v>
      </c>
      <c r="N494" s="108" t="n">
        <f aca="false" ca="false" dt2D="false" dtr="false" t="normal">SUM(P494:T494)</f>
        <v>7813679.5200000005</v>
      </c>
      <c r="O494" s="106" t="n"/>
      <c r="P494" s="113" t="n">
        <v>1812683.7</v>
      </c>
      <c r="Q494" s="114" t="n"/>
      <c r="R494" s="113" t="n">
        <v>329514.57</v>
      </c>
      <c r="S494" s="113" t="n">
        <v>3294488.38</v>
      </c>
      <c r="T494" s="113" t="n">
        <v>2376992.87</v>
      </c>
      <c r="U494" s="114" t="n">
        <v>1109.97150386968</v>
      </c>
      <c r="V494" s="114" t="n">
        <v>1182.283020064</v>
      </c>
      <c r="W494" s="110" t="n">
        <v>2024</v>
      </c>
      <c r="X494" s="9" t="e">
        <f aca="false" ca="false" dt2D="false" dtr="false" t="normal">+#REF!-'[9]Приложение №1'!$P1319</f>
        <v>#REF!</v>
      </c>
      <c r="Z494" s="113" t="n">
        <f aca="false" ca="false" dt2D="false" dtr="false" t="normal">SUM(AA494:AO494)</f>
        <v>19793523.878556486</v>
      </c>
      <c r="AA494" s="106" t="n">
        <v>8669706.2614426</v>
      </c>
      <c r="AB494" s="106" t="n">
        <v>4176471.81071845</v>
      </c>
      <c r="AC494" s="106" t="n">
        <v>2550584.61328421</v>
      </c>
      <c r="AD494" s="106" t="n">
        <v>1718769.16631605</v>
      </c>
      <c r="AE494" s="106" t="n">
        <v>0</v>
      </c>
      <c r="AF494" s="106" t="n"/>
      <c r="AG494" s="106" t="n">
        <v>280018.896264185</v>
      </c>
      <c r="AH494" s="106" t="n">
        <v>0</v>
      </c>
      <c r="AI494" s="106" t="n">
        <v>0</v>
      </c>
      <c r="AJ494" s="106" t="n">
        <v>0</v>
      </c>
      <c r="AK494" s="106" t="n">
        <v>0</v>
      </c>
      <c r="AL494" s="106" t="n">
        <v>0</v>
      </c>
      <c r="AM494" s="106" t="n">
        <v>1819632.42883132</v>
      </c>
      <c r="AN494" s="114" t="n">
        <v>197935.238785565</v>
      </c>
      <c r="AO494" s="115" t="n">
        <v>380405.462914107</v>
      </c>
      <c r="AP494" s="112" t="n">
        <f aca="false" ca="false" dt2D="false" dtr="false" t="normal">+N494-'Приложение №2'!E494</f>
        <v>0</v>
      </c>
      <c r="AQ494" s="9" t="n">
        <f aca="false" ca="false" dt2D="false" dtr="false" t="normal">1855261.06-R384</f>
        <v>1278759.96</v>
      </c>
      <c r="AR494" s="3" t="n">
        <f aca="false" ca="false" dt2D="false" dtr="false" t="normal">+(K494*10.5+L494*21)*12*0.85</f>
        <v>329514.56999999995</v>
      </c>
      <c r="AS494" s="3" t="n">
        <f aca="false" ca="false" dt2D="false" dtr="false" t="normal">+(K494*10.5+L494*21)*12*30-S384</f>
        <v>8999824.802192599</v>
      </c>
      <c r="AT494" s="9" t="n">
        <f aca="false" ca="false" dt2D="false" dtr="false" t="normal">+S494-AS494</f>
        <v>-5705336.422192599</v>
      </c>
      <c r="AU494" s="9" t="e">
        <f aca="false" ca="false" dt2D="false" dtr="false" t="normal">+P494-'[5]Приложение №1'!$P469</f>
        <v>#REF!</v>
      </c>
      <c r="AV494" s="9" t="e">
        <f aca="false" ca="false" dt2D="false" dtr="false" t="normal">+Q494-'[5]Приложение №1'!$Q469</f>
        <v>#REF!</v>
      </c>
      <c r="AW494" s="186" t="n">
        <f aca="false" ca="true" dt2D="false" dtr="false" t="normal">SUBTOTAL(9, AX494:BL494)</f>
        <v>3415049.325955851</v>
      </c>
      <c r="AX494" s="106" t="n"/>
      <c r="AY494" s="106" t="n"/>
      <c r="AZ494" s="106" t="n">
        <v>3025139.69943562</v>
      </c>
      <c r="BA494" s="106" t="n"/>
      <c r="BB494" s="106" t="n">
        <v>0</v>
      </c>
      <c r="BC494" s="106" t="n"/>
      <c r="BD494" s="106" t="n"/>
      <c r="BE494" s="106" t="n">
        <v>0</v>
      </c>
      <c r="BF494" s="106" t="n">
        <v>0</v>
      </c>
      <c r="BG494" s="106" t="n">
        <v>0</v>
      </c>
      <c r="BH494" s="106" t="n">
        <v>0</v>
      </c>
      <c r="BI494" s="106" t="n">
        <v>0</v>
      </c>
      <c r="BJ494" s="106" t="n"/>
      <c r="BK494" s="114" t="n"/>
      <c r="BL494" s="115" t="n">
        <v>389909.626520231</v>
      </c>
      <c r="BM494" s="186" t="n">
        <f aca="false" ca="true" dt2D="false" dtr="false" t="normal">SUBTOTAL(9, BN494:CB494)</f>
        <v>3415049.325955851</v>
      </c>
      <c r="BN494" s="106" t="n"/>
      <c r="BO494" s="106" t="n"/>
      <c r="BP494" s="106" t="n">
        <v>3025139.69943562</v>
      </c>
      <c r="BQ494" s="106" t="n"/>
      <c r="BR494" s="106" t="n">
        <v>0</v>
      </c>
      <c r="BS494" s="106" t="n"/>
      <c r="BT494" s="106" t="n"/>
      <c r="BU494" s="106" t="n">
        <v>0</v>
      </c>
      <c r="BV494" s="106" t="n">
        <v>0</v>
      </c>
      <c r="BW494" s="106" t="n">
        <v>0</v>
      </c>
      <c r="BX494" s="106" t="n">
        <v>0</v>
      </c>
      <c r="BY494" s="106" t="n">
        <v>0</v>
      </c>
      <c r="BZ494" s="106" t="n"/>
      <c r="CA494" s="114" t="n"/>
      <c r="CB494" s="115" t="n">
        <v>389909.626520231</v>
      </c>
      <c r="CD494" s="116" t="n">
        <f aca="false" ca="false" dt2D="false" dtr="false" t="normal">+CD493+1</f>
        <v>472</v>
      </c>
      <c r="CE494" s="117" t="n">
        <f aca="false" ca="false" dt2D="false" dtr="false" t="normal">+CE493+1</f>
        <v>13</v>
      </c>
      <c r="CF494" s="104" t="s">
        <v>75</v>
      </c>
      <c r="CG494" s="117" t="s">
        <v>465</v>
      </c>
      <c r="CH494" s="108" t="n">
        <f aca="false" ca="true" dt2D="false" dtr="false" t="normal">SUBTOTAL(9, CI494:CW494)</f>
        <v>8152581.79</v>
      </c>
      <c r="CI494" s="192" t="n">
        <v>4737532.46</v>
      </c>
      <c r="CJ494" s="114" t="n"/>
      <c r="CK494" s="114" t="n">
        <v>3025139.7</v>
      </c>
      <c r="CL494" s="114" t="n"/>
      <c r="CM494" s="114" t="n">
        <v>0</v>
      </c>
      <c r="CN494" s="114" t="n"/>
      <c r="CO494" s="106" t="n"/>
      <c r="CP494" s="114" t="n">
        <v>0</v>
      </c>
      <c r="CQ494" s="114" t="n">
        <v>0</v>
      </c>
      <c r="CR494" s="114" t="n">
        <v>0</v>
      </c>
      <c r="CS494" s="114" t="n">
        <v>0</v>
      </c>
      <c r="CT494" s="114" t="n">
        <v>0</v>
      </c>
      <c r="CU494" s="114" t="n"/>
      <c r="CV494" s="114" t="n"/>
      <c r="CW494" s="115" t="n">
        <v>389909.63</v>
      </c>
      <c r="CX494" s="3" t="n">
        <f aca="false" ca="false" dt2D="false" dtr="false" t="normal">+N494-CH494</f>
        <v>-338902.26999999955</v>
      </c>
      <c r="CZ494" s="117" t="s">
        <v>465</v>
      </c>
      <c r="DA494" s="113" t="n">
        <f aca="false" ca="true" dt2D="false" dtr="false" t="normal">SUBTOTAL(9, DB494:DP494)</f>
        <v>7813679.5245</v>
      </c>
      <c r="DB494" s="192" t="n">
        <v>4737532.46</v>
      </c>
      <c r="DC494" s="114" t="n"/>
      <c r="DD494" s="114" t="n">
        <v>3025139.7</v>
      </c>
      <c r="DE494" s="114" t="n"/>
      <c r="DF494" s="114" t="n">
        <v>0</v>
      </c>
      <c r="DG494" s="114" t="n"/>
      <c r="DH494" s="106" t="n"/>
      <c r="DI494" s="114" t="n">
        <v>0</v>
      </c>
      <c r="DJ494" s="114" t="n">
        <v>0</v>
      </c>
      <c r="DK494" s="114" t="n">
        <v>0</v>
      </c>
      <c r="DL494" s="114" t="n">
        <v>0</v>
      </c>
      <c r="DM494" s="114" t="n">
        <v>0</v>
      </c>
      <c r="DN494" s="114" t="n"/>
      <c r="DO494" s="114" t="n"/>
      <c r="DP494" s="115" t="n">
        <f aca="false" ca="false" dt2D="false" dtr="false" t="normal">1.15*44354.23</f>
        <v>51007.3645</v>
      </c>
      <c r="DQ494" s="3" t="n"/>
      <c r="DR494" s="1" t="n"/>
      <c r="DS494" s="9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</row>
    <row customFormat="true" hidden="false" ht="15" outlineLevel="0" r="495" s="1">
      <c r="A495" s="183" t="n">
        <f aca="false" ca="false" dt2D="false" dtr="false" t="normal">+A494+1</f>
        <v>473</v>
      </c>
      <c r="B495" s="117" t="n">
        <f aca="false" ca="false" dt2D="false" dtr="false" t="normal">+B494+1</f>
        <v>14</v>
      </c>
      <c r="C495" s="104" t="s">
        <v>524</v>
      </c>
      <c r="D495" s="104" t="s">
        <v>525</v>
      </c>
      <c r="E495" s="105" t="n">
        <v>1996</v>
      </c>
      <c r="F495" s="105" t="n">
        <v>1996</v>
      </c>
      <c r="G495" s="105" t="s">
        <v>68</v>
      </c>
      <c r="H495" s="105" t="n">
        <v>5</v>
      </c>
      <c r="I495" s="105" t="n">
        <v>3</v>
      </c>
      <c r="J495" s="106" t="n">
        <v>4938</v>
      </c>
      <c r="K495" s="106" t="n">
        <v>4205.4</v>
      </c>
      <c r="L495" s="106" t="n">
        <v>368.1</v>
      </c>
      <c r="M495" s="107" t="n">
        <v>156</v>
      </c>
      <c r="N495" s="108" t="n">
        <f aca="false" ca="false" dt2D="false" dtr="false" t="normal">SUM(P495:T495)</f>
        <v>25883294.729999997</v>
      </c>
      <c r="O495" s="106" t="n"/>
      <c r="P495" s="113" t="n"/>
      <c r="Q495" s="114" t="n"/>
      <c r="R495" s="113" t="n">
        <v>893007.83</v>
      </c>
      <c r="S495" s="114" t="n">
        <v>0</v>
      </c>
      <c r="T495" s="113" t="n">
        <v>24990286.9</v>
      </c>
      <c r="U495" s="114" t="n">
        <v>6378.55740208881</v>
      </c>
      <c r="V495" s="114" t="n">
        <v>1183.283020064</v>
      </c>
      <c r="W495" s="110" t="n">
        <v>2024</v>
      </c>
      <c r="X495" s="9" t="e">
        <f aca="false" ca="false" dt2D="false" dtr="false" t="normal">+#REF!-'[9]Приложение №1'!$P1321</f>
        <v>#REF!</v>
      </c>
      <c r="Z495" s="113" t="n">
        <f aca="false" ca="false" dt2D="false" dtr="false" t="normal">SUM(AA495:AO495)</f>
        <v>50568335.21634784</v>
      </c>
      <c r="AA495" s="106" t="n">
        <v>24697562.2487637</v>
      </c>
      <c r="AB495" s="106" t="n">
        <v>11897597.1520703</v>
      </c>
      <c r="AC495" s="106" t="n">
        <v>7265900.40743131</v>
      </c>
      <c r="AD495" s="106" t="n">
        <v>0</v>
      </c>
      <c r="AE495" s="106" t="n">
        <v>0</v>
      </c>
      <c r="AF495" s="106" t="n"/>
      <c r="AG495" s="106" t="n">
        <v>797695.321244258</v>
      </c>
      <c r="AH495" s="106" t="n">
        <v>0</v>
      </c>
      <c r="AI495" s="106" t="n">
        <v>0</v>
      </c>
      <c r="AJ495" s="106" t="n">
        <v>0</v>
      </c>
      <c r="AK495" s="106" t="n">
        <v>0</v>
      </c>
      <c r="AL495" s="106" t="n">
        <v>0</v>
      </c>
      <c r="AM495" s="106" t="n">
        <v>4427300.2092594</v>
      </c>
      <c r="AN495" s="114" t="n">
        <v>505683.352163479</v>
      </c>
      <c r="AO495" s="115" t="n">
        <v>976596.525415395</v>
      </c>
      <c r="AP495" s="112" t="n">
        <f aca="false" ca="false" dt2D="false" dtr="false" t="normal">+N495-'Приложение №2'!E495</f>
        <v>0</v>
      </c>
      <c r="AQ495" s="1" t="n">
        <v>45757.05</v>
      </c>
      <c r="AR495" s="3" t="n">
        <f aca="false" ca="false" dt2D="false" dtr="false" t="normal">+(K495*10.5+L495*21)*12*0.85</f>
        <v>529245.36</v>
      </c>
      <c r="AS495" s="3" t="n">
        <f aca="false" ca="false" dt2D="false" dtr="false" t="normal">+(K495*10.5+L495*21)*12*30</f>
        <v>18679248</v>
      </c>
      <c r="AT495" s="9" t="n">
        <f aca="false" ca="false" dt2D="false" dtr="false" t="normal">+S495-AS495</f>
        <v>-18679248</v>
      </c>
      <c r="AU495" s="9" t="e">
        <f aca="false" ca="false" dt2D="false" dtr="false" t="normal">+P495-'[5]Приложение №1'!$P470</f>
        <v>#REF!</v>
      </c>
      <c r="AV495" s="9" t="e">
        <f aca="false" ca="false" dt2D="false" dtr="false" t="normal">+Q495-'[5]Приложение №1'!$Q470</f>
        <v>#REF!</v>
      </c>
      <c r="AW495" s="186" t="n">
        <f aca="false" ca="true" dt2D="false" dtr="false" t="normal">SUBTOTAL(9, AX495:BL495)</f>
        <v>26824385.29874431</v>
      </c>
      <c r="AX495" s="106" t="n">
        <v>14432823.3023171</v>
      </c>
      <c r="AY495" s="106" t="n">
        <v>7108989.15085632</v>
      </c>
      <c r="AZ495" s="106" t="n">
        <v>4341482.2764144</v>
      </c>
      <c r="BA495" s="106" t="n">
        <v>0</v>
      </c>
      <c r="BB495" s="106" t="n">
        <v>0</v>
      </c>
      <c r="BC495" s="106" t="n">
        <v>0</v>
      </c>
      <c r="BD495" s="106" t="n">
        <v>432862.1052912</v>
      </c>
      <c r="BE495" s="106" t="n">
        <v>0</v>
      </c>
      <c r="BF495" s="106" t="n">
        <v>0</v>
      </c>
      <c r="BG495" s="106" t="n">
        <v>0</v>
      </c>
      <c r="BH495" s="106" t="n">
        <v>0</v>
      </c>
      <c r="BI495" s="106" t="n">
        <v>0</v>
      </c>
      <c r="BJ495" s="106" t="n"/>
      <c r="BK495" s="114" t="n"/>
      <c r="BL495" s="115" t="n">
        <v>508228.463865288</v>
      </c>
      <c r="BM495" s="186" t="n">
        <f aca="false" ca="true" dt2D="false" dtr="false" t="normal">SUBTOTAL(9, BN495:CB495)</f>
        <v>26824385.29874431</v>
      </c>
      <c r="BN495" s="106" t="n">
        <v>14432823.3023171</v>
      </c>
      <c r="BO495" s="106" t="n">
        <v>7108989.15085632</v>
      </c>
      <c r="BP495" s="106" t="n">
        <v>4341482.2764144</v>
      </c>
      <c r="BQ495" s="106" t="n">
        <v>0</v>
      </c>
      <c r="BR495" s="106" t="n">
        <v>0</v>
      </c>
      <c r="BS495" s="106" t="n">
        <v>0</v>
      </c>
      <c r="BT495" s="106" t="n">
        <v>432862.1052912</v>
      </c>
      <c r="BU495" s="106" t="n">
        <v>0</v>
      </c>
      <c r="BV495" s="106" t="n">
        <v>0</v>
      </c>
      <c r="BW495" s="106" t="n">
        <v>0</v>
      </c>
      <c r="BX495" s="106" t="n">
        <v>0</v>
      </c>
      <c r="BY495" s="106" t="n">
        <v>0</v>
      </c>
      <c r="BZ495" s="106" t="n"/>
      <c r="CA495" s="114" t="n"/>
      <c r="CB495" s="115" t="n">
        <v>508228.463865288</v>
      </c>
      <c r="CD495" s="116" t="n">
        <f aca="false" ca="false" dt2D="false" dtr="false" t="normal">+CD494+1</f>
        <v>473</v>
      </c>
      <c r="CE495" s="117" t="n">
        <f aca="false" ca="false" dt2D="false" dtr="false" t="normal">+CE494+1</f>
        <v>14</v>
      </c>
      <c r="CF495" s="104" t="s">
        <v>524</v>
      </c>
      <c r="CG495" s="117" t="s">
        <v>525</v>
      </c>
      <c r="CH495" s="108" t="n">
        <f aca="false" ca="true" dt2D="false" dtr="false" t="normal">SUBTOTAL(9, CI495:CW495)</f>
        <v>26391523.190000005</v>
      </c>
      <c r="CI495" s="106" t="n">
        <v>14432823.3</v>
      </c>
      <c r="CJ495" s="114" t="n">
        <v>7108989.15</v>
      </c>
      <c r="CK495" s="114" t="n">
        <v>4341482.28</v>
      </c>
      <c r="CL495" s="114" t="n">
        <v>0</v>
      </c>
      <c r="CM495" s="114" t="n">
        <v>0</v>
      </c>
      <c r="CN495" s="114" t="n">
        <v>0</v>
      </c>
      <c r="CO495" s="106" t="n"/>
      <c r="CP495" s="114" t="n">
        <v>0</v>
      </c>
      <c r="CQ495" s="114" t="n">
        <v>0</v>
      </c>
      <c r="CR495" s="114" t="n">
        <v>0</v>
      </c>
      <c r="CS495" s="114" t="n">
        <v>0</v>
      </c>
      <c r="CT495" s="114" t="n">
        <v>0</v>
      </c>
      <c r="CU495" s="114" t="n"/>
      <c r="CV495" s="114" t="n"/>
      <c r="CW495" s="115" t="n">
        <v>508228.46</v>
      </c>
      <c r="CX495" s="3" t="n">
        <f aca="false" ca="false" dt2D="false" dtr="false" t="normal">+N495-CH495</f>
        <v>-508228.46000000834</v>
      </c>
      <c r="CZ495" s="117" t="s">
        <v>525</v>
      </c>
      <c r="DA495" s="113" t="n">
        <f aca="false" ca="true" dt2D="false" dtr="false" t="normal">SUBTOTAL(9, DB495:DP495)</f>
        <v>25883294.730000004</v>
      </c>
      <c r="DB495" s="106" t="n">
        <v>14432823.3</v>
      </c>
      <c r="DC495" s="114" t="n">
        <v>7108989.15</v>
      </c>
      <c r="DD495" s="114" t="n">
        <v>4341482.28</v>
      </c>
      <c r="DE495" s="114" t="n">
        <v>0</v>
      </c>
      <c r="DF495" s="114" t="n">
        <v>0</v>
      </c>
      <c r="DG495" s="114" t="n">
        <v>0</v>
      </c>
      <c r="DH495" s="106" t="n"/>
      <c r="DI495" s="114" t="n">
        <v>0</v>
      </c>
      <c r="DJ495" s="114" t="n">
        <v>0</v>
      </c>
      <c r="DK495" s="114" t="n">
        <v>0</v>
      </c>
      <c r="DL495" s="114" t="n">
        <v>0</v>
      </c>
      <c r="DM495" s="114" t="n">
        <v>0</v>
      </c>
      <c r="DN495" s="114" t="n"/>
      <c r="DO495" s="114" t="n"/>
      <c r="DP495" s="240" t="n"/>
      <c r="DQ495" s="3" t="n"/>
      <c r="DR495" s="1" t="n"/>
      <c r="DS495" s="9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</row>
    <row customFormat="true" hidden="false" ht="15" outlineLevel="0" r="496" s="129">
      <c r="A496" s="183" t="n">
        <f aca="false" ca="false" dt2D="false" dtr="false" t="normal">+A495+1</f>
        <v>474</v>
      </c>
      <c r="B496" s="117" t="n">
        <f aca="false" ca="false" dt2D="false" dtr="false" t="normal">+B495+1</f>
        <v>15</v>
      </c>
      <c r="C496" s="104" t="s">
        <v>526</v>
      </c>
      <c r="D496" s="104" t="s">
        <v>527</v>
      </c>
      <c r="E496" s="105" t="s">
        <v>436</v>
      </c>
      <c r="F496" s="105" t="n"/>
      <c r="G496" s="105" t="s">
        <v>68</v>
      </c>
      <c r="H496" s="105" t="s">
        <v>104</v>
      </c>
      <c r="I496" s="105" t="s">
        <v>187</v>
      </c>
      <c r="J496" s="106" t="n">
        <v>3731.6</v>
      </c>
      <c r="K496" s="106" t="n">
        <v>3131.6</v>
      </c>
      <c r="L496" s="106" t="n">
        <v>600</v>
      </c>
      <c r="M496" s="107" t="n">
        <v>135</v>
      </c>
      <c r="N496" s="108" t="n">
        <f aca="false" ca="false" dt2D="false" dtr="false" t="normal">SUM(P496:T496)</f>
        <v>33055292.519999996</v>
      </c>
      <c r="O496" s="106" t="n">
        <v>0</v>
      </c>
      <c r="P496" s="113" t="n">
        <v>1120717.45</v>
      </c>
      <c r="Q496" s="114" t="n"/>
      <c r="R496" s="113" t="n">
        <v>441823.2</v>
      </c>
      <c r="S496" s="113" t="n">
        <v>15593760</v>
      </c>
      <c r="T496" s="113" t="n">
        <v>15898991.87</v>
      </c>
      <c r="U496" s="106" t="n">
        <v>9389.2312832</v>
      </c>
      <c r="V496" s="106" t="n">
        <v>9389.2312832</v>
      </c>
      <c r="W496" s="110" t="n">
        <v>2024</v>
      </c>
      <c r="X496" s="129" t="n">
        <v>812156.34</v>
      </c>
      <c r="Y496" s="129" t="n">
        <f aca="false" ca="false" dt2D="false" dtr="false" t="normal">+(K496*9.1+L496*18.19)*12</f>
        <v>472938.72</v>
      </c>
      <c r="AA496" s="130" t="e">
        <f aca="false" ca="false" dt2D="false" dtr="false" t="normal">+N496-'[8]Приложение № 2'!E576</f>
        <v>#REF!</v>
      </c>
      <c r="AD496" s="130" t="e">
        <f aca="false" ca="false" dt2D="false" dtr="false" t="normal">+N496-'[8]Приложение № 2'!E576</f>
        <v>#REF!</v>
      </c>
      <c r="AP496" s="112" t="n">
        <f aca="false" ca="false" dt2D="false" dtr="false" t="normal">+N496-'Приложение №2'!E496</f>
        <v>0</v>
      </c>
      <c r="AQ496" s="132" t="n">
        <f aca="false" ca="false" dt2D="false" dtr="false" t="normal">1031781.22</f>
        <v>1031781.22</v>
      </c>
      <c r="AR496" s="3" t="n">
        <f aca="false" ca="false" dt2D="false" dtr="false" t="normal">+(K496*10+L496*20)*12*0.85</f>
        <v>441823.2</v>
      </c>
      <c r="AS496" s="3" t="n">
        <f aca="false" ca="false" dt2D="false" dtr="false" t="normal">+(K496*10+L496*20)*12*30</f>
        <v>15593760</v>
      </c>
      <c r="AT496" s="9" t="n">
        <f aca="false" ca="false" dt2D="false" dtr="false" t="normal">+S496-AS496</f>
        <v>0</v>
      </c>
      <c r="AU496" s="9" t="e">
        <f aca="false" ca="false" dt2D="false" dtr="false" t="normal">+P496-'[5]Приложение №1'!$P587</f>
        <v>#REF!</v>
      </c>
      <c r="AV496" s="9" t="e">
        <f aca="false" ca="false" dt2D="false" dtr="false" t="normal">+Q496-'[5]Приложение №1'!$Q587</f>
        <v>#REF!</v>
      </c>
      <c r="AW496" s="113" t="n">
        <f aca="false" ca="true" dt2D="false" dtr="false" t="normal">SUBTOTAL(9, AX496:BL496)</f>
        <v>35036855.45638917</v>
      </c>
      <c r="AX496" s="106" t="n"/>
      <c r="AY496" s="106" t="n"/>
      <c r="AZ496" s="106" t="n"/>
      <c r="BA496" s="106" t="n"/>
      <c r="BB496" s="106" t="n"/>
      <c r="BC496" s="106" t="n"/>
      <c r="BD496" s="106" t="n"/>
      <c r="BE496" s="106" t="n"/>
      <c r="BF496" s="106" t="n">
        <v>13204189.2203006</v>
      </c>
      <c r="BG496" s="106" t="n"/>
      <c r="BH496" s="106" t="n">
        <v>18418596.8890797</v>
      </c>
      <c r="BI496" s="106" t="n">
        <v>0</v>
      </c>
      <c r="BJ496" s="106" t="n">
        <v>2372174.5072</v>
      </c>
      <c r="BK496" s="114" t="n">
        <v>350368.554563891</v>
      </c>
      <c r="BL496" s="115" t="n">
        <v>691526.28524498</v>
      </c>
      <c r="BM496" s="113" t="n">
        <f aca="false" ca="true" dt2D="false" dtr="false" t="normal">SUBTOTAL(9, BN496:CB496)</f>
        <v>35036855.45638917</v>
      </c>
      <c r="BN496" s="106" t="n"/>
      <c r="BO496" s="106" t="n"/>
      <c r="BP496" s="106" t="n"/>
      <c r="BQ496" s="106" t="n"/>
      <c r="BR496" s="106" t="n"/>
      <c r="BS496" s="106" t="n"/>
      <c r="BT496" s="106" t="n"/>
      <c r="BU496" s="106" t="n"/>
      <c r="BV496" s="106" t="n">
        <v>13204189.2203006</v>
      </c>
      <c r="BW496" s="106" t="n"/>
      <c r="BX496" s="106" t="n">
        <v>18418596.8890797</v>
      </c>
      <c r="BY496" s="106" t="n">
        <v>0</v>
      </c>
      <c r="BZ496" s="106" t="n">
        <v>2372174.5072</v>
      </c>
      <c r="CA496" s="114" t="n">
        <v>350368.554563891</v>
      </c>
      <c r="CB496" s="115" t="n">
        <v>691526.28524498</v>
      </c>
      <c r="CD496" s="116" t="n">
        <f aca="false" ca="false" dt2D="false" dtr="false" t="normal">+CD495+1</f>
        <v>474</v>
      </c>
      <c r="CE496" s="117" t="n">
        <f aca="false" ca="false" dt2D="false" dtr="false" t="normal">+CE495+1</f>
        <v>15</v>
      </c>
      <c r="CF496" s="104" t="s">
        <v>528</v>
      </c>
      <c r="CG496" s="117" t="s">
        <v>527</v>
      </c>
      <c r="CH496" s="108" t="n">
        <f aca="false" ca="true" dt2D="false" dtr="false" t="normal">SUBTOTAL(9, CI496:CW496)</f>
        <v>33055292.520000003</v>
      </c>
      <c r="CI496" s="106" t="n"/>
      <c r="CJ496" s="114" t="n"/>
      <c r="CK496" s="114" t="n"/>
      <c r="CL496" s="114" t="n"/>
      <c r="CM496" s="114" t="n"/>
      <c r="CN496" s="114" t="n"/>
      <c r="CO496" s="106" t="n"/>
      <c r="CP496" s="114" t="n"/>
      <c r="CQ496" s="114" t="n">
        <v>13204189.22</v>
      </c>
      <c r="CR496" s="114" t="n"/>
      <c r="CS496" s="114" t="n">
        <v>19851103.3</v>
      </c>
      <c r="CT496" s="114" t="n">
        <v>0</v>
      </c>
      <c r="CU496" s="114" t="n"/>
      <c r="CV496" s="114" t="n"/>
      <c r="CW496" s="115" t="n"/>
      <c r="CX496" s="3" t="n">
        <f aca="false" ca="false" dt2D="false" dtr="false" t="normal">+N496-CH496</f>
        <v>0</v>
      </c>
      <c r="CZ496" s="117" t="s">
        <v>527</v>
      </c>
      <c r="DA496" s="113" t="n">
        <f aca="false" ca="true" dt2D="false" dtr="false" t="normal">SUBTOTAL(9, DB496:DP496)</f>
        <v>33055292.520000003</v>
      </c>
      <c r="DB496" s="106" t="n"/>
      <c r="DC496" s="114" t="n"/>
      <c r="DD496" s="114" t="n"/>
      <c r="DE496" s="114" t="n"/>
      <c r="DF496" s="114" t="n"/>
      <c r="DG496" s="114" t="n"/>
      <c r="DH496" s="106" t="n"/>
      <c r="DI496" s="114" t="n"/>
      <c r="DJ496" s="114" t="n">
        <v>13204189.22</v>
      </c>
      <c r="DK496" s="114" t="n"/>
      <c r="DL496" s="114" t="n">
        <v>19851103.3</v>
      </c>
      <c r="DM496" s="114" t="n">
        <v>0</v>
      </c>
      <c r="DN496" s="241" t="n"/>
      <c r="DO496" s="241" t="n"/>
      <c r="DP496" s="240" t="n"/>
      <c r="DQ496" s="3" t="n"/>
      <c r="DR496" s="1" t="n"/>
      <c r="DS496" s="9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</row>
    <row customFormat="true" hidden="false" ht="15" outlineLevel="0" r="497" s="129">
      <c r="A497" s="183" t="n">
        <f aca="false" ca="false" dt2D="false" dtr="false" t="normal">+A496+1</f>
        <v>475</v>
      </c>
      <c r="B497" s="117" t="n">
        <f aca="false" ca="false" dt2D="false" dtr="false" t="normal">+B496+1</f>
        <v>16</v>
      </c>
      <c r="C497" s="104" t="s">
        <v>526</v>
      </c>
      <c r="D497" s="104" t="s">
        <v>529</v>
      </c>
      <c r="E497" s="105" t="s">
        <v>438</v>
      </c>
      <c r="F497" s="105" t="n"/>
      <c r="G497" s="105" t="s">
        <v>68</v>
      </c>
      <c r="H497" s="105" t="s">
        <v>104</v>
      </c>
      <c r="I497" s="105" t="s">
        <v>104</v>
      </c>
      <c r="J497" s="106" t="n">
        <v>4283</v>
      </c>
      <c r="K497" s="106" t="n">
        <v>3860.1</v>
      </c>
      <c r="L497" s="106" t="n">
        <v>409</v>
      </c>
      <c r="M497" s="107" t="n">
        <v>142</v>
      </c>
      <c r="N497" s="108" t="n">
        <f aca="false" ca="false" dt2D="false" dtr="false" t="normal">SUM(P497:T497)</f>
        <v>38180923.56</v>
      </c>
      <c r="O497" s="106" t="n">
        <v>0</v>
      </c>
      <c r="P497" s="113" t="n">
        <v>11479540.36</v>
      </c>
      <c r="Q497" s="114" t="n"/>
      <c r="R497" s="113" t="n">
        <v>966766.22</v>
      </c>
      <c r="S497" s="113" t="n">
        <v>16532947.63</v>
      </c>
      <c r="T497" s="113" t="n">
        <v>9201669.35</v>
      </c>
      <c r="U497" s="106" t="n">
        <v>4453.38690300063</v>
      </c>
      <c r="V497" s="106" t="n">
        <v>4453.38690300063</v>
      </c>
      <c r="W497" s="110" t="n">
        <v>2024</v>
      </c>
      <c r="X497" s="129" t="n">
        <v>1086066.79</v>
      </c>
      <c r="Y497" s="129" t="n">
        <f aca="false" ca="false" dt2D="false" dtr="false" t="normal">+(K497*9.1+L497*18.19)*12</f>
        <v>510799.43999999994</v>
      </c>
      <c r="AA497" s="130" t="e">
        <f aca="false" ca="false" dt2D="false" dtr="false" t="normal">+N497-'[8]Приложение № 2'!E206</f>
        <v>#REF!</v>
      </c>
      <c r="AD497" s="130" t="e">
        <f aca="false" ca="false" dt2D="false" dtr="false" t="normal">+N497-'[8]Приложение № 2'!E206</f>
        <v>#REF!</v>
      </c>
      <c r="AP497" s="112" t="e">
        <f aca="false" ca="false" dt2D="false" dtr="false" t="normal">+N497-#REF!</f>
        <v>#REF!</v>
      </c>
      <c r="AQ497" s="129" t="n">
        <v>1338217.39</v>
      </c>
      <c r="AR497" s="3" t="n">
        <f aca="false" ca="false" dt2D="false" dtr="false" t="normal">+(K497*10+L497*20)*12*0.85</f>
        <v>477166.2</v>
      </c>
      <c r="AS497" s="3" t="n">
        <f aca="false" ca="false" dt2D="false" dtr="false" t="normal">+(K497*10+L497*20)*12*30</f>
        <v>16841160</v>
      </c>
      <c r="AT497" s="9" t="n">
        <f aca="false" ca="false" dt2D="false" dtr="false" t="normal">+S497-AS497</f>
        <v>-308212.3699999992</v>
      </c>
      <c r="AU497" s="9" t="e">
        <f aca="false" ca="false" dt2D="false" dtr="false" t="normal">+P497-'[5]Приложение №1'!$P217</f>
        <v>#REF!</v>
      </c>
      <c r="AV497" s="9" t="e">
        <f aca="false" ca="false" dt2D="false" dtr="false" t="normal">+Q497-'[5]Приложение №1'!$Q217</f>
        <v>#REF!</v>
      </c>
      <c r="AW497" s="113" t="n">
        <f aca="false" ca="true" dt2D="false" dtr="false" t="normal">SUBTOTAL(9, AX497:BL497)</f>
        <v>19011954.02768273</v>
      </c>
      <c r="AX497" s="106" t="n"/>
      <c r="AY497" s="106" t="n"/>
      <c r="AZ497" s="106" t="n"/>
      <c r="BA497" s="106" t="n"/>
      <c r="BB497" s="106" t="n"/>
      <c r="BC497" s="106" t="n"/>
      <c r="BD497" s="106" t="n"/>
      <c r="BE497" s="106" t="n"/>
      <c r="BF497" s="106" t="n">
        <v>15127234.2017045</v>
      </c>
      <c r="BG497" s="106" t="n"/>
      <c r="BH497" s="106" t="n"/>
      <c r="BI497" s="106" t="n">
        <v>0</v>
      </c>
      <c r="BJ497" s="106" t="n">
        <v>2692288.6747</v>
      </c>
      <c r="BK497" s="114" t="n">
        <v>400835.672711091</v>
      </c>
      <c r="BL497" s="187" t="n">
        <v>791595.478567138</v>
      </c>
      <c r="BM497" s="113" t="n">
        <f aca="false" ca="true" dt2D="false" dtr="false" t="normal">SUBTOTAL(9, BN497:CB497)</f>
        <v>19011954.02768273</v>
      </c>
      <c r="BN497" s="106" t="n"/>
      <c r="BO497" s="106" t="n"/>
      <c r="BP497" s="106" t="n"/>
      <c r="BQ497" s="106" t="n"/>
      <c r="BR497" s="106" t="n"/>
      <c r="BS497" s="106" t="n"/>
      <c r="BT497" s="106" t="n"/>
      <c r="BU497" s="106" t="n"/>
      <c r="BV497" s="106" t="n">
        <v>15127234.2017045</v>
      </c>
      <c r="BW497" s="106" t="n"/>
      <c r="BX497" s="106" t="n"/>
      <c r="BY497" s="106" t="n">
        <v>0</v>
      </c>
      <c r="BZ497" s="106" t="n">
        <v>2692288.6747</v>
      </c>
      <c r="CA497" s="114" t="n">
        <v>400835.672711091</v>
      </c>
      <c r="CB497" s="115" t="n">
        <v>791595.478567138</v>
      </c>
      <c r="CD497" s="116" t="n">
        <f aca="false" ca="false" dt2D="false" dtr="false" t="normal">+CD496+1</f>
        <v>475</v>
      </c>
      <c r="CE497" s="117" t="n">
        <f aca="false" ca="false" dt2D="false" dtr="false" t="normal">+CE496+1</f>
        <v>16</v>
      </c>
      <c r="CF497" s="104" t="s">
        <v>528</v>
      </c>
      <c r="CG497" s="117" t="s">
        <v>529</v>
      </c>
      <c r="CH497" s="108" t="n">
        <f aca="false" ca="true" dt2D="false" dtr="false" t="normal">SUBTOTAL(9, CI497:CW497)</f>
        <v>38180923.56</v>
      </c>
      <c r="CI497" s="106" t="n"/>
      <c r="CJ497" s="114" t="n"/>
      <c r="CK497" s="114" t="n"/>
      <c r="CL497" s="114" t="n"/>
      <c r="CM497" s="114" t="n"/>
      <c r="CN497" s="114" t="n"/>
      <c r="CO497" s="106" t="n"/>
      <c r="CP497" s="114" t="n"/>
      <c r="CQ497" s="243" t="n">
        <v>14729101.2</v>
      </c>
      <c r="CR497" s="114" t="n"/>
      <c r="CS497" s="114" t="n">
        <v>23451822.36</v>
      </c>
      <c r="CT497" s="114" t="n">
        <v>0</v>
      </c>
      <c r="CU497" s="114" t="n"/>
      <c r="CV497" s="114" t="n"/>
      <c r="CW497" s="115" t="n"/>
      <c r="CX497" s="3" t="n">
        <f aca="false" ca="false" dt2D="false" dtr="false" t="normal">+N497-CH497</f>
        <v>0</v>
      </c>
      <c r="CZ497" s="117" t="s">
        <v>529</v>
      </c>
      <c r="DA497" s="113" t="n">
        <f aca="false" ca="true" dt2D="false" dtr="false" t="normal">SUBTOTAL(9, DB497:DP497)</f>
        <v>38180923.56</v>
      </c>
      <c r="DB497" s="106" t="n"/>
      <c r="DC497" s="114" t="n"/>
      <c r="DD497" s="114" t="n"/>
      <c r="DE497" s="114" t="n"/>
      <c r="DF497" s="114" t="n"/>
      <c r="DG497" s="114" t="n"/>
      <c r="DH497" s="106" t="n"/>
      <c r="DI497" s="114" t="n"/>
      <c r="DJ497" s="243" t="n">
        <v>14729101.2</v>
      </c>
      <c r="DK497" s="114" t="n"/>
      <c r="DL497" s="114" t="n">
        <v>23451822.36</v>
      </c>
      <c r="DM497" s="114" t="n">
        <v>0</v>
      </c>
      <c r="DN497" s="241" t="n"/>
      <c r="DO497" s="241" t="n"/>
      <c r="DP497" s="240" t="n"/>
      <c r="DQ497" s="3" t="n"/>
      <c r="DR497" s="1" t="n"/>
      <c r="DS497" s="9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</row>
    <row customFormat="true" hidden="false" ht="15" outlineLevel="0" r="498" s="129">
      <c r="A498" s="183" t="n">
        <f aca="false" ca="false" dt2D="false" dtr="false" t="normal">+A497+1</f>
        <v>476</v>
      </c>
      <c r="B498" s="117" t="n">
        <f aca="false" ca="false" dt2D="false" dtr="false" t="normal">+B497+1</f>
        <v>17</v>
      </c>
      <c r="C498" s="104" t="s">
        <v>526</v>
      </c>
      <c r="D498" s="104" t="s">
        <v>530</v>
      </c>
      <c r="E498" s="105" t="s">
        <v>432</v>
      </c>
      <c r="F498" s="105" t="n"/>
      <c r="G498" s="105" t="s">
        <v>68</v>
      </c>
      <c r="H498" s="105" t="s">
        <v>104</v>
      </c>
      <c r="I498" s="105" t="s">
        <v>148</v>
      </c>
      <c r="J498" s="106" t="n">
        <v>3806</v>
      </c>
      <c r="K498" s="106" t="n">
        <v>3356.9</v>
      </c>
      <c r="L498" s="106" t="n">
        <v>351</v>
      </c>
      <c r="M498" s="107" t="n">
        <v>104</v>
      </c>
      <c r="N498" s="108" t="n">
        <f aca="false" ca="false" dt2D="false" dtr="false" t="normal">SUM(P498:T498)</f>
        <v>31088512.759999998</v>
      </c>
      <c r="O498" s="106" t="n">
        <v>0</v>
      </c>
      <c r="P498" s="113" t="n">
        <v>9256409.43</v>
      </c>
      <c r="Q498" s="114" t="n"/>
      <c r="R498" s="113" t="n">
        <v>1312528.85</v>
      </c>
      <c r="S498" s="113" t="n">
        <v>13987916.55</v>
      </c>
      <c r="T498" s="113" t="n">
        <v>6531657.93</v>
      </c>
      <c r="U498" s="106" t="n">
        <v>4453.38690302</v>
      </c>
      <c r="V498" s="106" t="n">
        <v>4453.38690302</v>
      </c>
      <c r="W498" s="110" t="n">
        <v>2024</v>
      </c>
      <c r="X498" s="129" t="n">
        <v>1052695.63</v>
      </c>
      <c r="Y498" s="129" t="n">
        <f aca="false" ca="false" dt2D="false" dtr="false" t="normal">+(K498*9.1+L498*18.19)*12</f>
        <v>443189.76</v>
      </c>
      <c r="AA498" s="130" t="e">
        <f aca="false" ca="false" dt2D="false" dtr="false" t="normal">+N498-'[8]Приложение № 2'!E207</f>
        <v>#REF!</v>
      </c>
      <c r="AD498" s="130" t="e">
        <f aca="false" ca="false" dt2D="false" dtr="false" t="normal">+N498-'[8]Приложение № 2'!E207</f>
        <v>#REF!</v>
      </c>
      <c r="AP498" s="112" t="e">
        <f aca="false" ca="false" dt2D="false" dtr="false" t="normal">+N498-#REF!</f>
        <v>#REF!</v>
      </c>
      <c r="AQ498" s="129" t="n">
        <v>1309419.32</v>
      </c>
      <c r="AR498" s="3" t="n">
        <f aca="false" ca="false" dt2D="false" dtr="false" t="normal">+(K498*10+L498*20)*12*0.85</f>
        <v>414007.8</v>
      </c>
      <c r="AS498" s="3" t="n">
        <f aca="false" ca="false" dt2D="false" dtr="false" t="normal">+(K498*10+L498*20)*12*30</f>
        <v>14612040</v>
      </c>
      <c r="AT498" s="9" t="n">
        <f aca="false" ca="false" dt2D="false" dtr="false" t="normal">+S498-AS498</f>
        <v>-624123.4499999993</v>
      </c>
      <c r="AU498" s="9" t="e">
        <f aca="false" ca="false" dt2D="false" dtr="false" t="normal">+P498-'[5]Приложение №1'!$P218</f>
        <v>#REF!</v>
      </c>
      <c r="AV498" s="9" t="e">
        <f aca="false" ca="false" dt2D="false" dtr="false" t="normal">+Q498-'[5]Приложение №1'!$Q218</f>
        <v>#REF!</v>
      </c>
      <c r="AW498" s="113" t="n">
        <f aca="false" ca="true" dt2D="false" dtr="false" t="normal">SUBTOTAL(9, AX498:BL498)</f>
        <v>16512713.29770782</v>
      </c>
      <c r="AX498" s="106" t="n"/>
      <c r="AY498" s="106" t="n"/>
      <c r="AZ498" s="106" t="n"/>
      <c r="BA498" s="106" t="n"/>
      <c r="BB498" s="106" t="n"/>
      <c r="BC498" s="106" t="n"/>
      <c r="BD498" s="106" t="n"/>
      <c r="BE498" s="106" t="n"/>
      <c r="BF498" s="106" t="n">
        <v>13110233.174834</v>
      </c>
      <c r="BG498" s="106" t="n"/>
      <c r="BH498" s="106" t="n"/>
      <c r="BI498" s="106" t="n">
        <v>0</v>
      </c>
      <c r="BJ498" s="106" t="n">
        <v>2367423.2643</v>
      </c>
      <c r="BK498" s="114" t="n">
        <v>348143.306749773</v>
      </c>
      <c r="BL498" s="187" t="n">
        <v>686913.551824049</v>
      </c>
      <c r="BM498" s="113" t="n">
        <f aca="false" ca="true" dt2D="false" dtr="false" t="normal">SUBTOTAL(9, BN498:CB498)</f>
        <v>16512713.29770782</v>
      </c>
      <c r="BN498" s="106" t="n"/>
      <c r="BO498" s="106" t="n"/>
      <c r="BP498" s="106" t="n"/>
      <c r="BQ498" s="106" t="n"/>
      <c r="BR498" s="106" t="n"/>
      <c r="BS498" s="106" t="n"/>
      <c r="BT498" s="106" t="n"/>
      <c r="BU498" s="106" t="n"/>
      <c r="BV498" s="106" t="n">
        <v>13110233.174834</v>
      </c>
      <c r="BW498" s="106" t="n"/>
      <c r="BX498" s="106" t="n"/>
      <c r="BY498" s="106" t="n">
        <v>0</v>
      </c>
      <c r="BZ498" s="106" t="n">
        <v>2367423.2643</v>
      </c>
      <c r="CA498" s="114" t="n">
        <v>348143.306749773</v>
      </c>
      <c r="CB498" s="115" t="n">
        <v>686913.551824049</v>
      </c>
      <c r="CD498" s="116" t="n">
        <f aca="false" ca="false" dt2D="false" dtr="false" t="normal">+CD497+1</f>
        <v>476</v>
      </c>
      <c r="CE498" s="117" t="n">
        <f aca="false" ca="false" dt2D="false" dtr="false" t="normal">+CE497+1</f>
        <v>17</v>
      </c>
      <c r="CF498" s="104" t="s">
        <v>528</v>
      </c>
      <c r="CG498" s="117" t="s">
        <v>530</v>
      </c>
      <c r="CH498" s="108" t="n">
        <f aca="false" ca="true" dt2D="false" dtr="false" t="normal">SUBTOTAL(9, CI498:CW498)</f>
        <v>31088512.76</v>
      </c>
      <c r="CI498" s="106" t="n"/>
      <c r="CJ498" s="114" t="n"/>
      <c r="CK498" s="114" t="n"/>
      <c r="CL498" s="114" t="n"/>
      <c r="CM498" s="114" t="n"/>
      <c r="CN498" s="114" t="n"/>
      <c r="CO498" s="106" t="n"/>
      <c r="CP498" s="114" t="n"/>
      <c r="CQ498" s="243" t="n">
        <v>11006754</v>
      </c>
      <c r="CR498" s="114" t="n"/>
      <c r="CS498" s="243" t="n">
        <v>20081758.76</v>
      </c>
      <c r="CT498" s="114" t="n">
        <v>0</v>
      </c>
      <c r="CU498" s="114" t="n"/>
      <c r="CV498" s="114" t="n"/>
      <c r="CW498" s="115" t="n"/>
      <c r="CX498" s="3" t="n">
        <f aca="false" ca="false" dt2D="false" dtr="false" t="normal">+N498-CH498</f>
        <v>0</v>
      </c>
      <c r="CZ498" s="117" t="s">
        <v>530</v>
      </c>
      <c r="DA498" s="113" t="n">
        <f aca="false" ca="true" dt2D="false" dtr="false" t="normal">SUBTOTAL(9, DB498:DP498)</f>
        <v>31088512.76</v>
      </c>
      <c r="DB498" s="106" t="n"/>
      <c r="DC498" s="114" t="n"/>
      <c r="DD498" s="114" t="n"/>
      <c r="DE498" s="114" t="n"/>
      <c r="DF498" s="114" t="n"/>
      <c r="DG498" s="114" t="n"/>
      <c r="DH498" s="106" t="n"/>
      <c r="DI498" s="114" t="n"/>
      <c r="DJ498" s="243" t="n">
        <v>11006754</v>
      </c>
      <c r="DK498" s="114" t="n"/>
      <c r="DL498" s="243" t="n">
        <v>20081758.76</v>
      </c>
      <c r="DM498" s="114" t="n">
        <v>0</v>
      </c>
      <c r="DN498" s="241" t="n"/>
      <c r="DO498" s="241" t="n"/>
      <c r="DP498" s="240" t="n"/>
      <c r="DQ498" s="3" t="n"/>
      <c r="DR498" s="1" t="n"/>
      <c r="DS498" s="9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</row>
    <row customFormat="true" hidden="false" ht="15" outlineLevel="0" r="499" s="129">
      <c r="A499" s="183" t="n">
        <f aca="false" ca="false" dt2D="false" dtr="false" t="normal">+A498+1</f>
        <v>477</v>
      </c>
      <c r="B499" s="117" t="n">
        <f aca="false" ca="false" dt2D="false" dtr="false" t="normal">+B498+1</f>
        <v>18</v>
      </c>
      <c r="C499" s="104" t="s">
        <v>526</v>
      </c>
      <c r="D499" s="104" t="s">
        <v>531</v>
      </c>
      <c r="E499" s="105" t="s">
        <v>267</v>
      </c>
      <c r="F499" s="105" t="n"/>
      <c r="G499" s="105" t="s">
        <v>68</v>
      </c>
      <c r="H499" s="105" t="s">
        <v>104</v>
      </c>
      <c r="I499" s="105" t="s">
        <v>148</v>
      </c>
      <c r="J499" s="106" t="n">
        <v>3860</v>
      </c>
      <c r="K499" s="106" t="n">
        <v>3379.8</v>
      </c>
      <c r="L499" s="106" t="n">
        <v>405</v>
      </c>
      <c r="M499" s="107" t="n">
        <v>121</v>
      </c>
      <c r="N499" s="108" t="n">
        <f aca="false" ca="false" dt2D="false" dtr="false" t="normal">SUM(P499:T499)</f>
        <v>33410067.78</v>
      </c>
      <c r="O499" s="106" t="n">
        <v>0</v>
      </c>
      <c r="P499" s="113" t="n">
        <v>1423763.7</v>
      </c>
      <c r="Q499" s="114" t="n"/>
      <c r="R499" s="113" t="n">
        <v>427359.6</v>
      </c>
      <c r="S499" s="113" t="n">
        <v>15083280</v>
      </c>
      <c r="T499" s="113" t="n">
        <v>16475664.48</v>
      </c>
      <c r="U499" s="106" t="n">
        <v>9389.2312832</v>
      </c>
      <c r="V499" s="106" t="n">
        <v>9389.2312832</v>
      </c>
      <c r="W499" s="110" t="n">
        <v>2024</v>
      </c>
      <c r="X499" s="129" t="n">
        <v>866092.98</v>
      </c>
      <c r="Y499" s="129" t="n">
        <f aca="false" ca="false" dt2D="false" dtr="false" t="normal">+(K499*9.1+L499*18.19)*12</f>
        <v>457477.56000000006</v>
      </c>
      <c r="AA499" s="130" t="e">
        <f aca="false" ca="false" dt2D="false" dtr="false" t="normal">+N499-'[8]Приложение № 2'!E579</f>
        <v>#REF!</v>
      </c>
      <c r="AD499" s="130" t="e">
        <f aca="false" ca="false" dt2D="false" dtr="false" t="normal">+N499-'[8]Приложение № 2'!E579</f>
        <v>#REF!</v>
      </c>
      <c r="AP499" s="112" t="n">
        <f aca="false" ca="false" dt2D="false" dtr="false" t="normal">+N499-'Приложение №2'!E499</f>
        <v>0</v>
      </c>
      <c r="AQ499" s="132" t="n">
        <f aca="false" ca="false" dt2D="false" dtr="false" t="normal">1091644.43</f>
        <v>1091644.43</v>
      </c>
      <c r="AR499" s="3" t="n">
        <f aca="false" ca="false" dt2D="false" dtr="false" t="normal">+(K499*10+L499*20)*12*0.85</f>
        <v>427359.6</v>
      </c>
      <c r="AS499" s="3" t="n">
        <f aca="false" ca="false" dt2D="false" dtr="false" t="normal">+(K499*10+L499*20)*12*30</f>
        <v>15083280</v>
      </c>
      <c r="AT499" s="9" t="n">
        <f aca="false" ca="false" dt2D="false" dtr="false" t="normal">+S499-AS499</f>
        <v>0</v>
      </c>
      <c r="AU499" s="9" t="e">
        <f aca="false" ca="false" dt2D="false" dtr="false" t="normal">+P499-'[5]Приложение №1'!$P590</f>
        <v>#REF!</v>
      </c>
      <c r="AV499" s="9" t="e">
        <f aca="false" ca="false" dt2D="false" dtr="false" t="normal">+Q499-'[5]Приложение №1'!$Q590</f>
        <v>#REF!</v>
      </c>
      <c r="AW499" s="113" t="n">
        <f aca="false" ca="true" dt2D="false" dtr="false" t="normal">SUBTOTAL(9, AX499:BL499)</f>
        <v>35536362.56065536</v>
      </c>
      <c r="AX499" s="106" t="n"/>
      <c r="AY499" s="106" t="n"/>
      <c r="AZ499" s="106" t="n"/>
      <c r="BA499" s="106" t="n"/>
      <c r="BB499" s="106" t="n"/>
      <c r="BC499" s="106" t="n"/>
      <c r="BD499" s="106" t="n"/>
      <c r="BE499" s="106" t="n"/>
      <c r="BF499" s="106" t="n">
        <v>13388581.5080877</v>
      </c>
      <c r="BG499" s="106" t="n"/>
      <c r="BH499" s="106" t="n">
        <v>18681183.8101053</v>
      </c>
      <c r="BI499" s="106" t="n">
        <v>0</v>
      </c>
      <c r="BJ499" s="106" t="n">
        <v>2409932.8016</v>
      </c>
      <c r="BK499" s="114" t="n">
        <v>355363.625606554</v>
      </c>
      <c r="BL499" s="115" t="n">
        <v>701300.815255804</v>
      </c>
      <c r="BM499" s="113" t="n">
        <f aca="false" ca="true" dt2D="false" dtr="false" t="normal">SUBTOTAL(9, BN499:CB499)</f>
        <v>35536362.56065536</v>
      </c>
      <c r="BN499" s="106" t="n"/>
      <c r="BO499" s="106" t="n"/>
      <c r="BP499" s="106" t="n"/>
      <c r="BQ499" s="106" t="n"/>
      <c r="BR499" s="106" t="n"/>
      <c r="BS499" s="106" t="n"/>
      <c r="BT499" s="106" t="n"/>
      <c r="BU499" s="106" t="n"/>
      <c r="BV499" s="106" t="n">
        <v>13388581.5080877</v>
      </c>
      <c r="BW499" s="106" t="n"/>
      <c r="BX499" s="106" t="n">
        <v>18681183.8101053</v>
      </c>
      <c r="BY499" s="106" t="n">
        <v>0</v>
      </c>
      <c r="BZ499" s="106" t="n">
        <v>2409932.8016</v>
      </c>
      <c r="CA499" s="114" t="n">
        <v>355363.625606554</v>
      </c>
      <c r="CB499" s="115" t="n">
        <v>701300.815255804</v>
      </c>
      <c r="CD499" s="116" t="n">
        <f aca="false" ca="false" dt2D="false" dtr="false" t="normal">+CD498+1</f>
        <v>477</v>
      </c>
      <c r="CE499" s="117" t="n">
        <f aca="false" ca="false" dt2D="false" dtr="false" t="normal">+CE498+1</f>
        <v>18</v>
      </c>
      <c r="CF499" s="104" t="s">
        <v>528</v>
      </c>
      <c r="CG499" s="117" t="s">
        <v>531</v>
      </c>
      <c r="CH499" s="108" t="n">
        <f aca="false" ca="true" dt2D="false" dtr="false" t="normal">SUBTOTAL(9, CI499:CW499)</f>
        <v>33410067.78</v>
      </c>
      <c r="CI499" s="106" t="n"/>
      <c r="CJ499" s="114" t="n"/>
      <c r="CK499" s="114" t="n"/>
      <c r="CL499" s="114" t="n"/>
      <c r="CM499" s="114" t="n"/>
      <c r="CN499" s="114" t="n"/>
      <c r="CO499" s="106" t="n"/>
      <c r="CP499" s="114" t="n"/>
      <c r="CQ499" s="114" t="n">
        <v>13388581.51</v>
      </c>
      <c r="CR499" s="114" t="n"/>
      <c r="CS499" s="114" t="n">
        <v>20021486.27</v>
      </c>
      <c r="CT499" s="114" t="n">
        <v>0</v>
      </c>
      <c r="CU499" s="114" t="n"/>
      <c r="CV499" s="114" t="n"/>
      <c r="CW499" s="115" t="n"/>
      <c r="CX499" s="3" t="n">
        <f aca="false" ca="false" dt2D="false" dtr="false" t="normal">+N499-CH499</f>
        <v>0</v>
      </c>
      <c r="CZ499" s="117" t="s">
        <v>531</v>
      </c>
      <c r="DA499" s="113" t="n">
        <f aca="false" ca="true" dt2D="false" dtr="false" t="normal">SUBTOTAL(9, DB499:DP499)</f>
        <v>33410067.78</v>
      </c>
      <c r="DB499" s="106" t="n"/>
      <c r="DC499" s="114" t="n"/>
      <c r="DD499" s="114" t="n"/>
      <c r="DE499" s="114" t="n"/>
      <c r="DF499" s="114" t="n"/>
      <c r="DG499" s="114" t="n"/>
      <c r="DH499" s="106" t="n"/>
      <c r="DI499" s="114" t="n"/>
      <c r="DJ499" s="114" t="n">
        <v>13388581.51</v>
      </c>
      <c r="DK499" s="114" t="n"/>
      <c r="DL499" s="114" t="n">
        <v>20021486.27</v>
      </c>
      <c r="DM499" s="114" t="n">
        <v>0</v>
      </c>
      <c r="DN499" s="241" t="n"/>
      <c r="DO499" s="241" t="n"/>
      <c r="DP499" s="240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</row>
    <row customFormat="true" hidden="false" ht="15" outlineLevel="0" r="500" s="129">
      <c r="A500" s="183" t="n">
        <f aca="false" ca="false" dt2D="false" dtr="false" t="normal">+A499+1</f>
        <v>478</v>
      </c>
      <c r="B500" s="117" t="n">
        <f aca="false" ca="false" dt2D="false" dtr="false" t="normal">+B499+1</f>
        <v>19</v>
      </c>
      <c r="C500" s="104" t="s">
        <v>526</v>
      </c>
      <c r="D500" s="104" t="s">
        <v>532</v>
      </c>
      <c r="E500" s="105" t="s">
        <v>274</v>
      </c>
      <c r="F500" s="105" t="n"/>
      <c r="G500" s="105" t="s">
        <v>68</v>
      </c>
      <c r="H500" s="105" t="s">
        <v>104</v>
      </c>
      <c r="I500" s="105" t="s">
        <v>148</v>
      </c>
      <c r="J500" s="106" t="n">
        <v>3821</v>
      </c>
      <c r="K500" s="106" t="n">
        <v>3372.2</v>
      </c>
      <c r="L500" s="106" t="n">
        <v>340</v>
      </c>
      <c r="M500" s="107" t="n">
        <v>99</v>
      </c>
      <c r="N500" s="108" t="n">
        <f aca="false" ca="false" dt2D="false" dtr="false" t="normal">SUM(P500:T500)</f>
        <v>33812245.07</v>
      </c>
      <c r="O500" s="106" t="n">
        <v>0</v>
      </c>
      <c r="P500" s="113" t="n">
        <v>6660989.47</v>
      </c>
      <c r="Q500" s="114" t="n"/>
      <c r="R500" s="113" t="n">
        <v>413324.4</v>
      </c>
      <c r="S500" s="113" t="n">
        <v>14370822.53</v>
      </c>
      <c r="T500" s="113" t="n">
        <v>12367108.67</v>
      </c>
      <c r="U500" s="106" t="n">
        <v>9389.2312832</v>
      </c>
      <c r="V500" s="106" t="n">
        <v>9389.2312832</v>
      </c>
      <c r="W500" s="110" t="n">
        <v>2024</v>
      </c>
      <c r="X500" s="129" t="n">
        <v>992414.38</v>
      </c>
      <c r="Y500" s="129" t="n">
        <f aca="false" ca="false" dt2D="false" dtr="false" t="normal">+(K500*9.1+L500*18.19)*12</f>
        <v>442459.43999999994</v>
      </c>
      <c r="AA500" s="130" t="e">
        <f aca="false" ca="false" dt2D="false" dtr="false" t="normal">+N500-'[8]Приложение № 2'!E580</f>
        <v>#REF!</v>
      </c>
      <c r="AD500" s="130" t="e">
        <f aca="false" ca="false" dt2D="false" dtr="false" t="normal">+N500-'[8]Приложение № 2'!E580</f>
        <v>#REF!</v>
      </c>
      <c r="AP500" s="112" t="n">
        <f aca="false" ca="false" dt2D="false" dtr="false" t="normal">+N500-'Приложение №2'!E500</f>
        <v>0</v>
      </c>
      <c r="AQ500" s="132" t="n">
        <f aca="false" ca="false" dt2D="false" dtr="false" t="normal">1248620.15</f>
        <v>1248620.15</v>
      </c>
      <c r="AR500" s="3" t="n">
        <f aca="false" ca="false" dt2D="false" dtr="false" t="normal">+(K500*10+L500*20)*12*0.85</f>
        <v>413324.39999999997</v>
      </c>
      <c r="AS500" s="3" t="n">
        <f aca="false" ca="false" dt2D="false" dtr="false" t="normal">+(K500*10+L500*20)*12*30</f>
        <v>14587920</v>
      </c>
      <c r="AT500" s="9" t="n">
        <f aca="false" ca="false" dt2D="false" dtr="false" t="normal">+S500-AS500</f>
        <v>-217097.47000000067</v>
      </c>
      <c r="AU500" s="9" t="e">
        <f aca="false" ca="false" dt2D="false" dtr="false" t="normal">+P500-'[5]Приложение №1'!$P591</f>
        <v>#REF!</v>
      </c>
      <c r="AV500" s="9" t="e">
        <f aca="false" ca="false" dt2D="false" dtr="false" t="normal">+Q500-'[5]Приложение №1'!$Q591</f>
        <v>#REF!</v>
      </c>
      <c r="AW500" s="113" t="n">
        <f aca="false" ca="true" dt2D="false" dtr="false" t="normal">SUBTOTAL(9, AX500:BL500)</f>
        <v>34854704.36949501</v>
      </c>
      <c r="AX500" s="106" t="n"/>
      <c r="AY500" s="106" t="n"/>
      <c r="AZ500" s="106" t="n"/>
      <c r="BA500" s="106" t="n"/>
      <c r="BB500" s="106" t="n"/>
      <c r="BC500" s="106" t="n"/>
      <c r="BD500" s="106" t="n"/>
      <c r="BE500" s="106" t="n"/>
      <c r="BF500" s="106" t="n">
        <v>13126738.2667841</v>
      </c>
      <c r="BG500" s="106" t="n"/>
      <c r="BH500" s="106" t="n">
        <v>18322841.5081042</v>
      </c>
      <c r="BI500" s="106" t="n">
        <v>0</v>
      </c>
      <c r="BJ500" s="106" t="n">
        <v>2368838.9374</v>
      </c>
      <c r="BK500" s="114" t="n">
        <v>348547.04369495</v>
      </c>
      <c r="BL500" s="115" t="n">
        <v>687738.613511762</v>
      </c>
      <c r="BM500" s="113" t="n">
        <f aca="false" ca="true" dt2D="false" dtr="false" t="normal">SUBTOTAL(9, BN500:CB500)</f>
        <v>34854704.36949501</v>
      </c>
      <c r="BN500" s="106" t="n"/>
      <c r="BO500" s="106" t="n"/>
      <c r="BP500" s="106" t="n"/>
      <c r="BQ500" s="106" t="n"/>
      <c r="BR500" s="106" t="n"/>
      <c r="BS500" s="106" t="n"/>
      <c r="BT500" s="106" t="n"/>
      <c r="BU500" s="106" t="n"/>
      <c r="BV500" s="106" t="n">
        <v>13126738.2667841</v>
      </c>
      <c r="BW500" s="106" t="n"/>
      <c r="BX500" s="106" t="n">
        <v>18322841.5081042</v>
      </c>
      <c r="BY500" s="106" t="n">
        <v>0</v>
      </c>
      <c r="BZ500" s="106" t="n">
        <v>2368838.9374</v>
      </c>
      <c r="CA500" s="114" t="n">
        <v>348547.04369495</v>
      </c>
      <c r="CB500" s="115" t="n">
        <v>687738.613511762</v>
      </c>
      <c r="CD500" s="116" t="n">
        <f aca="false" ca="false" dt2D="false" dtr="false" t="normal">+CD499+1</f>
        <v>478</v>
      </c>
      <c r="CE500" s="117" t="n">
        <f aca="false" ca="false" dt2D="false" dtr="false" t="normal">+CE499+1</f>
        <v>19</v>
      </c>
      <c r="CF500" s="104" t="s">
        <v>528</v>
      </c>
      <c r="CG500" s="117" t="s">
        <v>532</v>
      </c>
      <c r="CH500" s="108" t="n">
        <f aca="false" ca="true" dt2D="false" dtr="false" t="normal">SUBTOTAL(9, CI500:CW500)</f>
        <v>33812245.07</v>
      </c>
      <c r="CI500" s="106" t="n"/>
      <c r="CJ500" s="114" t="n"/>
      <c r="CK500" s="114" t="n"/>
      <c r="CL500" s="114" t="n"/>
      <c r="CM500" s="114" t="n"/>
      <c r="CN500" s="114" t="n"/>
      <c r="CO500" s="106" t="n"/>
      <c r="CP500" s="114" t="n"/>
      <c r="CQ500" s="114" t="n">
        <v>13099629.42</v>
      </c>
      <c r="CR500" s="114" t="n"/>
      <c r="CS500" s="114" t="n">
        <v>20080779.62</v>
      </c>
      <c r="CT500" s="114" t="n">
        <v>0</v>
      </c>
      <c r="CU500" s="114" t="n">
        <v>631836.03</v>
      </c>
      <c r="CV500" s="114" t="n"/>
      <c r="CW500" s="115" t="n"/>
      <c r="CX500" s="3" t="n">
        <f aca="false" ca="false" dt2D="false" dtr="false" t="normal">+N500-CH500</f>
        <v>0</v>
      </c>
      <c r="CZ500" s="117" t="s">
        <v>532</v>
      </c>
      <c r="DA500" s="113" t="n">
        <f aca="false" ca="true" dt2D="false" dtr="false" t="normal">SUBTOTAL(9, DB500:DP500)</f>
        <v>33812245.07</v>
      </c>
      <c r="DB500" s="106" t="n"/>
      <c r="DC500" s="114" t="n"/>
      <c r="DD500" s="114" t="n"/>
      <c r="DE500" s="114" t="n"/>
      <c r="DF500" s="114" t="n"/>
      <c r="DG500" s="114" t="n"/>
      <c r="DH500" s="106" t="n"/>
      <c r="DI500" s="114" t="n"/>
      <c r="DJ500" s="114" t="n">
        <v>13099629.42</v>
      </c>
      <c r="DK500" s="114" t="n"/>
      <c r="DL500" s="114" t="n">
        <v>20080779.62</v>
      </c>
      <c r="DM500" s="114" t="n">
        <v>0</v>
      </c>
      <c r="DN500" s="192" t="n">
        <v>631836.03</v>
      </c>
      <c r="DO500" s="241" t="n"/>
      <c r="DP500" s="240" t="n"/>
      <c r="DQ500" s="3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</row>
    <row customFormat="true" hidden="false" ht="15" outlineLevel="0" r="501" s="129">
      <c r="A501" s="183" t="n">
        <f aca="false" ca="false" dt2D="false" dtr="false" t="normal">+A500+1</f>
        <v>479</v>
      </c>
      <c r="B501" s="117" t="n">
        <f aca="false" ca="false" dt2D="false" dtr="false" t="normal">+B500+1</f>
        <v>20</v>
      </c>
      <c r="C501" s="104" t="s">
        <v>526</v>
      </c>
      <c r="D501" s="104" t="s">
        <v>533</v>
      </c>
      <c r="E501" s="105" t="s">
        <v>534</v>
      </c>
      <c r="F501" s="105" t="n"/>
      <c r="G501" s="105" t="s">
        <v>68</v>
      </c>
      <c r="H501" s="105" t="s">
        <v>104</v>
      </c>
      <c r="I501" s="105" t="s">
        <v>105</v>
      </c>
      <c r="J501" s="106" t="n">
        <v>2573</v>
      </c>
      <c r="K501" s="106" t="n">
        <v>2123.1</v>
      </c>
      <c r="L501" s="106" t="n">
        <v>269</v>
      </c>
      <c r="M501" s="107" t="n">
        <v>69</v>
      </c>
      <c r="N501" s="108" t="n">
        <f aca="false" ca="false" dt2D="false" dtr="false" t="normal">SUM(P501:T501)</f>
        <v>21032987.73</v>
      </c>
      <c r="O501" s="106" t="n">
        <v>0</v>
      </c>
      <c r="P501" s="113" t="n">
        <v>935511.45</v>
      </c>
      <c r="Q501" s="114" t="n"/>
      <c r="R501" s="113" t="n">
        <v>271432.2</v>
      </c>
      <c r="S501" s="113" t="n">
        <v>9579960</v>
      </c>
      <c r="T501" s="113" t="n">
        <v>10246084.08</v>
      </c>
      <c r="U501" s="106" t="n">
        <v>9414.08254353488</v>
      </c>
      <c r="V501" s="106" t="n">
        <v>9414.08254353488</v>
      </c>
      <c r="W501" s="110" t="n">
        <v>2024</v>
      </c>
      <c r="X501" s="129" t="n">
        <v>606999.5</v>
      </c>
      <c r="Y501" s="129" t="n">
        <f aca="false" ca="false" dt2D="false" dtr="false" t="normal">+(K501*9.1+L501*18.19)*12</f>
        <v>290559.83999999997</v>
      </c>
      <c r="AA501" s="130" t="e">
        <f aca="false" ca="false" dt2D="false" dtr="false" t="normal">+N501-'[8]Приложение № 2'!E581</f>
        <v>#REF!</v>
      </c>
      <c r="AD501" s="130" t="e">
        <f aca="false" ca="false" dt2D="false" dtr="false" t="normal">+N501-'[8]Приложение № 2'!E581</f>
        <v>#REF!</v>
      </c>
      <c r="AP501" s="112" t="n">
        <f aca="false" ca="false" dt2D="false" dtr="false" t="normal">+N501-'Приложение №2'!E501</f>
        <v>0</v>
      </c>
      <c r="AQ501" s="132" t="n">
        <f aca="false" ca="false" dt2D="false" dtr="false" t="normal">770087.63</f>
        <v>770087.63</v>
      </c>
      <c r="AR501" s="3" t="n">
        <f aca="false" ca="false" dt2D="false" dtr="false" t="normal">+(K501*10+L501*20)*12*0.85</f>
        <v>271432.2</v>
      </c>
      <c r="AS501" s="3" t="n">
        <f aca="false" ca="false" dt2D="false" dtr="false" t="normal">+(K501*10+L501*20)*12*30</f>
        <v>9579960</v>
      </c>
      <c r="AT501" s="9" t="n">
        <f aca="false" ca="false" dt2D="false" dtr="false" t="normal">+S501-AS501</f>
        <v>0</v>
      </c>
      <c r="AU501" s="9" t="e">
        <f aca="false" ca="false" dt2D="false" dtr="false" t="normal">+P501-'[5]Приложение №1'!$P592</f>
        <v>#REF!</v>
      </c>
      <c r="AV501" s="9" t="e">
        <f aca="false" ca="false" dt2D="false" dtr="false" t="normal">+Q501-'[5]Приложение №1'!$Q592</f>
        <v>#REF!</v>
      </c>
      <c r="AW501" s="113" t="n">
        <f aca="false" ca="true" dt2D="false" dtr="false" t="normal">SUBTOTAL(9, AX501:BL501)</f>
        <v>22519426.852389812</v>
      </c>
      <c r="AX501" s="106" t="n"/>
      <c r="AY501" s="106" t="n"/>
      <c r="AZ501" s="106" t="n"/>
      <c r="BA501" s="106" t="n"/>
      <c r="BB501" s="106" t="n"/>
      <c r="BC501" s="106" t="n"/>
      <c r="BD501" s="106" t="n"/>
      <c r="BE501" s="106" t="n"/>
      <c r="BF501" s="106" t="n">
        <v>8451044.93</v>
      </c>
      <c r="BG501" s="106" t="n"/>
      <c r="BH501" s="106" t="n">
        <v>11807033.3418286</v>
      </c>
      <c r="BI501" s="106" t="n">
        <v>0</v>
      </c>
      <c r="BJ501" s="106" t="n">
        <v>1595045.6157</v>
      </c>
      <c r="BK501" s="114" t="n">
        <v>224599.801525427</v>
      </c>
      <c r="BL501" s="115" t="n">
        <v>441703.16333579</v>
      </c>
      <c r="BM501" s="113" t="n">
        <f aca="false" ca="true" dt2D="false" dtr="false" t="normal">SUBTOTAL(9, BN501:CB501)</f>
        <v>22519426.852389812</v>
      </c>
      <c r="BN501" s="106" t="n"/>
      <c r="BO501" s="106" t="n"/>
      <c r="BP501" s="106" t="n"/>
      <c r="BQ501" s="106" t="n"/>
      <c r="BR501" s="106" t="n"/>
      <c r="BS501" s="106" t="n"/>
      <c r="BT501" s="106" t="n"/>
      <c r="BU501" s="106" t="n"/>
      <c r="BV501" s="106" t="n">
        <v>8451044.93</v>
      </c>
      <c r="BW501" s="106" t="n"/>
      <c r="BX501" s="106" t="n">
        <v>11807033.3418286</v>
      </c>
      <c r="BY501" s="106" t="n">
        <v>0</v>
      </c>
      <c r="BZ501" s="106" t="n">
        <v>1595045.6157</v>
      </c>
      <c r="CA501" s="114" t="n">
        <v>224599.801525427</v>
      </c>
      <c r="CB501" s="115" t="n">
        <v>441703.16333579</v>
      </c>
      <c r="CD501" s="116" t="n">
        <f aca="false" ca="false" dt2D="false" dtr="false" t="normal">+CD500+1</f>
        <v>479</v>
      </c>
      <c r="CE501" s="117" t="n">
        <f aca="false" ca="false" dt2D="false" dtr="false" t="normal">+CE500+1</f>
        <v>20</v>
      </c>
      <c r="CF501" s="104" t="s">
        <v>528</v>
      </c>
      <c r="CG501" s="117" t="s">
        <v>533</v>
      </c>
      <c r="CH501" s="108" t="n">
        <f aca="false" ca="true" dt2D="false" dtr="false" t="normal">SUBTOTAL(9, CI501:CW501)</f>
        <v>21032987.73</v>
      </c>
      <c r="CI501" s="106" t="n"/>
      <c r="CJ501" s="114" t="n"/>
      <c r="CK501" s="114" t="n"/>
      <c r="CL501" s="114" t="n"/>
      <c r="CM501" s="114" t="n"/>
      <c r="CN501" s="114" t="n"/>
      <c r="CO501" s="106" t="n"/>
      <c r="CP501" s="114" t="n"/>
      <c r="CQ501" s="114" t="n">
        <v>8451044.93</v>
      </c>
      <c r="CR501" s="114" t="n"/>
      <c r="CS501" s="114" t="n">
        <v>12581942.8</v>
      </c>
      <c r="CT501" s="114" t="n">
        <v>0</v>
      </c>
      <c r="CU501" s="114" t="n"/>
      <c r="CV501" s="114" t="n"/>
      <c r="CW501" s="115" t="n"/>
      <c r="CX501" s="3" t="n">
        <f aca="false" ca="false" dt2D="false" dtr="false" t="normal">+N501-CH501</f>
        <v>0</v>
      </c>
      <c r="CZ501" s="117" t="s">
        <v>533</v>
      </c>
      <c r="DA501" s="113" t="n">
        <f aca="false" ca="true" dt2D="false" dtr="false" t="normal">SUBTOTAL(9, DB501:DP501)</f>
        <v>21032987.73</v>
      </c>
      <c r="DB501" s="106" t="n"/>
      <c r="DC501" s="114" t="n"/>
      <c r="DD501" s="114" t="n"/>
      <c r="DE501" s="114" t="n"/>
      <c r="DF501" s="114" t="n"/>
      <c r="DG501" s="114" t="n"/>
      <c r="DH501" s="106" t="n"/>
      <c r="DI501" s="114" t="n"/>
      <c r="DJ501" s="114" t="n">
        <v>8451044.93</v>
      </c>
      <c r="DK501" s="114" t="n"/>
      <c r="DL501" s="114" t="n">
        <v>12581942.8</v>
      </c>
      <c r="DM501" s="114" t="n">
        <v>0</v>
      </c>
      <c r="DN501" s="241" t="n"/>
      <c r="DO501" s="241" t="n"/>
      <c r="DP501" s="240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</row>
    <row customFormat="true" hidden="false" ht="15" outlineLevel="0" r="502" s="1">
      <c r="A502" s="183" t="n">
        <f aca="false" ca="false" dt2D="false" dtr="false" t="normal">+A501+1</f>
        <v>480</v>
      </c>
      <c r="B502" s="117" t="n">
        <f aca="false" ca="false" dt2D="false" dtr="false" t="normal">+B501+1</f>
        <v>21</v>
      </c>
      <c r="C502" s="104" t="s">
        <v>78</v>
      </c>
      <c r="D502" s="104" t="s">
        <v>80</v>
      </c>
      <c r="E502" s="105" t="n">
        <v>1996</v>
      </c>
      <c r="F502" s="105" t="n">
        <v>1996</v>
      </c>
      <c r="G502" s="105" t="s">
        <v>68</v>
      </c>
      <c r="H502" s="105" t="n">
        <v>9</v>
      </c>
      <c r="I502" s="105" t="n">
        <v>2</v>
      </c>
      <c r="J502" s="106" t="n">
        <v>5868.8</v>
      </c>
      <c r="K502" s="106" t="n">
        <v>4891.1</v>
      </c>
      <c r="L502" s="106" t="n">
        <v>103.4</v>
      </c>
      <c r="M502" s="107" t="n">
        <v>176</v>
      </c>
      <c r="N502" s="108" t="n">
        <f aca="false" ca="false" dt2D="false" dtr="false" t="normal">SUM(P502:T502)</f>
        <v>6744174.369999999</v>
      </c>
      <c r="O502" s="106" t="n"/>
      <c r="P502" s="114" t="n"/>
      <c r="Q502" s="114" t="n"/>
      <c r="R502" s="113" t="n">
        <v>583275.35</v>
      </c>
      <c r="S502" s="113" t="n">
        <v>6160899.02</v>
      </c>
      <c r="T502" s="106" t="n"/>
      <c r="U502" s="114" t="n">
        <v>2417.60787044305</v>
      </c>
      <c r="V502" s="114" t="n">
        <v>2417.60787044305</v>
      </c>
      <c r="W502" s="110" t="n">
        <v>2024</v>
      </c>
      <c r="X502" s="9" t="e">
        <f aca="false" ca="false" dt2D="false" dtr="false" t="normal">+#REF!-'[9]Приложение №1'!$P1781</f>
        <v>#REF!</v>
      </c>
      <c r="Z502" s="113" t="n">
        <f aca="false" ca="false" dt2D="false" dtr="false" t="normal">SUM(AA502:AO502)</f>
        <v>26916272.679462217</v>
      </c>
      <c r="AA502" s="106" t="n">
        <v>11954408.5687097</v>
      </c>
      <c r="AB502" s="106" t="n">
        <v>4782903.57021249</v>
      </c>
      <c r="AC502" s="106" t="n">
        <v>3532642.50892779</v>
      </c>
      <c r="AD502" s="106" t="n">
        <v>2257520.51415249</v>
      </c>
      <c r="AE502" s="106" t="n">
        <v>0</v>
      </c>
      <c r="AF502" s="106" t="n"/>
      <c r="AG502" s="106" t="n">
        <v>531117.68749178</v>
      </c>
      <c r="AH502" s="106" t="n">
        <v>0</v>
      </c>
      <c r="AI502" s="106" t="n"/>
      <c r="AJ502" s="106" t="n">
        <v>0</v>
      </c>
      <c r="AK502" s="106" t="n">
        <v>0</v>
      </c>
      <c r="AL502" s="106" t="n">
        <v>0</v>
      </c>
      <c r="AM502" s="106" t="n">
        <v>2917548.10150334</v>
      </c>
      <c r="AN502" s="114" t="n">
        <v>321479.91337036</v>
      </c>
      <c r="AO502" s="115" t="n">
        <v>618651.815094273</v>
      </c>
      <c r="AP502" s="112" t="n">
        <f aca="false" ca="false" dt2D="false" dtr="false" t="normal">+N502-'Приложение №2'!E502</f>
        <v>0</v>
      </c>
      <c r="AQ502" s="9" t="n">
        <f aca="false" ca="false" dt2D="false" dtr="false" t="normal">3904489.21-317048.16</f>
        <v>3587441.05</v>
      </c>
      <c r="AR502" s="3" t="n">
        <f aca="false" ca="false" dt2D="false" dtr="false" t="normal">+(K502*13.95+L502*23.65)*12*0.85</f>
        <v>720897.801</v>
      </c>
      <c r="AS502" s="3" t="n">
        <f aca="false" ca="false" dt2D="false" dtr="false" t="normal">+(K502*13.95+L502*23.65)*12*30-2665031.47</f>
        <v>22778420.330000002</v>
      </c>
      <c r="AT502" s="9" t="n">
        <f aca="false" ca="false" dt2D="false" dtr="false" t="normal">+S502-AS502</f>
        <v>-16617521.310000002</v>
      </c>
      <c r="AU502" s="9" t="n"/>
      <c r="AV502" s="9" t="n"/>
      <c r="AW502" s="186" t="n">
        <f aca="false" ca="true" dt2D="false" dtr="false" t="normal">SUBTOTAL(9, AX502:BL502)</f>
        <v>12074742.50892779</v>
      </c>
      <c r="AX502" s="106" t="n"/>
      <c r="AY502" s="106" t="n"/>
      <c r="AZ502" s="106" t="n">
        <v>3532642.50892779</v>
      </c>
      <c r="BA502" s="106" t="n"/>
      <c r="BB502" s="106" t="n">
        <v>0</v>
      </c>
      <c r="BC502" s="106" t="n"/>
      <c r="BD502" s="106" t="n"/>
      <c r="BE502" s="106" t="n">
        <v>8024927.0976</v>
      </c>
      <c r="BF502" s="106" t="n"/>
      <c r="BG502" s="106" t="n">
        <v>0</v>
      </c>
      <c r="BH502" s="106" t="n">
        <v>0</v>
      </c>
      <c r="BI502" s="106" t="n">
        <v>0</v>
      </c>
      <c r="BJ502" s="106" t="n">
        <v>256263</v>
      </c>
      <c r="BK502" s="114" t="n">
        <v>85421</v>
      </c>
      <c r="BL502" s="115" t="n">
        <v>175488.9024</v>
      </c>
      <c r="BM502" s="186" t="n">
        <f aca="false" ca="true" dt2D="false" dtr="false" t="normal">SUBTOTAL(9, BN502:CB502)</f>
        <v>12074742.50892779</v>
      </c>
      <c r="BN502" s="106" t="n"/>
      <c r="BO502" s="106" t="n"/>
      <c r="BP502" s="106" t="n">
        <v>3532642.50892779</v>
      </c>
      <c r="BQ502" s="106" t="n"/>
      <c r="BR502" s="106" t="n">
        <v>0</v>
      </c>
      <c r="BS502" s="106" t="n"/>
      <c r="BT502" s="106" t="n"/>
      <c r="BU502" s="106" t="n">
        <v>8024927.0976</v>
      </c>
      <c r="BV502" s="106" t="n"/>
      <c r="BW502" s="106" t="n">
        <v>0</v>
      </c>
      <c r="BX502" s="106" t="n">
        <v>0</v>
      </c>
      <c r="BY502" s="106" t="n">
        <v>0</v>
      </c>
      <c r="BZ502" s="106" t="n">
        <v>256263</v>
      </c>
      <c r="CA502" s="114" t="n">
        <v>85421</v>
      </c>
      <c r="CB502" s="115" t="n">
        <v>175488.9024</v>
      </c>
      <c r="CD502" s="116" t="n">
        <f aca="false" ca="false" dt2D="false" dtr="false" t="normal">+CD501+1</f>
        <v>480</v>
      </c>
      <c r="CE502" s="117" t="n">
        <f aca="false" ca="false" dt2D="false" dtr="false" t="normal">+CE501+1</f>
        <v>21</v>
      </c>
      <c r="CF502" s="104" t="s">
        <v>78</v>
      </c>
      <c r="CG502" s="117" t="s">
        <v>80</v>
      </c>
      <c r="CH502" s="108" t="n">
        <f aca="false" ca="true" dt2D="false" dtr="false" t="normal">SUBTOTAL(9, CI502:CW502)</f>
        <v>11934620.059999999</v>
      </c>
      <c r="CI502" s="106" t="n"/>
      <c r="CJ502" s="114" t="n"/>
      <c r="CK502" s="114" t="n">
        <v>3532642.51</v>
      </c>
      <c r="CL502" s="114" t="n"/>
      <c r="CM502" s="114" t="n">
        <v>0</v>
      </c>
      <c r="CN502" s="114" t="n"/>
      <c r="CO502" s="106" t="n"/>
      <c r="CP502" s="114" t="n">
        <v>8024927.1</v>
      </c>
      <c r="CQ502" s="114" t="n"/>
      <c r="CR502" s="114" t="n">
        <v>0</v>
      </c>
      <c r="CS502" s="114" t="n">
        <v>0</v>
      </c>
      <c r="CT502" s="114" t="n">
        <v>0</v>
      </c>
      <c r="CU502" s="114" t="n">
        <v>256263</v>
      </c>
      <c r="CV502" s="114" t="n">
        <v>85421</v>
      </c>
      <c r="CW502" s="115" t="n">
        <v>35366.45</v>
      </c>
      <c r="CX502" s="3" t="n">
        <f aca="false" ca="false" dt2D="false" dtr="false" t="normal">+N502-CH502</f>
        <v>-5190445.6899999995</v>
      </c>
      <c r="CZ502" s="117" t="s">
        <v>80</v>
      </c>
      <c r="DA502" s="113" t="n">
        <f aca="false" ca="true" dt2D="false" dtr="false" t="normal">SUBTOTAL(9, DB502:DP502)</f>
        <v>11939925.0275</v>
      </c>
      <c r="DB502" s="106" t="n"/>
      <c r="DC502" s="114" t="n"/>
      <c r="DD502" s="114" t="n">
        <v>3532642.51</v>
      </c>
      <c r="DE502" s="114" t="n"/>
      <c r="DF502" s="114" t="n">
        <v>0</v>
      </c>
      <c r="DG502" s="114" t="n"/>
      <c r="DH502" s="106" t="n"/>
      <c r="DI502" s="114" t="n">
        <v>8024927.1</v>
      </c>
      <c r="DJ502" s="114" t="n"/>
      <c r="DK502" s="114" t="n">
        <v>0</v>
      </c>
      <c r="DL502" s="114" t="n">
        <v>0</v>
      </c>
      <c r="DM502" s="114" t="n">
        <v>0</v>
      </c>
      <c r="DN502" s="114" t="n">
        <v>256263</v>
      </c>
      <c r="DO502" s="114" t="n">
        <v>85421</v>
      </c>
      <c r="DP502" s="114" t="n">
        <f aca="false" ca="false" dt2D="false" dtr="false" t="normal">35366.45*1.15</f>
        <v>40671.417499999996</v>
      </c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</row>
    <row customFormat="true" hidden="false" ht="15" outlineLevel="0" r="503" s="1">
      <c r="A503" s="183" t="n">
        <f aca="false" ca="false" dt2D="false" dtr="false" t="normal">+A502+1</f>
        <v>481</v>
      </c>
      <c r="B503" s="117" t="n">
        <f aca="false" ca="false" dt2D="false" dtr="false" t="normal">+B502+1</f>
        <v>22</v>
      </c>
      <c r="C503" s="104" t="s">
        <v>78</v>
      </c>
      <c r="D503" s="104" t="s">
        <v>535</v>
      </c>
      <c r="E503" s="105" t="n">
        <v>1983</v>
      </c>
      <c r="F503" s="105" t="n">
        <v>2016</v>
      </c>
      <c r="G503" s="105" t="s">
        <v>68</v>
      </c>
      <c r="H503" s="105" t="n">
        <v>4</v>
      </c>
      <c r="I503" s="105" t="n">
        <v>6</v>
      </c>
      <c r="J503" s="106" t="n">
        <v>4031.7</v>
      </c>
      <c r="K503" s="106" t="n">
        <v>3532.1</v>
      </c>
      <c r="L503" s="106" t="n">
        <v>54.9</v>
      </c>
      <c r="M503" s="107" t="n">
        <v>133</v>
      </c>
      <c r="N503" s="108" t="n">
        <f aca="false" ca="false" dt2D="false" dtr="false" t="normal">SUM(P503:T503)</f>
        <v>2736520.1</v>
      </c>
      <c r="O503" s="106" t="n"/>
      <c r="P503" s="114" t="n"/>
      <c r="Q503" s="114" t="n"/>
      <c r="R503" s="113" t="n">
        <v>1943422.02</v>
      </c>
      <c r="S503" s="113" t="n">
        <v>793098.08</v>
      </c>
      <c r="T503" s="114" t="n"/>
      <c r="U503" s="106" t="n">
        <v>773.399172063113</v>
      </c>
      <c r="V503" s="106" t="n">
        <v>773.399172063113</v>
      </c>
      <c r="W503" s="110" t="n">
        <v>2024</v>
      </c>
      <c r="X503" s="9" t="e">
        <f aca="false" ca="false" dt2D="false" dtr="false" t="normal">+#REF!-'[9]Приложение №1'!$P558</f>
        <v>#REF!</v>
      </c>
      <c r="Z503" s="113" t="n">
        <f aca="false" ca="false" dt2D="false" dtr="false" t="normal">SUM(AA503:AO503)</f>
        <v>3117059.3597644772</v>
      </c>
      <c r="AA503" s="106" t="n">
        <v>0</v>
      </c>
      <c r="AB503" s="106" t="n">
        <v>0</v>
      </c>
      <c r="AC503" s="106" t="n">
        <v>2714815.31762431</v>
      </c>
      <c r="AD503" s="106" t="n">
        <v>0</v>
      </c>
      <c r="AE503" s="106" t="n">
        <v>0</v>
      </c>
      <c r="AF503" s="106" t="n"/>
      <c r="AG503" s="106" t="n">
        <v>0</v>
      </c>
      <c r="AH503" s="106" t="n">
        <v>0</v>
      </c>
      <c r="AI503" s="106" t="n">
        <v>0</v>
      </c>
      <c r="AJ503" s="106" t="n">
        <v>0</v>
      </c>
      <c r="AK503" s="106" t="n">
        <v>0</v>
      </c>
      <c r="AL503" s="106" t="n">
        <v>0</v>
      </c>
      <c r="AM503" s="106" t="n">
        <v>311705.935976448</v>
      </c>
      <c r="AN503" s="114" t="n">
        <v>31170.5935976448</v>
      </c>
      <c r="AO503" s="115" t="n">
        <v>59367.5125660743</v>
      </c>
      <c r="AP503" s="112" t="n">
        <f aca="false" ca="false" dt2D="false" dtr="false" t="normal">+N503-'Приложение №2'!E503</f>
        <v>0</v>
      </c>
      <c r="AQ503" s="1" t="n">
        <v>1571948.22</v>
      </c>
      <c r="AR503" s="3" t="n">
        <f aca="false" ca="false" dt2D="false" dtr="false" t="normal">+(K503*10+L503*20)*12*0.85</f>
        <v>371473.8</v>
      </c>
      <c r="AS503" s="3" t="n">
        <f aca="false" ca="false" dt2D="false" dtr="false" t="normal">+(K503*10+L503*20)*12*30</f>
        <v>13110840</v>
      </c>
      <c r="AT503" s="9" t="n">
        <f aca="false" ca="false" dt2D="false" dtr="false" t="normal">+S503-AS503</f>
        <v>-12317741.92</v>
      </c>
      <c r="AU503" s="9" t="e">
        <f aca="false" ca="false" dt2D="false" dtr="false" t="normal">+P503-'[5]Приложение №1'!$P222</f>
        <v>#REF!</v>
      </c>
      <c r="AV503" s="9" t="e">
        <f aca="false" ca="false" dt2D="false" dtr="false" t="normal">+Q503-'[5]Приложение №1'!$Q222</f>
        <v>#REF!</v>
      </c>
      <c r="AW503" s="113" t="n">
        <f aca="false" ca="true" dt2D="false" dtr="false" t="normal">SUBTOTAL(9, AX503:BL503)</f>
        <v>2774182.8301903843</v>
      </c>
      <c r="AX503" s="106" t="n">
        <v>0</v>
      </c>
      <c r="AY503" s="106" t="n">
        <v>0</v>
      </c>
      <c r="AZ503" s="106" t="n">
        <v>2714815.31762431</v>
      </c>
      <c r="BA503" s="106" t="n">
        <v>0</v>
      </c>
      <c r="BB503" s="106" t="n">
        <v>0</v>
      </c>
      <c r="BC503" s="106" t="n"/>
      <c r="BD503" s="106" t="n"/>
      <c r="BE503" s="106" t="n">
        <v>0</v>
      </c>
      <c r="BF503" s="106" t="n">
        <v>0</v>
      </c>
      <c r="BG503" s="106" t="n">
        <v>0</v>
      </c>
      <c r="BH503" s="106" t="n">
        <v>0</v>
      </c>
      <c r="BI503" s="106" t="n">
        <v>0</v>
      </c>
      <c r="BJ503" s="106" t="n"/>
      <c r="BK503" s="114" t="n"/>
      <c r="BL503" s="115" t="n">
        <v>59367.5125660743</v>
      </c>
      <c r="BM503" s="113" t="n">
        <f aca="false" ca="true" dt2D="false" dtr="false" t="normal">SUBTOTAL(9, BN503:CB503)</f>
        <v>2774182.8301903843</v>
      </c>
      <c r="BN503" s="106" t="n">
        <v>0</v>
      </c>
      <c r="BO503" s="106" t="n">
        <v>0</v>
      </c>
      <c r="BP503" s="106" t="n">
        <v>2714815.31762431</v>
      </c>
      <c r="BQ503" s="106" t="n">
        <v>0</v>
      </c>
      <c r="BR503" s="106" t="n">
        <v>0</v>
      </c>
      <c r="BS503" s="106" t="n"/>
      <c r="BT503" s="106" t="n"/>
      <c r="BU503" s="106" t="n">
        <v>0</v>
      </c>
      <c r="BV503" s="106" t="n">
        <v>0</v>
      </c>
      <c r="BW503" s="106" t="n">
        <v>0</v>
      </c>
      <c r="BX503" s="106" t="n">
        <v>0</v>
      </c>
      <c r="BY503" s="106" t="n">
        <v>0</v>
      </c>
      <c r="BZ503" s="106" t="n"/>
      <c r="CA503" s="114" t="n"/>
      <c r="CB503" s="115" t="n">
        <v>59367.5125660743</v>
      </c>
      <c r="CD503" s="116" t="n">
        <f aca="false" ca="false" dt2D="false" dtr="false" t="normal">+CD502+1</f>
        <v>481</v>
      </c>
      <c r="CE503" s="117" t="n">
        <f aca="false" ca="false" dt2D="false" dtr="false" t="normal">+CE502+1</f>
        <v>22</v>
      </c>
      <c r="CF503" s="104" t="s">
        <v>78</v>
      </c>
      <c r="CG503" s="117" t="s">
        <v>535</v>
      </c>
      <c r="CH503" s="108" t="n">
        <f aca="false" ca="true" dt2D="false" dtr="false" t="normal">SUBTOTAL(9, CI503:CW503)</f>
        <v>2774182.8299999996</v>
      </c>
      <c r="CI503" s="106" t="n">
        <v>0</v>
      </c>
      <c r="CJ503" s="114" t="n">
        <v>0</v>
      </c>
      <c r="CK503" s="114" t="n">
        <v>2714815.32</v>
      </c>
      <c r="CL503" s="114" t="n">
        <v>0</v>
      </c>
      <c r="CM503" s="114" t="n">
        <v>0</v>
      </c>
      <c r="CN503" s="114" t="n"/>
      <c r="CO503" s="106" t="n"/>
      <c r="CP503" s="114" t="n">
        <v>0</v>
      </c>
      <c r="CQ503" s="114" t="n">
        <v>0</v>
      </c>
      <c r="CR503" s="114" t="n">
        <v>0</v>
      </c>
      <c r="CS503" s="114" t="n">
        <v>0</v>
      </c>
      <c r="CT503" s="114" t="n">
        <v>0</v>
      </c>
      <c r="CU503" s="114" t="n"/>
      <c r="CV503" s="114" t="n"/>
      <c r="CW503" s="115" t="n">
        <v>59367.51</v>
      </c>
      <c r="CX503" s="3" t="n">
        <f aca="false" ca="false" dt2D="false" dtr="false" t="normal">+N503-CH503</f>
        <v>-37662.729999999516</v>
      </c>
      <c r="CZ503" s="117" t="s">
        <v>535</v>
      </c>
      <c r="DA503" s="113" t="n">
        <f aca="false" ca="true" dt2D="false" dtr="false" t="normal">SUBTOTAL(9, DB503:DP503)</f>
        <v>2736520.0979999998</v>
      </c>
      <c r="DB503" s="106" t="n">
        <v>0</v>
      </c>
      <c r="DC503" s="114" t="n">
        <v>0</v>
      </c>
      <c r="DD503" s="114" t="n">
        <v>2714815.32</v>
      </c>
      <c r="DE503" s="114" t="n">
        <v>0</v>
      </c>
      <c r="DF503" s="114" t="n">
        <v>0</v>
      </c>
      <c r="DG503" s="114" t="n"/>
      <c r="DH503" s="106" t="n"/>
      <c r="DI503" s="114" t="n">
        <v>0</v>
      </c>
      <c r="DJ503" s="114" t="n">
        <v>0</v>
      </c>
      <c r="DK503" s="114" t="n">
        <v>0</v>
      </c>
      <c r="DL503" s="114" t="n">
        <v>0</v>
      </c>
      <c r="DM503" s="114" t="n">
        <v>0</v>
      </c>
      <c r="DN503" s="114" t="n"/>
      <c r="DO503" s="114" t="n"/>
      <c r="DP503" s="115" t="n">
        <f aca="false" ca="false" dt2D="false" dtr="false" t="normal">18873.72*1.15</f>
        <v>21704.778</v>
      </c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</row>
    <row customFormat="true" hidden="false" ht="15" outlineLevel="0" r="504" s="1">
      <c r="A504" s="183" t="n">
        <f aca="false" ca="false" dt2D="false" dtr="false" t="normal">+A503+1</f>
        <v>482</v>
      </c>
      <c r="B504" s="117" t="n">
        <f aca="false" ca="false" dt2D="false" dtr="false" t="normal">+B503+1</f>
        <v>23</v>
      </c>
      <c r="C504" s="104" t="s">
        <v>78</v>
      </c>
      <c r="D504" s="104" t="s">
        <v>536</v>
      </c>
      <c r="E504" s="105" t="n">
        <v>1986</v>
      </c>
      <c r="F504" s="105" t="n">
        <v>2017</v>
      </c>
      <c r="G504" s="105" t="s">
        <v>68</v>
      </c>
      <c r="H504" s="105" t="n">
        <v>9</v>
      </c>
      <c r="I504" s="105" t="n">
        <v>1</v>
      </c>
      <c r="J504" s="106" t="n">
        <v>3148.9</v>
      </c>
      <c r="K504" s="106" t="n">
        <v>2686.2</v>
      </c>
      <c r="L504" s="106" t="n">
        <v>0</v>
      </c>
      <c r="M504" s="107" t="n">
        <v>112</v>
      </c>
      <c r="N504" s="108" t="n">
        <f aca="false" ca="false" dt2D="false" dtr="false" t="normal">SUM(P504:T504)</f>
        <v>31218003.720000003</v>
      </c>
      <c r="O504" s="106" t="n"/>
      <c r="P504" s="113" t="n">
        <v>3488737.65</v>
      </c>
      <c r="Q504" s="114" t="n"/>
      <c r="R504" s="113" t="n">
        <v>2267497.58</v>
      </c>
      <c r="S504" s="113" t="n">
        <v>13490096.4</v>
      </c>
      <c r="T504" s="113" t="n">
        <v>11971672.09</v>
      </c>
      <c r="U504" s="114" t="n">
        <v>11225.6769820139</v>
      </c>
      <c r="V504" s="114" t="n">
        <v>1187.283020064</v>
      </c>
      <c r="W504" s="110" t="n">
        <v>2024</v>
      </c>
      <c r="X504" s="9" t="e">
        <f aca="false" ca="false" dt2D="false" dtr="false" t="normal">+#REF!-'[9]Приложение №1'!$P1278</f>
        <v>#REF!</v>
      </c>
      <c r="Z504" s="113" t="n">
        <f aca="false" ca="false" dt2D="false" dtr="false" t="normal">SUM(AA504:AO504)</f>
        <v>9697051.492327925</v>
      </c>
      <c r="AA504" s="106" t="n">
        <v>6428049.5552969</v>
      </c>
      <c r="AB504" s="106" t="n">
        <v>0</v>
      </c>
      <c r="AC504" s="106" t="n">
        <v>1899550.36069067</v>
      </c>
      <c r="AD504" s="106" t="n">
        <v>0</v>
      </c>
      <c r="AE504" s="106" t="n">
        <v>0</v>
      </c>
      <c r="AF504" s="106" t="n"/>
      <c r="AG504" s="106" t="n">
        <v>285589.269872206</v>
      </c>
      <c r="AH504" s="106" t="n">
        <v>0</v>
      </c>
      <c r="AI504" s="106" t="n">
        <v>0</v>
      </c>
      <c r="AJ504" s="106" t="n">
        <v>0</v>
      </c>
      <c r="AK504" s="106" t="n">
        <v>0</v>
      </c>
      <c r="AL504" s="106" t="n">
        <v>0</v>
      </c>
      <c r="AM504" s="106" t="n">
        <v>798538.788706734</v>
      </c>
      <c r="AN504" s="114" t="n">
        <v>96970.5149232793</v>
      </c>
      <c r="AO504" s="115" t="n">
        <v>188353.002838135</v>
      </c>
      <c r="AP504" s="112" t="n">
        <f aca="false" ca="false" dt2D="false" dtr="false" t="normal">+N504-'Приложение №2'!E504</f>
        <v>0</v>
      </c>
      <c r="AQ504" s="9" t="n">
        <f aca="false" ca="false" dt2D="false" dtr="false" t="normal">1885278.18</f>
        <v>1885278.18</v>
      </c>
      <c r="AR504" s="3" t="n">
        <f aca="false" ca="false" dt2D="false" dtr="false" t="normal">+(K504*13.95+L504*23.65)*12*0.85</f>
        <v>382219.398</v>
      </c>
      <c r="AS504" s="3" t="n">
        <f aca="false" ca="false" dt2D="false" dtr="false" t="normal">+(K504*13.95+L504*23.65)*12*30</f>
        <v>13490096.4</v>
      </c>
      <c r="AT504" s="9" t="n">
        <f aca="false" ca="false" dt2D="false" dtr="false" t="normal">+S504-AS504</f>
        <v>0</v>
      </c>
      <c r="AU504" s="9" t="e">
        <f aca="false" ca="false" dt2D="false" dtr="false" t="normal">+P504-'[5]Приложение №1'!$P473</f>
        <v>#REF!</v>
      </c>
      <c r="AV504" s="9" t="e">
        <f aca="false" ca="false" dt2D="false" dtr="false" t="normal">+Q504-'[5]Приложение №1'!$Q473</f>
        <v>#REF!</v>
      </c>
      <c r="AW504" s="186" t="n">
        <f aca="false" ca="true" dt2D="false" dtr="false" t="normal">SUBTOTAL(9, AX504:BL504)</f>
        <v>30154413.509085663</v>
      </c>
      <c r="AX504" s="106" t="n">
        <v>7654861.84691057</v>
      </c>
      <c r="AY504" s="106" t="n">
        <v>0</v>
      </c>
      <c r="AZ504" s="106" t="n">
        <v>1899550.36069067</v>
      </c>
      <c r="BA504" s="106" t="n">
        <v>0</v>
      </c>
      <c r="BB504" s="106" t="n">
        <v>0</v>
      </c>
      <c r="BC504" s="106" t="n"/>
      <c r="BD504" s="106" t="n">
        <v>341658.252651469</v>
      </c>
      <c r="BE504" s="106" t="n">
        <v>0</v>
      </c>
      <c r="BF504" s="106" t="n"/>
      <c r="BG504" s="106" t="n">
        <v>0</v>
      </c>
      <c r="BH504" s="106" t="n">
        <v>19653688.9774573</v>
      </c>
      <c r="BI504" s="106" t="n">
        <v>0</v>
      </c>
      <c r="BJ504" s="106" t="n"/>
      <c r="BK504" s="114" t="n"/>
      <c r="BL504" s="115" t="n">
        <v>604654.071375653</v>
      </c>
      <c r="BM504" s="186" t="n">
        <f aca="false" ca="true" dt2D="false" dtr="false" t="normal">SUBTOTAL(9, BN504:CB504)</f>
        <v>30154413.509085663</v>
      </c>
      <c r="BN504" s="106" t="n">
        <v>7654861.84691057</v>
      </c>
      <c r="BO504" s="106" t="n">
        <v>0</v>
      </c>
      <c r="BP504" s="106" t="n">
        <v>1899550.36069067</v>
      </c>
      <c r="BQ504" s="106" t="n">
        <v>0</v>
      </c>
      <c r="BR504" s="106" t="n">
        <v>0</v>
      </c>
      <c r="BS504" s="106" t="n"/>
      <c r="BT504" s="106" t="n">
        <v>341658.252651469</v>
      </c>
      <c r="BU504" s="106" t="n">
        <v>0</v>
      </c>
      <c r="BV504" s="106" t="n"/>
      <c r="BW504" s="106" t="n">
        <v>0</v>
      </c>
      <c r="BX504" s="106" t="n">
        <v>19653688.9774573</v>
      </c>
      <c r="BY504" s="106" t="n">
        <v>0</v>
      </c>
      <c r="BZ504" s="106" t="n"/>
      <c r="CA504" s="114" t="n"/>
      <c r="CB504" s="115" t="n">
        <v>604654.071375653</v>
      </c>
      <c r="CD504" s="116" t="n">
        <f aca="false" ca="false" dt2D="false" dtr="false" t="normal">+CD503+1</f>
        <v>482</v>
      </c>
      <c r="CE504" s="117" t="n">
        <f aca="false" ca="false" dt2D="false" dtr="false" t="normal">+CE503+1</f>
        <v>23</v>
      </c>
      <c r="CF504" s="104" t="s">
        <v>78</v>
      </c>
      <c r="CG504" s="117" t="s">
        <v>536</v>
      </c>
      <c r="CH504" s="108" t="n">
        <f aca="false" ca="true" dt2D="false" dtr="false" t="normal">SUBTOTAL(9, CI504:CW504)</f>
        <v>31525569.12</v>
      </c>
      <c r="CI504" s="106" t="n">
        <v>7654861.85</v>
      </c>
      <c r="CJ504" s="114" t="n">
        <v>0</v>
      </c>
      <c r="CK504" s="114" t="n">
        <v>1903165.26</v>
      </c>
      <c r="CL504" s="114" t="n">
        <v>0</v>
      </c>
      <c r="CM504" s="114" t="n">
        <v>0</v>
      </c>
      <c r="CN504" s="114" t="n"/>
      <c r="CO504" s="106" t="n"/>
      <c r="CP504" s="114" t="n">
        <v>0</v>
      </c>
      <c r="CQ504" s="114" t="n"/>
      <c r="CR504" s="114" t="n">
        <v>0</v>
      </c>
      <c r="CS504" s="114" t="n">
        <v>21362887.94</v>
      </c>
      <c r="CT504" s="114" t="n">
        <v>0</v>
      </c>
      <c r="CU504" s="114" t="n"/>
      <c r="CV504" s="114" t="n"/>
      <c r="CW504" s="115" t="n">
        <v>604654.07</v>
      </c>
      <c r="CX504" s="3" t="n">
        <f aca="false" ca="false" dt2D="false" dtr="false" t="normal">+N504-CH504</f>
        <v>-307565.3999999985</v>
      </c>
      <c r="CZ504" s="117" t="s">
        <v>536</v>
      </c>
      <c r="DA504" s="113" t="n">
        <f aca="false" ca="true" dt2D="false" dtr="false" t="normal">SUBTOTAL(9, DB504:DP504)</f>
        <v>31218003.7155</v>
      </c>
      <c r="DB504" s="106" t="n">
        <v>7654861.85</v>
      </c>
      <c r="DC504" s="114" t="n">
        <v>0</v>
      </c>
      <c r="DD504" s="114" t="n">
        <v>1903165.26</v>
      </c>
      <c r="DE504" s="114" t="n">
        <v>0</v>
      </c>
      <c r="DF504" s="114" t="n">
        <v>0</v>
      </c>
      <c r="DG504" s="114" t="n"/>
      <c r="DH504" s="106" t="n"/>
      <c r="DI504" s="114" t="n">
        <v>0</v>
      </c>
      <c r="DJ504" s="114" t="n"/>
      <c r="DK504" s="114" t="n">
        <v>0</v>
      </c>
      <c r="DL504" s="114" t="n">
        <v>21362887.94</v>
      </c>
      <c r="DM504" s="114" t="n">
        <v>0</v>
      </c>
      <c r="DN504" s="114" t="n"/>
      <c r="DO504" s="114" t="n"/>
      <c r="DP504" s="115" t="n">
        <f aca="false" ca="false" dt2D="false" dtr="false" t="normal">(11940.41+246397.56)*1.15</f>
        <v>297088.6655</v>
      </c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</row>
    <row customFormat="true" hidden="false" ht="15" outlineLevel="0" r="505" s="1">
      <c r="A505" s="183" t="n">
        <f aca="false" ca="false" dt2D="false" dtr="false" t="normal">+A504+1</f>
        <v>483</v>
      </c>
      <c r="B505" s="117" t="n">
        <f aca="false" ca="false" dt2D="false" dtr="false" t="normal">+B504+1</f>
        <v>24</v>
      </c>
      <c r="C505" s="104" t="s">
        <v>78</v>
      </c>
      <c r="D505" s="104" t="s">
        <v>537</v>
      </c>
      <c r="E505" s="105" t="n">
        <v>1981</v>
      </c>
      <c r="F505" s="105" t="n">
        <v>2010</v>
      </c>
      <c r="G505" s="105" t="s">
        <v>68</v>
      </c>
      <c r="H505" s="105" t="n">
        <v>4</v>
      </c>
      <c r="I505" s="105" t="n">
        <v>6</v>
      </c>
      <c r="J505" s="106" t="n">
        <v>4191.3</v>
      </c>
      <c r="K505" s="106" t="n">
        <v>2691</v>
      </c>
      <c r="L505" s="106" t="n">
        <v>827.4</v>
      </c>
      <c r="M505" s="107" t="n">
        <v>128</v>
      </c>
      <c r="N505" s="108" t="n">
        <f aca="false" ca="false" dt2D="false" dtr="false" t="normal">SUM(P505:T505)</f>
        <v>3029314.69</v>
      </c>
      <c r="O505" s="106" t="n"/>
      <c r="P505" s="114" t="n"/>
      <c r="Q505" s="114" t="n"/>
      <c r="R505" s="113" t="n">
        <v>1960747.23</v>
      </c>
      <c r="S505" s="113" t="n">
        <v>1068567.46</v>
      </c>
      <c r="T505" s="114" t="n"/>
      <c r="U505" s="106" t="n">
        <v>833.707791230341</v>
      </c>
      <c r="V505" s="106" t="n">
        <v>833.707791230341</v>
      </c>
      <c r="W505" s="110" t="n">
        <v>2024</v>
      </c>
      <c r="X505" s="9" t="e">
        <f aca="false" ca="false" dt2D="false" dtr="false" t="normal">+#REF!-'[9]Приложение №1'!$P560</f>
        <v>#REF!</v>
      </c>
      <c r="Z505" s="113" t="n">
        <f aca="false" ca="false" dt2D="false" dtr="false" t="normal">SUM(AA505:AO505)</f>
        <v>3295862.3513087956</v>
      </c>
      <c r="AA505" s="106" t="n">
        <v>0</v>
      </c>
      <c r="AB505" s="106" t="n">
        <v>0</v>
      </c>
      <c r="AC505" s="106" t="n">
        <v>2870544.4983218</v>
      </c>
      <c r="AD505" s="106" t="n">
        <v>0</v>
      </c>
      <c r="AE505" s="106" t="n">
        <v>0</v>
      </c>
      <c r="AF505" s="106" t="n"/>
      <c r="AG505" s="106" t="n">
        <v>0</v>
      </c>
      <c r="AH505" s="106" t="n">
        <v>0</v>
      </c>
      <c r="AI505" s="106" t="n">
        <v>0</v>
      </c>
      <c r="AJ505" s="106" t="n">
        <v>0</v>
      </c>
      <c r="AK505" s="106" t="n">
        <v>0</v>
      </c>
      <c r="AL505" s="106" t="n">
        <v>0</v>
      </c>
      <c r="AM505" s="106" t="n">
        <v>329586.23513088</v>
      </c>
      <c r="AN505" s="114" t="n">
        <v>32958.623513088</v>
      </c>
      <c r="AO505" s="115" t="n">
        <v>62772.9943430274</v>
      </c>
      <c r="AP505" s="112" t="n">
        <f aca="false" ca="false" dt2D="false" dtr="false" t="normal">+N505-'Приложение №2'!E505</f>
        <v>0</v>
      </c>
      <c r="AQ505" s="1" t="n">
        <v>1517475.63</v>
      </c>
      <c r="AR505" s="3" t="n">
        <f aca="false" ca="false" dt2D="false" dtr="false" t="normal">+(K505*10+L505*20)*12*0.85</f>
        <v>443271.6</v>
      </c>
      <c r="AS505" s="3" t="n">
        <f aca="false" ca="false" dt2D="false" dtr="false" t="normal">+(K505*10+L505*20)*12*30</f>
        <v>15644880</v>
      </c>
      <c r="AT505" s="9" t="n">
        <f aca="false" ca="false" dt2D="false" dtr="false" t="normal">+S505-AS505</f>
        <v>-14576312.54</v>
      </c>
      <c r="AU505" s="9" t="e">
        <f aca="false" ca="false" dt2D="false" dtr="false" t="normal">+P505-'[5]Приложение №1'!$P225</f>
        <v>#REF!</v>
      </c>
      <c r="AV505" s="9" t="e">
        <f aca="false" ca="false" dt2D="false" dtr="false" t="normal">+Q505-'[5]Приложение №1'!$Q225</f>
        <v>#REF!</v>
      </c>
      <c r="AW505" s="113" t="n">
        <f aca="false" ca="true" dt2D="false" dtr="false" t="normal">SUBTOTAL(9, AX505:BL505)</f>
        <v>2933317.4926648275</v>
      </c>
      <c r="AX505" s="106" t="n">
        <v>0</v>
      </c>
      <c r="AY505" s="106" t="n">
        <v>0</v>
      </c>
      <c r="AZ505" s="106" t="n">
        <v>2870544.4983218</v>
      </c>
      <c r="BA505" s="106" t="n">
        <v>0</v>
      </c>
      <c r="BB505" s="106" t="n">
        <v>0</v>
      </c>
      <c r="BC505" s="106" t="n"/>
      <c r="BD505" s="106" t="n"/>
      <c r="BE505" s="106" t="n">
        <v>0</v>
      </c>
      <c r="BF505" s="106" t="n">
        <v>0</v>
      </c>
      <c r="BG505" s="106" t="n">
        <v>0</v>
      </c>
      <c r="BH505" s="106" t="n">
        <v>0</v>
      </c>
      <c r="BI505" s="106" t="n">
        <v>0</v>
      </c>
      <c r="BJ505" s="106" t="n"/>
      <c r="BK505" s="114" t="n"/>
      <c r="BL505" s="115" t="n">
        <v>62772.9943430274</v>
      </c>
      <c r="BM505" s="113" t="n">
        <f aca="false" ca="true" dt2D="false" dtr="false" t="normal">SUBTOTAL(9, BN505:CB505)</f>
        <v>2933317.4926648275</v>
      </c>
      <c r="BN505" s="106" t="n">
        <v>0</v>
      </c>
      <c r="BO505" s="106" t="n">
        <v>0</v>
      </c>
      <c r="BP505" s="106" t="n">
        <v>2870544.4983218</v>
      </c>
      <c r="BQ505" s="106" t="n">
        <v>0</v>
      </c>
      <c r="BR505" s="106" t="n">
        <v>0</v>
      </c>
      <c r="BS505" s="106" t="n"/>
      <c r="BT505" s="106" t="n"/>
      <c r="BU505" s="106" t="n">
        <v>0</v>
      </c>
      <c r="BV505" s="106" t="n">
        <v>0</v>
      </c>
      <c r="BW505" s="106" t="n">
        <v>0</v>
      </c>
      <c r="BX505" s="106" t="n">
        <v>0</v>
      </c>
      <c r="BY505" s="106" t="n">
        <v>0</v>
      </c>
      <c r="BZ505" s="106" t="n"/>
      <c r="CA505" s="114" t="n"/>
      <c r="CB505" s="115" t="n">
        <v>62772.9943430274</v>
      </c>
      <c r="CD505" s="116" t="n">
        <f aca="false" ca="false" dt2D="false" dtr="false" t="normal">+CD504+1</f>
        <v>483</v>
      </c>
      <c r="CE505" s="117" t="n">
        <f aca="false" ca="false" dt2D="false" dtr="false" t="normal">+CE504+1</f>
        <v>24</v>
      </c>
      <c r="CF505" s="104" t="s">
        <v>78</v>
      </c>
      <c r="CG505" s="117" t="s">
        <v>537</v>
      </c>
      <c r="CH505" s="108" t="n">
        <f aca="false" ca="true" dt2D="false" dtr="false" t="normal">SUBTOTAL(9, CI505:CW505)</f>
        <v>3054050.85</v>
      </c>
      <c r="CI505" s="106" t="n">
        <v>0</v>
      </c>
      <c r="CJ505" s="114" t="n">
        <v>0</v>
      </c>
      <c r="CK505" s="114" t="n">
        <v>2991277.86</v>
      </c>
      <c r="CL505" s="114" t="n">
        <v>0</v>
      </c>
      <c r="CM505" s="114" t="n">
        <v>0</v>
      </c>
      <c r="CN505" s="114" t="n"/>
      <c r="CO505" s="106" t="n"/>
      <c r="CP505" s="114" t="n">
        <v>0</v>
      </c>
      <c r="CQ505" s="114" t="n">
        <v>0</v>
      </c>
      <c r="CR505" s="114" t="n">
        <v>0</v>
      </c>
      <c r="CS505" s="114" t="n">
        <v>0</v>
      </c>
      <c r="CT505" s="114" t="n">
        <v>0</v>
      </c>
      <c r="CU505" s="114" t="n"/>
      <c r="CV505" s="114" t="n"/>
      <c r="CW505" s="115" t="n">
        <v>62772.99</v>
      </c>
      <c r="CX505" s="3" t="n">
        <f aca="false" ca="false" dt2D="false" dtr="false" t="normal">+N505-CH505</f>
        <v>-24736.16000000015</v>
      </c>
      <c r="CZ505" s="117" t="s">
        <v>537</v>
      </c>
      <c r="DA505" s="113" t="n">
        <f aca="false" ca="true" dt2D="false" dtr="false" t="normal">SUBTOTAL(9, DB505:DP505)</f>
        <v>3029314.685</v>
      </c>
      <c r="DB505" s="106" t="n">
        <v>0</v>
      </c>
      <c r="DC505" s="114" t="n">
        <v>0</v>
      </c>
      <c r="DD505" s="114" t="n">
        <v>2991277.86</v>
      </c>
      <c r="DE505" s="114" t="n">
        <v>0</v>
      </c>
      <c r="DF505" s="114" t="n">
        <v>0</v>
      </c>
      <c r="DG505" s="114" t="n"/>
      <c r="DH505" s="106" t="n"/>
      <c r="DI505" s="114" t="n">
        <v>0</v>
      </c>
      <c r="DJ505" s="114" t="n">
        <v>0</v>
      </c>
      <c r="DK505" s="114" t="n">
        <v>0</v>
      </c>
      <c r="DL505" s="114" t="n">
        <v>0</v>
      </c>
      <c r="DM505" s="114" t="n">
        <v>0</v>
      </c>
      <c r="DN505" s="114" t="n"/>
      <c r="DO505" s="114" t="n"/>
      <c r="DP505" s="115" t="n">
        <f aca="false" ca="false" dt2D="false" dtr="false" t="normal">33075.5*1.15</f>
        <v>38036.825</v>
      </c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</row>
    <row customFormat="true" hidden="false" ht="15" outlineLevel="0" r="506" s="1">
      <c r="A506" s="183" t="n">
        <f aca="false" ca="false" dt2D="false" dtr="false" t="normal">+A505+1</f>
        <v>484</v>
      </c>
      <c r="B506" s="117" t="n">
        <f aca="false" ca="false" dt2D="false" dtr="false" t="normal">+B505+1</f>
        <v>25</v>
      </c>
      <c r="C506" s="104" t="s">
        <v>78</v>
      </c>
      <c r="D506" s="104" t="s">
        <v>538</v>
      </c>
      <c r="E506" s="105" t="n">
        <v>1980</v>
      </c>
      <c r="F506" s="105" t="n">
        <v>2010</v>
      </c>
      <c r="G506" s="105" t="s">
        <v>68</v>
      </c>
      <c r="H506" s="105" t="n">
        <v>5</v>
      </c>
      <c r="I506" s="105" t="n">
        <v>3</v>
      </c>
      <c r="J506" s="106" t="n">
        <v>5185</v>
      </c>
      <c r="K506" s="106" t="n">
        <v>4394.2</v>
      </c>
      <c r="L506" s="106" t="n">
        <v>0</v>
      </c>
      <c r="M506" s="107" t="n">
        <v>182</v>
      </c>
      <c r="N506" s="108" t="n">
        <f aca="false" ca="false" dt2D="false" dtr="false" t="normal">SUM(P506:T506)</f>
        <v>15466945.700000001</v>
      </c>
      <c r="O506" s="106" t="n"/>
      <c r="P506" s="114" t="n"/>
      <c r="Q506" s="114" t="n"/>
      <c r="R506" s="113" t="n">
        <v>3097180.14</v>
      </c>
      <c r="S506" s="113" t="n">
        <v>12369765.56</v>
      </c>
      <c r="T506" s="114" t="n"/>
      <c r="U506" s="114" t="n">
        <v>3596.82683394726</v>
      </c>
      <c r="V506" s="114" t="n">
        <v>1188.283020064</v>
      </c>
      <c r="W506" s="110" t="n">
        <v>2024</v>
      </c>
      <c r="X506" s="9" t="e">
        <f aca="false" ca="false" dt2D="false" dtr="false" t="normal">+#REF!-'[9]Приложение №1'!$P562</f>
        <v>#REF!</v>
      </c>
      <c r="Z506" s="113" t="n">
        <f aca="false" ca="false" dt2D="false" dtr="false" t="normal">SUM(AA506:AO506)</f>
        <v>37425881.197486065</v>
      </c>
      <c r="AA506" s="106" t="n">
        <v>0</v>
      </c>
      <c r="AB506" s="106" t="n">
        <v>0</v>
      </c>
      <c r="AC506" s="106" t="n">
        <v>0</v>
      </c>
      <c r="AD506" s="106" t="n">
        <v>0</v>
      </c>
      <c r="AE506" s="106" t="n">
        <v>0</v>
      </c>
      <c r="AF506" s="106" t="n"/>
      <c r="AG506" s="106" t="n">
        <v>0</v>
      </c>
      <c r="AH506" s="106" t="n">
        <v>0</v>
      </c>
      <c r="AI506" s="106" t="n">
        <v>14455410.7353323</v>
      </c>
      <c r="AJ506" s="106" t="n">
        <v>0</v>
      </c>
      <c r="AK506" s="106" t="n">
        <v>18301425.87198</v>
      </c>
      <c r="AL506" s="106" t="n">
        <v>0</v>
      </c>
      <c r="AM506" s="106" t="n">
        <v>3578460.10540462</v>
      </c>
      <c r="AN506" s="114" t="n">
        <v>374258.811974861</v>
      </c>
      <c r="AO506" s="115" t="n">
        <v>716325.672794281</v>
      </c>
      <c r="AP506" s="112" t="n">
        <f aca="false" ca="false" dt2D="false" dtr="false" t="normal">+N506-'Приложение №2'!E506</f>
        <v>0</v>
      </c>
      <c r="AQ506" s="121" t="n">
        <v>2626561.32</v>
      </c>
      <c r="AR506" s="3" t="n">
        <f aca="false" ca="false" dt2D="false" dtr="false" t="normal">+(K506*10.5+L506*21)*12*0.85</f>
        <v>470618.81999999995</v>
      </c>
      <c r="AS506" s="3" t="n">
        <f aca="false" ca="false" dt2D="false" dtr="false" t="normal">+(K506*10.5+L506*21)*12*30</f>
        <v>16610075.999999998</v>
      </c>
      <c r="AT506" s="9" t="n">
        <f aca="false" ca="false" dt2D="false" dtr="false" t="normal">+S506-AS506</f>
        <v>-4240310.439999998</v>
      </c>
      <c r="AU506" s="9" t="e">
        <f aca="false" ca="false" dt2D="false" dtr="false" t="normal">+P506-'[5]Приложение №1'!$P474</f>
        <v>#REF!</v>
      </c>
      <c r="AV506" s="9" t="e">
        <f aca="false" ca="false" dt2D="false" dtr="false" t="normal">+Q506-'[5]Приложение №1'!$Q474</f>
        <v>#REF!</v>
      </c>
      <c r="AW506" s="186" t="n">
        <f aca="false" ca="true" dt2D="false" dtr="false" t="normal">SUBTOTAL(9, AX506:BL506)</f>
        <v>15805176.473731045</v>
      </c>
      <c r="AX506" s="106" t="n">
        <v>0</v>
      </c>
      <c r="AY506" s="106" t="n">
        <v>0</v>
      </c>
      <c r="AZ506" s="106" t="n">
        <v>0</v>
      </c>
      <c r="BA506" s="106" t="n">
        <v>0</v>
      </c>
      <c r="BB506" s="106" t="n">
        <v>0</v>
      </c>
      <c r="BC506" s="106" t="n"/>
      <c r="BD506" s="106" t="n"/>
      <c r="BE506" s="106" t="n">
        <v>0</v>
      </c>
      <c r="BF506" s="106" t="n">
        <v>15466945.6971932</v>
      </c>
      <c r="BG506" s="106" t="n">
        <v>0</v>
      </c>
      <c r="BH506" s="106" t="n"/>
      <c r="BI506" s="106" t="n">
        <v>0</v>
      </c>
      <c r="BJ506" s="106" t="n"/>
      <c r="BK506" s="114" t="n"/>
      <c r="BL506" s="115" t="n">
        <v>338230.776537845</v>
      </c>
      <c r="BM506" s="186" t="n">
        <f aca="false" ca="true" dt2D="false" dtr="false" t="normal">SUBTOTAL(9, BN506:CB506)</f>
        <v>15805176.473731045</v>
      </c>
      <c r="BN506" s="106" t="n">
        <v>0</v>
      </c>
      <c r="BO506" s="106" t="n">
        <v>0</v>
      </c>
      <c r="BP506" s="106" t="n">
        <v>0</v>
      </c>
      <c r="BQ506" s="106" t="n">
        <v>0</v>
      </c>
      <c r="BR506" s="106" t="n">
        <v>0</v>
      </c>
      <c r="BS506" s="106" t="n"/>
      <c r="BT506" s="106" t="n"/>
      <c r="BU506" s="106" t="n">
        <v>0</v>
      </c>
      <c r="BV506" s="106" t="n">
        <v>15466945.6971932</v>
      </c>
      <c r="BW506" s="106" t="n">
        <v>0</v>
      </c>
      <c r="BX506" s="106" t="n"/>
      <c r="BY506" s="106" t="n">
        <v>0</v>
      </c>
      <c r="BZ506" s="106" t="n"/>
      <c r="CA506" s="114" t="n"/>
      <c r="CB506" s="115" t="n">
        <v>338230.776537845</v>
      </c>
      <c r="CD506" s="116" t="n">
        <f aca="false" ca="false" dt2D="false" dtr="false" t="normal">+CD505+1</f>
        <v>484</v>
      </c>
      <c r="CE506" s="117" t="n">
        <f aca="false" ca="false" dt2D="false" dtr="false" t="normal">+CE505+1</f>
        <v>25</v>
      </c>
      <c r="CF506" s="104" t="s">
        <v>78</v>
      </c>
      <c r="CG506" s="117" t="s">
        <v>538</v>
      </c>
      <c r="CH506" s="108" t="n">
        <f aca="false" ca="true" dt2D="false" dtr="false" t="normal">SUBTOTAL(9, CI506:CW506)</f>
        <v>15805176.479999999</v>
      </c>
      <c r="CI506" s="106" t="n">
        <v>0</v>
      </c>
      <c r="CJ506" s="114" t="n">
        <v>0</v>
      </c>
      <c r="CK506" s="114" t="n">
        <v>0</v>
      </c>
      <c r="CL506" s="114" t="n">
        <v>0</v>
      </c>
      <c r="CM506" s="114" t="n">
        <v>0</v>
      </c>
      <c r="CN506" s="114" t="n"/>
      <c r="CO506" s="106" t="n"/>
      <c r="CP506" s="114" t="n">
        <v>0</v>
      </c>
      <c r="CQ506" s="114" t="n">
        <v>15466945.7</v>
      </c>
      <c r="CR506" s="114" t="n">
        <v>0</v>
      </c>
      <c r="CS506" s="114" t="n"/>
      <c r="CT506" s="114" t="n">
        <v>0</v>
      </c>
      <c r="CU506" s="114" t="n"/>
      <c r="CV506" s="114" t="n"/>
      <c r="CW506" s="115" t="n">
        <v>338230.78</v>
      </c>
      <c r="CX506" s="3" t="n">
        <f aca="false" ca="false" dt2D="false" dtr="false" t="normal">+N506-CH506</f>
        <v>-338230.77999999747</v>
      </c>
      <c r="CZ506" s="117" t="s">
        <v>538</v>
      </c>
      <c r="DA506" s="113" t="n">
        <f aca="false" ca="true" dt2D="false" dtr="false" t="normal">SUBTOTAL(9, DB506:DP506)</f>
        <v>15466945.7</v>
      </c>
      <c r="DB506" s="106" t="n">
        <v>0</v>
      </c>
      <c r="DC506" s="114" t="n">
        <v>0</v>
      </c>
      <c r="DD506" s="114" t="n">
        <v>0</v>
      </c>
      <c r="DE506" s="114" t="n">
        <v>0</v>
      </c>
      <c r="DF506" s="114" t="n">
        <v>0</v>
      </c>
      <c r="DG506" s="114" t="n"/>
      <c r="DH506" s="106" t="n"/>
      <c r="DI506" s="114" t="n">
        <v>0</v>
      </c>
      <c r="DJ506" s="114" t="n">
        <v>15466945.7</v>
      </c>
      <c r="DK506" s="114" t="n">
        <v>0</v>
      </c>
      <c r="DL506" s="114" t="n"/>
      <c r="DM506" s="114" t="n">
        <v>0</v>
      </c>
      <c r="DN506" s="114" t="n"/>
      <c r="DO506" s="114" t="n"/>
      <c r="DP506" s="240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</row>
    <row customFormat="true" hidden="false" ht="15" outlineLevel="0" r="507" s="1">
      <c r="A507" s="183" t="n">
        <f aca="false" ca="false" dt2D="false" dtr="false" t="normal">+A506+1</f>
        <v>485</v>
      </c>
      <c r="B507" s="117" t="n">
        <f aca="false" ca="false" dt2D="false" dtr="false" t="normal">+B506+1</f>
        <v>26</v>
      </c>
      <c r="C507" s="104" t="s">
        <v>78</v>
      </c>
      <c r="D507" s="104" t="s">
        <v>539</v>
      </c>
      <c r="E507" s="105" t="n">
        <v>1990</v>
      </c>
      <c r="F507" s="105" t="n">
        <v>1990</v>
      </c>
      <c r="G507" s="105" t="s">
        <v>68</v>
      </c>
      <c r="H507" s="105" t="n">
        <v>5</v>
      </c>
      <c r="I507" s="105" t="n">
        <v>6</v>
      </c>
      <c r="J507" s="106" t="n">
        <v>5149.9</v>
      </c>
      <c r="K507" s="106" t="n">
        <v>4605.8</v>
      </c>
      <c r="L507" s="106" t="n">
        <v>0</v>
      </c>
      <c r="M507" s="107" t="n">
        <v>217</v>
      </c>
      <c r="N507" s="108" t="n">
        <f aca="false" ca="false" dt2D="false" dtr="false" t="normal">SUM(P507:T507)</f>
        <v>4096150.81</v>
      </c>
      <c r="O507" s="106" t="n"/>
      <c r="P507" s="114" t="n"/>
      <c r="Q507" s="114" t="n"/>
      <c r="R507" s="113" t="n">
        <v>1325372.37</v>
      </c>
      <c r="S507" s="113" t="n">
        <v>2770778.44</v>
      </c>
      <c r="T507" s="114" t="n"/>
      <c r="U507" s="106" t="n">
        <v>856.052019950121</v>
      </c>
      <c r="V507" s="106" t="n">
        <v>856.052019950121</v>
      </c>
      <c r="W507" s="110" t="n">
        <v>2024</v>
      </c>
      <c r="X507" s="9" t="e">
        <f aca="false" ca="false" dt2D="false" dtr="false" t="normal">+#REF!-'[9]Приложение №1'!$P917</f>
        <v>#REF!</v>
      </c>
      <c r="Z507" s="113" t="n">
        <f aca="false" ca="false" dt2D="false" dtr="false" t="normal">SUM(AA507:AO507)</f>
        <v>23542253.379726693</v>
      </c>
      <c r="AA507" s="106" t="n">
        <v>9139483.84636691</v>
      </c>
      <c r="AB507" s="106" t="n">
        <v>3911901.54576367</v>
      </c>
      <c r="AC507" s="106" t="n">
        <v>3492077.61092077</v>
      </c>
      <c r="AD507" s="106" t="n">
        <v>3688350.50753336</v>
      </c>
      <c r="AE507" s="106" t="n">
        <v>0</v>
      </c>
      <c r="AF507" s="106" t="n"/>
      <c r="AG507" s="106" t="n">
        <v>379458.892153234</v>
      </c>
      <c r="AH507" s="106" t="n">
        <v>0</v>
      </c>
      <c r="AI507" s="106" t="n">
        <v>0</v>
      </c>
      <c r="AJ507" s="106" t="n">
        <v>0</v>
      </c>
      <c r="AK507" s="106" t="n">
        <v>0</v>
      </c>
      <c r="AL507" s="106" t="n">
        <v>0</v>
      </c>
      <c r="AM507" s="106" t="n">
        <v>2244831.66062599</v>
      </c>
      <c r="AN507" s="114" t="n">
        <v>235422.533797267</v>
      </c>
      <c r="AO507" s="115" t="n">
        <v>450726.782565493</v>
      </c>
      <c r="AP507" s="112" t="n">
        <f aca="false" ca="false" dt2D="false" dtr="false" t="normal">+N507-'Приложение №2'!E507</f>
        <v>0</v>
      </c>
      <c r="AQ507" s="1" t="n">
        <f aca="false" ca="false" dt2D="false" dtr="false" t="normal">2264861.1-76133.85-1333146.48</f>
        <v>855580.77</v>
      </c>
      <c r="AR507" s="3" t="n">
        <f aca="false" ca="false" dt2D="false" dtr="false" t="normal">+(K507*10+L507*20)*12*0.85</f>
        <v>469791.6</v>
      </c>
      <c r="AS507" s="3" t="n">
        <f aca="false" ca="false" dt2D="false" dtr="false" t="normal">+(K507*10+L507*20)*12*30-5321889.99-2719635.2</f>
        <v>8539354.809999999</v>
      </c>
      <c r="AT507" s="9" t="n">
        <f aca="false" ca="false" dt2D="false" dtr="false" t="normal">+S507-AS507</f>
        <v>-5768576.369999999</v>
      </c>
      <c r="AU507" s="9" t="e">
        <f aca="false" ca="false" dt2D="false" dtr="false" t="normal">+P507-'[5]Приложение №1'!$P224</f>
        <v>#REF!</v>
      </c>
      <c r="AV507" s="9" t="e">
        <f aca="false" ca="false" dt2D="false" dtr="false" t="normal">+Q507-'[5]Приложение №1'!$Q224</f>
        <v>#REF!</v>
      </c>
      <c r="AW507" s="113" t="n">
        <f aca="false" ca="true" dt2D="false" dtr="false" t="normal">SUBTOTAL(9, AX507:BL507)</f>
        <v>3942804.393486263</v>
      </c>
      <c r="AX507" s="106" t="n"/>
      <c r="AY507" s="106" t="n"/>
      <c r="AZ507" s="106" t="n">
        <v>3492077.61092077</v>
      </c>
      <c r="BA507" s="106" t="n"/>
      <c r="BB507" s="106" t="n">
        <v>0</v>
      </c>
      <c r="BC507" s="106" t="n"/>
      <c r="BD507" s="106" t="n"/>
      <c r="BE507" s="106" t="n">
        <v>0</v>
      </c>
      <c r="BF507" s="106" t="n">
        <v>0</v>
      </c>
      <c r="BG507" s="106" t="n">
        <v>0</v>
      </c>
      <c r="BH507" s="106" t="n">
        <v>0</v>
      </c>
      <c r="BI507" s="106" t="n">
        <v>0</v>
      </c>
      <c r="BJ507" s="106" t="n"/>
      <c r="BK507" s="114" t="n"/>
      <c r="BL507" s="115" t="n">
        <v>450726.782565493</v>
      </c>
      <c r="BM507" s="113" t="n">
        <f aca="false" ca="true" dt2D="false" dtr="false" t="normal">SUBTOTAL(9, BN507:CB507)</f>
        <v>3942804.393486263</v>
      </c>
      <c r="BN507" s="106" t="n"/>
      <c r="BO507" s="106" t="n"/>
      <c r="BP507" s="106" t="n">
        <v>3492077.61092077</v>
      </c>
      <c r="BQ507" s="106" t="n"/>
      <c r="BR507" s="106" t="n">
        <v>0</v>
      </c>
      <c r="BS507" s="106" t="n"/>
      <c r="BT507" s="106" t="n"/>
      <c r="BU507" s="106" t="n">
        <v>0</v>
      </c>
      <c r="BV507" s="106" t="n">
        <v>0</v>
      </c>
      <c r="BW507" s="106" t="n">
        <v>0</v>
      </c>
      <c r="BX507" s="106" t="n">
        <v>0</v>
      </c>
      <c r="BY507" s="106" t="n">
        <v>0</v>
      </c>
      <c r="BZ507" s="106" t="n"/>
      <c r="CA507" s="114" t="n"/>
      <c r="CB507" s="115" t="n">
        <v>450726.782565493</v>
      </c>
      <c r="CD507" s="116" t="n">
        <f aca="false" ca="false" dt2D="false" dtr="false" t="normal">+CD506+1</f>
        <v>485</v>
      </c>
      <c r="CE507" s="117" t="n">
        <f aca="false" ca="false" dt2D="false" dtr="false" t="normal">+CE506+1</f>
        <v>26</v>
      </c>
      <c r="CF507" s="104" t="s">
        <v>78</v>
      </c>
      <c r="CG507" s="117" t="s">
        <v>539</v>
      </c>
      <c r="CH507" s="108" t="n">
        <f aca="false" ca="true" dt2D="false" dtr="false" t="normal">SUBTOTAL(9, CI507:CW507)</f>
        <v>4498939.37</v>
      </c>
      <c r="CI507" s="106" t="n"/>
      <c r="CJ507" s="114" t="n"/>
      <c r="CK507" s="114" t="n">
        <v>4048212.59</v>
      </c>
      <c r="CL507" s="114" t="n"/>
      <c r="CM507" s="114" t="n">
        <v>0</v>
      </c>
      <c r="CN507" s="114" t="n"/>
      <c r="CO507" s="106" t="n"/>
      <c r="CP507" s="114" t="n">
        <v>0</v>
      </c>
      <c r="CQ507" s="114" t="n">
        <v>0</v>
      </c>
      <c r="CR507" s="114" t="n">
        <v>0</v>
      </c>
      <c r="CS507" s="114" t="n">
        <v>0</v>
      </c>
      <c r="CT507" s="114" t="n">
        <v>0</v>
      </c>
      <c r="CU507" s="114" t="n"/>
      <c r="CV507" s="114" t="n"/>
      <c r="CW507" s="115" t="n">
        <v>450726.78</v>
      </c>
      <c r="CX507" s="3" t="n">
        <f aca="false" ca="false" dt2D="false" dtr="false" t="normal">+N507-CH507</f>
        <v>-402788.56000000006</v>
      </c>
      <c r="CZ507" s="117" t="s">
        <v>539</v>
      </c>
      <c r="DA507" s="113" t="n">
        <f aca="false" ca="true" dt2D="false" dtr="false" t="normal">SUBTOTAL(9, DB507:DP507)</f>
        <v>4096150.8115</v>
      </c>
      <c r="DB507" s="106" t="n"/>
      <c r="DC507" s="114" t="n"/>
      <c r="DD507" s="114" t="n">
        <v>4048212.59</v>
      </c>
      <c r="DE507" s="114" t="n"/>
      <c r="DF507" s="114" t="n">
        <v>0</v>
      </c>
      <c r="DG507" s="114" t="n"/>
      <c r="DH507" s="106" t="n"/>
      <c r="DI507" s="114" t="n">
        <v>0</v>
      </c>
      <c r="DJ507" s="114" t="n">
        <v>0</v>
      </c>
      <c r="DK507" s="114" t="n">
        <v>0</v>
      </c>
      <c r="DL507" s="114" t="n">
        <v>0</v>
      </c>
      <c r="DM507" s="114" t="n">
        <v>0</v>
      </c>
      <c r="DN507" s="114" t="n"/>
      <c r="DO507" s="114" t="n"/>
      <c r="DP507" s="115" t="n">
        <f aca="false" ca="false" dt2D="false" dtr="false" t="normal">41685.41*1.15</f>
        <v>47938.2215</v>
      </c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</row>
    <row customFormat="true" hidden="false" ht="15" outlineLevel="0" r="508" s="1">
      <c r="A508" s="183" t="n">
        <f aca="false" ca="false" dt2D="false" dtr="false" t="normal">+A507+1</f>
        <v>486</v>
      </c>
      <c r="B508" s="117" t="n">
        <f aca="false" ca="false" dt2D="false" dtr="false" t="normal">+B507+1</f>
        <v>27</v>
      </c>
      <c r="C508" s="104" t="s">
        <v>78</v>
      </c>
      <c r="D508" s="104" t="s">
        <v>466</v>
      </c>
      <c r="E508" s="105" t="n">
        <v>1985</v>
      </c>
      <c r="F508" s="105" t="n">
        <v>2017</v>
      </c>
      <c r="G508" s="105" t="s">
        <v>68</v>
      </c>
      <c r="H508" s="105" t="n">
        <v>9</v>
      </c>
      <c r="I508" s="105" t="n">
        <v>5</v>
      </c>
      <c r="J508" s="106" t="n">
        <v>13256</v>
      </c>
      <c r="K508" s="106" t="n">
        <v>10326.3</v>
      </c>
      <c r="L508" s="106" t="n">
        <v>160.4</v>
      </c>
      <c r="M508" s="107" t="n">
        <v>409</v>
      </c>
      <c r="N508" s="108" t="n">
        <f aca="false" ca="false" dt2D="false" dtr="false" t="normal">SUM(P508:T508)</f>
        <v>7701571.03</v>
      </c>
      <c r="O508" s="106" t="n"/>
      <c r="P508" s="114" t="n"/>
      <c r="Q508" s="114" t="n"/>
      <c r="R508" s="113" t="n">
        <v>7701571.03</v>
      </c>
      <c r="S508" s="113" t="n"/>
      <c r="T508" s="114" t="n"/>
      <c r="U508" s="106" t="n">
        <v>3446.00159899302</v>
      </c>
      <c r="V508" s="106" t="n">
        <v>3446.00159899302</v>
      </c>
      <c r="W508" s="110" t="n">
        <v>2024</v>
      </c>
      <c r="X508" s="9" t="e">
        <f aca="false" ca="false" dt2D="false" dtr="false" t="normal">+#REF!-'[9]Приложение №1'!$P567</f>
        <v>#REF!</v>
      </c>
      <c r="Z508" s="113" t="n">
        <f aca="false" ca="false" dt2D="false" dtr="false" t="normal">SUM(AA508:AO508)</f>
        <v>37665450.36149954</v>
      </c>
      <c r="AA508" s="106" t="n">
        <v>24967938.103438</v>
      </c>
      <c r="AB508" s="106" t="n">
        <v>0</v>
      </c>
      <c r="AC508" s="106" t="n">
        <v>7378265.43216457</v>
      </c>
      <c r="AD508" s="106" t="n">
        <v>0</v>
      </c>
      <c r="AE508" s="106" t="n">
        <v>0</v>
      </c>
      <c r="AF508" s="106" t="n"/>
      <c r="AG508" s="106" t="n">
        <v>1109290.64124894</v>
      </c>
      <c r="AH508" s="106" t="n">
        <v>0</v>
      </c>
      <c r="AI508" s="106" t="n">
        <v>0</v>
      </c>
      <c r="AJ508" s="106" t="n">
        <v>0</v>
      </c>
      <c r="AK508" s="106" t="n">
        <v>0</v>
      </c>
      <c r="AL508" s="106" t="n">
        <v>0</v>
      </c>
      <c r="AM508" s="106" t="n">
        <v>3101697.78221368</v>
      </c>
      <c r="AN508" s="114" t="n">
        <v>376654.503614995</v>
      </c>
      <c r="AO508" s="115" t="n">
        <v>731603.898819356</v>
      </c>
      <c r="AP508" s="112" t="n">
        <f aca="false" ca="false" dt2D="false" dtr="false" t="normal">+N508-'Приложение №2'!E508</f>
        <v>0</v>
      </c>
      <c r="AQ508" s="1" t="n">
        <v>6376950.85</v>
      </c>
      <c r="AR508" s="3" t="n">
        <f aca="false" ca="false" dt2D="false" dtr="false" t="normal">+(K508*13.29+L508*22.52)*12*0.85</f>
        <v>1436657.0969999998</v>
      </c>
      <c r="AS508" s="3" t="n">
        <f aca="false" ca="false" dt2D="false" dtr="false" t="normal">+(K508*13.29+L508*22.52)*12*30</f>
        <v>50705544.599999994</v>
      </c>
      <c r="AT508" s="9" t="n">
        <f aca="false" ca="false" dt2D="false" dtr="false" t="normal">+S508-AS508</f>
        <v>-50705544.599999994</v>
      </c>
      <c r="AU508" s="9" t="e">
        <f aca="false" ca="false" dt2D="false" dtr="false" t="normal">+P508-'[5]Приложение №1'!$P230</f>
        <v>#REF!</v>
      </c>
      <c r="AV508" s="9" t="e">
        <f aca="false" ca="false" dt2D="false" dtr="false" t="normal">+Q508-'[5]Приложение №1'!$Q230</f>
        <v>#REF!</v>
      </c>
      <c r="AW508" s="113" t="n">
        <f aca="false" ca="true" dt2D="false" dtr="false" t="normal">SUBTOTAL(9, AX508:BL508)</f>
        <v>36137184.968160085</v>
      </c>
      <c r="AX508" s="106" t="n">
        <v>26584018.179887</v>
      </c>
      <c r="AY508" s="106" t="n">
        <v>0</v>
      </c>
      <c r="AZ508" s="106" t="n">
        <v>7688281.38648623</v>
      </c>
      <c r="BA508" s="106" t="n">
        <v>0</v>
      </c>
      <c r="BB508" s="106" t="n">
        <v>0</v>
      </c>
      <c r="BC508" s="106" t="n"/>
      <c r="BD508" s="106" t="n">
        <v>1109290.64124894</v>
      </c>
      <c r="BE508" s="106" t="n">
        <v>0</v>
      </c>
      <c r="BF508" s="106" t="n">
        <v>0</v>
      </c>
      <c r="BG508" s="106" t="n">
        <v>0</v>
      </c>
      <c r="BH508" s="106" t="n">
        <v>0</v>
      </c>
      <c r="BI508" s="106" t="n">
        <v>0</v>
      </c>
      <c r="BJ508" s="106" t="n"/>
      <c r="BK508" s="114" t="n"/>
      <c r="BL508" s="115" t="n">
        <v>755594.760537915</v>
      </c>
      <c r="BM508" s="113" t="n">
        <f aca="false" ca="true" dt2D="false" dtr="false" t="normal">SUBTOTAL(9, BN508:CB508)</f>
        <v>36137184.968160085</v>
      </c>
      <c r="BN508" s="106" t="n">
        <v>26584018.179887</v>
      </c>
      <c r="BO508" s="106" t="n">
        <v>0</v>
      </c>
      <c r="BP508" s="106" t="n">
        <v>7688281.38648623</v>
      </c>
      <c r="BQ508" s="106" t="n">
        <v>0</v>
      </c>
      <c r="BR508" s="106" t="n">
        <v>0</v>
      </c>
      <c r="BS508" s="106" t="n"/>
      <c r="BT508" s="106" t="n">
        <v>1109290.64124894</v>
      </c>
      <c r="BU508" s="106" t="n">
        <v>0</v>
      </c>
      <c r="BV508" s="106" t="n">
        <v>0</v>
      </c>
      <c r="BW508" s="106" t="n">
        <v>0</v>
      </c>
      <c r="BX508" s="106" t="n">
        <v>0</v>
      </c>
      <c r="BY508" s="106" t="n">
        <v>0</v>
      </c>
      <c r="BZ508" s="106" t="n"/>
      <c r="CA508" s="114" t="n"/>
      <c r="CB508" s="115" t="n">
        <v>755594.760537915</v>
      </c>
      <c r="CD508" s="116" t="n">
        <f aca="false" ca="false" dt2D="false" dtr="false" t="normal">+CD507+1</f>
        <v>486</v>
      </c>
      <c r="CE508" s="117" t="n">
        <f aca="false" ca="false" dt2D="false" dtr="false" t="normal">+CE507+1</f>
        <v>27</v>
      </c>
      <c r="CF508" s="104" t="s">
        <v>78</v>
      </c>
      <c r="CG508" s="117" t="s">
        <v>466</v>
      </c>
      <c r="CH508" s="108" t="n">
        <f aca="false" ca="true" dt2D="false" dtr="false" t="normal">SUBTOTAL(9, CI508:CW508)</f>
        <v>8443876.15</v>
      </c>
      <c r="CI508" s="106" t="n"/>
      <c r="CJ508" s="114" t="n">
        <v>0</v>
      </c>
      <c r="CK508" s="114" t="n">
        <v>7688281.39</v>
      </c>
      <c r="CL508" s="114" t="n">
        <v>0</v>
      </c>
      <c r="CM508" s="114" t="n">
        <v>0</v>
      </c>
      <c r="CN508" s="114" t="n"/>
      <c r="CO508" s="106" t="n"/>
      <c r="CP508" s="114" t="n">
        <v>0</v>
      </c>
      <c r="CQ508" s="114" t="n">
        <v>0</v>
      </c>
      <c r="CR508" s="114" t="n">
        <v>0</v>
      </c>
      <c r="CS508" s="114" t="n">
        <v>0</v>
      </c>
      <c r="CT508" s="114" t="n">
        <v>0</v>
      </c>
      <c r="CU508" s="114" t="n"/>
      <c r="CV508" s="114" t="n"/>
      <c r="CW508" s="115" t="n">
        <v>755594.76</v>
      </c>
      <c r="CX508" s="3" t="n">
        <f aca="false" ca="false" dt2D="false" dtr="false" t="normal">+N508-CH508</f>
        <v>-742305.1200000001</v>
      </c>
      <c r="CZ508" s="117" t="s">
        <v>466</v>
      </c>
      <c r="DA508" s="113" t="n">
        <f aca="false" ca="true" dt2D="false" dtr="false" t="normal">SUBTOTAL(9, DB508:DP508)</f>
        <v>7701571.0315</v>
      </c>
      <c r="DB508" s="106" t="n"/>
      <c r="DC508" s="114" t="n">
        <v>0</v>
      </c>
      <c r="DD508" s="114" t="n">
        <v>7688281.39</v>
      </c>
      <c r="DE508" s="114" t="n">
        <v>0</v>
      </c>
      <c r="DF508" s="114" t="n">
        <v>0</v>
      </c>
      <c r="DG508" s="114" t="n"/>
      <c r="DH508" s="106" t="n"/>
      <c r="DI508" s="114" t="n">
        <v>0</v>
      </c>
      <c r="DJ508" s="114" t="n">
        <v>0</v>
      </c>
      <c r="DK508" s="114" t="n">
        <v>0</v>
      </c>
      <c r="DL508" s="114" t="n">
        <v>0</v>
      </c>
      <c r="DM508" s="114" t="n">
        <v>0</v>
      </c>
      <c r="DN508" s="114" t="n"/>
      <c r="DO508" s="114" t="n"/>
      <c r="DP508" s="115" t="n">
        <f aca="false" ca="false" dt2D="false" dtr="false" t="normal">11556.21*1.15</f>
        <v>13289.641499999998</v>
      </c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</row>
    <row customFormat="true" hidden="false" ht="15" outlineLevel="0" r="509" s="1">
      <c r="A509" s="183" t="n">
        <f aca="false" ca="false" dt2D="false" dtr="false" t="normal">+A508+1</f>
        <v>487</v>
      </c>
      <c r="B509" s="117" t="n">
        <f aca="false" ca="false" dt2D="false" dtr="false" t="normal">+B508+1</f>
        <v>28</v>
      </c>
      <c r="C509" s="104" t="s">
        <v>78</v>
      </c>
      <c r="D509" s="104" t="s">
        <v>540</v>
      </c>
      <c r="E509" s="105" t="n">
        <v>1992</v>
      </c>
      <c r="F509" s="105" t="n">
        <v>2012</v>
      </c>
      <c r="G509" s="105" t="s">
        <v>68</v>
      </c>
      <c r="H509" s="105" t="n">
        <v>9</v>
      </c>
      <c r="I509" s="105" t="n">
        <v>1</v>
      </c>
      <c r="J509" s="106" t="n">
        <v>2846</v>
      </c>
      <c r="K509" s="106" t="n">
        <v>2452.2</v>
      </c>
      <c r="L509" s="106" t="n">
        <v>0</v>
      </c>
      <c r="M509" s="107" t="n">
        <v>98</v>
      </c>
      <c r="N509" s="108" t="n">
        <f aca="false" ca="false" dt2D="false" dtr="false" t="normal">SUM(P509:T509)</f>
        <v>3000018.4499999997</v>
      </c>
      <c r="O509" s="106" t="n"/>
      <c r="P509" s="114" t="n"/>
      <c r="Q509" s="114" t="n"/>
      <c r="R509" s="113" t="n">
        <v>2247888.05</v>
      </c>
      <c r="S509" s="113" t="n">
        <v>752130.4</v>
      </c>
      <c r="T509" s="114" t="n">
        <v>0</v>
      </c>
      <c r="U509" s="114" t="n">
        <v>1741.72171927249</v>
      </c>
      <c r="V509" s="114" t="n">
        <v>1741.72171927249</v>
      </c>
      <c r="W509" s="110" t="n">
        <v>2024</v>
      </c>
      <c r="X509" s="3" t="e">
        <f aca="false" ca="false" dt2D="false" dtr="false" t="normal">+N509-'[6]Приложение №2'!E485</f>
        <v>#REF!</v>
      </c>
      <c r="AD509" s="3" t="e">
        <f aca="false" ca="false" dt2D="false" dtr="false" t="normal">+'[6]Прил 2 оконч'!E485-'[6]Приложение №1'!N485</f>
        <v>#REF!</v>
      </c>
      <c r="AP509" s="112" t="n">
        <f aca="false" ca="false" dt2D="false" dtr="false" t="normal">+N509-'Приложение №2'!E509</f>
        <v>0</v>
      </c>
      <c r="AQ509" s="1" t="n">
        <v>1942836.74</v>
      </c>
      <c r="AR509" s="3" t="n">
        <f aca="false" ca="false" dt2D="false" dtr="false" t="normal">+(K509*13.95+L509*23.65)*12*0.85</f>
        <v>348923.53799999994</v>
      </c>
      <c r="AS509" s="3" t="n">
        <f aca="false" ca="false" dt2D="false" dtr="false" t="normal">+(K509*13.95+L509*23.65)*12*30</f>
        <v>12314948.399999997</v>
      </c>
      <c r="AT509" s="9" t="n">
        <f aca="false" ca="false" dt2D="false" dtr="false" t="normal">+S509-AS509</f>
        <v>-11562817.999999996</v>
      </c>
      <c r="AU509" s="9" t="n"/>
      <c r="AV509" s="9" t="n"/>
      <c r="AW509" s="186" t="n">
        <f aca="false" ca="true" dt2D="false" dtr="false" t="normal">SUBTOTAL(9, AX509:BL509)</f>
        <v>4271050</v>
      </c>
      <c r="AX509" s="106" t="n">
        <v>0</v>
      </c>
      <c r="AY509" s="106" t="n">
        <v>0</v>
      </c>
      <c r="AZ509" s="106" t="n">
        <v>0</v>
      </c>
      <c r="BA509" s="106" t="n">
        <v>0</v>
      </c>
      <c r="BB509" s="106" t="n">
        <v>0</v>
      </c>
      <c r="BC509" s="106" t="n"/>
      <c r="BD509" s="106" t="n">
        <v>0</v>
      </c>
      <c r="BE509" s="106" t="n">
        <v>4012463.5488</v>
      </c>
      <c r="BF509" s="106" t="n"/>
      <c r="BG509" s="106" t="n">
        <v>0</v>
      </c>
      <c r="BH509" s="106" t="n">
        <v>0</v>
      </c>
      <c r="BI509" s="106" t="n">
        <v>0</v>
      </c>
      <c r="BJ509" s="106" t="n">
        <v>128131.5</v>
      </c>
      <c r="BK509" s="114" t="n">
        <v>42710.5</v>
      </c>
      <c r="BL509" s="115" t="n">
        <v>87744.4512</v>
      </c>
      <c r="BM509" s="186" t="n">
        <f aca="false" ca="true" dt2D="false" dtr="false" t="normal">SUBTOTAL(9, BN509:CB509)</f>
        <v>4271050</v>
      </c>
      <c r="BN509" s="106" t="n">
        <v>0</v>
      </c>
      <c r="BO509" s="106" t="n">
        <v>0</v>
      </c>
      <c r="BP509" s="106" t="n">
        <v>0</v>
      </c>
      <c r="BQ509" s="106" t="n">
        <v>0</v>
      </c>
      <c r="BR509" s="106" t="n">
        <v>0</v>
      </c>
      <c r="BS509" s="106" t="n"/>
      <c r="BT509" s="106" t="n">
        <v>0</v>
      </c>
      <c r="BU509" s="106" t="n">
        <v>4012463.5488</v>
      </c>
      <c r="BV509" s="106" t="n"/>
      <c r="BW509" s="106" t="n">
        <v>0</v>
      </c>
      <c r="BX509" s="106" t="n">
        <v>0</v>
      </c>
      <c r="BY509" s="106" t="n">
        <v>0</v>
      </c>
      <c r="BZ509" s="106" t="n">
        <v>128131.5</v>
      </c>
      <c r="CA509" s="114" t="n">
        <v>42710.5</v>
      </c>
      <c r="CB509" s="115" t="n">
        <v>87744.4512</v>
      </c>
      <c r="CD509" s="116" t="n">
        <f aca="false" ca="false" dt2D="false" dtr="false" t="normal">+CD508+1</f>
        <v>487</v>
      </c>
      <c r="CE509" s="117" t="n">
        <f aca="false" ca="false" dt2D="false" dtr="false" t="normal">+CE508+1</f>
        <v>28</v>
      </c>
      <c r="CF509" s="104" t="s">
        <v>78</v>
      </c>
      <c r="CG509" s="117" t="s">
        <v>540</v>
      </c>
      <c r="CH509" s="108" t="n">
        <f aca="false" ca="true" dt2D="false" dtr="false" t="normal">SUBTOTAL(9, CI509:CW509)</f>
        <v>4183305.55</v>
      </c>
      <c r="CI509" s="106" t="n">
        <v>0</v>
      </c>
      <c r="CJ509" s="114" t="n">
        <v>0</v>
      </c>
      <c r="CK509" s="114" t="n">
        <v>0</v>
      </c>
      <c r="CL509" s="114" t="n">
        <v>0</v>
      </c>
      <c r="CM509" s="114" t="n">
        <v>0</v>
      </c>
      <c r="CN509" s="114" t="n"/>
      <c r="CO509" s="106" t="n">
        <v>0</v>
      </c>
      <c r="CP509" s="114" t="n">
        <v>4012463.55</v>
      </c>
      <c r="CQ509" s="114" t="n"/>
      <c r="CR509" s="114" t="n">
        <v>0</v>
      </c>
      <c r="CS509" s="114" t="n">
        <v>0</v>
      </c>
      <c r="CT509" s="114" t="n">
        <v>0</v>
      </c>
      <c r="CU509" s="114" t="n">
        <v>128131.5</v>
      </c>
      <c r="CV509" s="114" t="n">
        <v>42710.5</v>
      </c>
      <c r="CW509" s="115" t="n"/>
      <c r="CX509" s="3" t="n">
        <f aca="false" ca="false" dt2D="false" dtr="false" t="normal">+N509-CH509</f>
        <v>-1183287.1</v>
      </c>
      <c r="CZ509" s="117" t="s">
        <v>540</v>
      </c>
      <c r="DA509" s="113" t="n">
        <f aca="false" ca="true" dt2D="false" dtr="false" t="normal">SUBTOTAL(9, DB509:DP509)</f>
        <v>4183305.55</v>
      </c>
      <c r="DB509" s="106" t="n">
        <v>0</v>
      </c>
      <c r="DC509" s="114" t="n">
        <v>0</v>
      </c>
      <c r="DD509" s="114" t="n">
        <v>0</v>
      </c>
      <c r="DE509" s="114" t="n">
        <v>0</v>
      </c>
      <c r="DF509" s="114" t="n">
        <v>0</v>
      </c>
      <c r="DG509" s="114" t="n"/>
      <c r="DH509" s="106" t="n">
        <v>0</v>
      </c>
      <c r="DI509" s="114" t="n">
        <v>4012463.55</v>
      </c>
      <c r="DJ509" s="114" t="n"/>
      <c r="DK509" s="114" t="n">
        <v>0</v>
      </c>
      <c r="DL509" s="114" t="n">
        <v>0</v>
      </c>
      <c r="DM509" s="114" t="n">
        <v>0</v>
      </c>
      <c r="DN509" s="114" t="n">
        <v>128131.5</v>
      </c>
      <c r="DO509" s="114" t="n">
        <v>42710.5</v>
      </c>
      <c r="DP509" s="240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</row>
    <row customFormat="true" hidden="false" ht="15" outlineLevel="0" r="510" s="1">
      <c r="A510" s="183" t="n">
        <f aca="false" ca="false" dt2D="false" dtr="false" t="normal">+A509+1</f>
        <v>488</v>
      </c>
      <c r="B510" s="117" t="n">
        <f aca="false" ca="false" dt2D="false" dtr="false" t="normal">+B509+1</f>
        <v>29</v>
      </c>
      <c r="C510" s="104" t="s">
        <v>78</v>
      </c>
      <c r="D510" s="104" t="s">
        <v>541</v>
      </c>
      <c r="E510" s="105" t="n">
        <v>1985</v>
      </c>
      <c r="F510" s="105" t="n">
        <v>2009</v>
      </c>
      <c r="G510" s="105" t="s">
        <v>68</v>
      </c>
      <c r="H510" s="105" t="n">
        <v>9</v>
      </c>
      <c r="I510" s="105" t="n">
        <v>3</v>
      </c>
      <c r="J510" s="106" t="n">
        <v>8711.5</v>
      </c>
      <c r="K510" s="106" t="n">
        <v>6822.5</v>
      </c>
      <c r="L510" s="106" t="n">
        <v>438.1</v>
      </c>
      <c r="M510" s="107" t="n">
        <v>267</v>
      </c>
      <c r="N510" s="108" t="n">
        <f aca="false" ca="false" dt2D="false" dtr="false" t="normal">SUM(P510:T510)</f>
        <v>9000055.31</v>
      </c>
      <c r="O510" s="106" t="n"/>
      <c r="P510" s="114" t="n"/>
      <c r="Q510" s="114" t="n"/>
      <c r="R510" s="113" t="n">
        <v>5895523.38</v>
      </c>
      <c r="S510" s="113" t="n">
        <v>3104531.93</v>
      </c>
      <c r="T510" s="114" t="n">
        <v>0</v>
      </c>
      <c r="U510" s="114" t="n">
        <v>1878.0725540491</v>
      </c>
      <c r="V510" s="114" t="n">
        <v>1196.283020064</v>
      </c>
      <c r="W510" s="110" t="n">
        <v>2024</v>
      </c>
      <c r="X510" s="9" t="n"/>
      <c r="Z510" s="113" t="n"/>
      <c r="AA510" s="106" t="n"/>
      <c r="AB510" s="106" t="n"/>
      <c r="AC510" s="106" t="n"/>
      <c r="AD510" s="106" t="n"/>
      <c r="AE510" s="106" t="n"/>
      <c r="AF510" s="106" t="n"/>
      <c r="AG510" s="106" t="n"/>
      <c r="AH510" s="106" t="n"/>
      <c r="AI510" s="106" t="n"/>
      <c r="AJ510" s="106" t="n"/>
      <c r="AK510" s="106" t="n"/>
      <c r="AL510" s="106" t="n"/>
      <c r="AM510" s="106" t="n"/>
      <c r="AN510" s="114" t="n"/>
      <c r="AO510" s="115" t="n"/>
      <c r="AP510" s="112" t="n">
        <f aca="false" ca="false" dt2D="false" dtr="false" t="normal">+N510-'Приложение №2'!E510</f>
        <v>0</v>
      </c>
      <c r="AQ510" s="1" t="n">
        <v>5465842</v>
      </c>
      <c r="AR510" s="3" t="n">
        <f aca="false" ca="false" dt2D="false" dtr="false" t="normal">+(K510*13.95+L510*23.65)*12*0.85</f>
        <v>1076456.388</v>
      </c>
      <c r="AS510" s="3" t="n">
        <f aca="false" ca="false" dt2D="false" dtr="false" t="normal">+(K510*13.95+L510*23.65)*12*30</f>
        <v>37992578.4</v>
      </c>
      <c r="AT510" s="9" t="n">
        <f aca="false" ca="false" dt2D="false" dtr="false" t="normal">+S510-AS510</f>
        <v>-34888046.47</v>
      </c>
      <c r="AU510" s="9" t="e">
        <f aca="false" ca="false" dt2D="false" dtr="false" t="normal">+P510-'[5]Приложение №1'!$P482</f>
        <v>#REF!</v>
      </c>
      <c r="AV510" s="9" t="e">
        <f aca="false" ca="false" dt2D="false" dtr="false" t="normal">+Q510-'[5]Приложение №1'!$Q482</f>
        <v>#REF!</v>
      </c>
      <c r="AW510" s="186" t="n">
        <f aca="false" ca="true" dt2D="false" dtr="false" t="normal">SUBTOTAL(9, AX510:BL510)</f>
        <v>12813150</v>
      </c>
      <c r="AX510" s="106" t="n"/>
      <c r="AY510" s="106" t="n"/>
      <c r="AZ510" s="106" t="n"/>
      <c r="BA510" s="106" t="n"/>
      <c r="BB510" s="106" t="n"/>
      <c r="BC510" s="106" t="n"/>
      <c r="BD510" s="106" t="n"/>
      <c r="BE510" s="106" t="n">
        <v>12037390.6464</v>
      </c>
      <c r="BF510" s="106" t="n"/>
      <c r="BG510" s="106" t="n"/>
      <c r="BH510" s="106" t="n"/>
      <c r="BI510" s="106" t="n"/>
      <c r="BJ510" s="106" t="n">
        <v>384394.5</v>
      </c>
      <c r="BK510" s="114" t="n">
        <v>128131.5</v>
      </c>
      <c r="BL510" s="115" t="n">
        <v>263233.3536</v>
      </c>
      <c r="BM510" s="186" t="n">
        <f aca="false" ca="true" dt2D="false" dtr="false" t="normal">SUBTOTAL(9, BN510:CB510)</f>
        <v>12813150</v>
      </c>
      <c r="BN510" s="106" t="n"/>
      <c r="BO510" s="106" t="n"/>
      <c r="BP510" s="106" t="n"/>
      <c r="BQ510" s="106" t="n"/>
      <c r="BR510" s="106" t="n"/>
      <c r="BS510" s="106" t="n"/>
      <c r="BT510" s="106" t="n"/>
      <c r="BU510" s="106" t="n">
        <v>12037390.6464</v>
      </c>
      <c r="BV510" s="106" t="n"/>
      <c r="BW510" s="106" t="n"/>
      <c r="BX510" s="106" t="n"/>
      <c r="BY510" s="106" t="n"/>
      <c r="BZ510" s="106" t="n">
        <v>384394.5</v>
      </c>
      <c r="CA510" s="114" t="n">
        <v>128131.5</v>
      </c>
      <c r="CB510" s="115" t="n">
        <v>263233.3536</v>
      </c>
      <c r="CD510" s="116" t="n">
        <f aca="false" ca="false" dt2D="false" dtr="false" t="normal">+CD509+1</f>
        <v>488</v>
      </c>
      <c r="CE510" s="117" t="n">
        <f aca="false" ca="false" dt2D="false" dtr="false" t="normal">+CE509+1</f>
        <v>29</v>
      </c>
      <c r="CF510" s="104" t="s">
        <v>78</v>
      </c>
      <c r="CG510" s="117" t="s">
        <v>541</v>
      </c>
      <c r="CH510" s="108" t="n">
        <f aca="false" ca="true" dt2D="false" dtr="false" t="normal">SUBTOTAL(9, CI510:CW510)</f>
        <v>12549916.65</v>
      </c>
      <c r="CI510" s="106" t="n"/>
      <c r="CJ510" s="114" t="n"/>
      <c r="CK510" s="114" t="n"/>
      <c r="CL510" s="114" t="n"/>
      <c r="CM510" s="114" t="n"/>
      <c r="CN510" s="114" t="n"/>
      <c r="CO510" s="106" t="n"/>
      <c r="CP510" s="114" t="n">
        <v>12037390.65</v>
      </c>
      <c r="CQ510" s="114" t="n"/>
      <c r="CR510" s="114" t="n"/>
      <c r="CS510" s="114" t="n"/>
      <c r="CT510" s="114" t="n"/>
      <c r="CU510" s="114" t="n">
        <v>384394.5</v>
      </c>
      <c r="CV510" s="114" t="n">
        <v>128131.5</v>
      </c>
      <c r="CW510" s="115" t="n"/>
      <c r="CX510" s="3" t="n">
        <f aca="false" ca="false" dt2D="false" dtr="false" t="normal">+N510-CH510</f>
        <v>-3549861.34</v>
      </c>
      <c r="CZ510" s="117" t="s">
        <v>541</v>
      </c>
      <c r="DA510" s="113" t="n">
        <f aca="false" ca="true" dt2D="false" dtr="false" t="normal">SUBTOTAL(9, DB510:DP510)</f>
        <v>12549916.65</v>
      </c>
      <c r="DB510" s="106" t="n"/>
      <c r="DC510" s="114" t="n"/>
      <c r="DD510" s="114" t="n"/>
      <c r="DE510" s="114" t="n"/>
      <c r="DF510" s="114" t="n"/>
      <c r="DG510" s="114" t="n"/>
      <c r="DH510" s="106" t="n"/>
      <c r="DI510" s="114" t="n">
        <v>12037390.65</v>
      </c>
      <c r="DJ510" s="114" t="n"/>
      <c r="DK510" s="114" t="n"/>
      <c r="DL510" s="114" t="n"/>
      <c r="DM510" s="114" t="n"/>
      <c r="DN510" s="114" t="n">
        <v>384394.5</v>
      </c>
      <c r="DO510" s="114" t="n">
        <v>128131.5</v>
      </c>
      <c r="DP510" s="240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</row>
    <row customFormat="true" hidden="false" ht="15" outlineLevel="0" r="511" s="1">
      <c r="A511" s="183" t="n">
        <f aca="false" ca="false" dt2D="false" dtr="false" t="normal">+A510+1</f>
        <v>489</v>
      </c>
      <c r="B511" s="117" t="n">
        <f aca="false" ca="false" dt2D="false" dtr="false" t="normal">+B510+1</f>
        <v>30</v>
      </c>
      <c r="C511" s="104" t="s">
        <v>78</v>
      </c>
      <c r="D511" s="104" t="s">
        <v>542</v>
      </c>
      <c r="E511" s="105" t="s">
        <v>534</v>
      </c>
      <c r="F511" s="105" t="n"/>
      <c r="G511" s="105" t="s">
        <v>68</v>
      </c>
      <c r="H511" s="105" t="s">
        <v>126</v>
      </c>
      <c r="I511" s="105" t="s">
        <v>232</v>
      </c>
      <c r="J511" s="106" t="n">
        <v>2946.9</v>
      </c>
      <c r="K511" s="106" t="n">
        <v>2343.5</v>
      </c>
      <c r="L511" s="106" t="n">
        <v>393.2</v>
      </c>
      <c r="M511" s="107" t="n">
        <v>71</v>
      </c>
      <c r="N511" s="108" t="n">
        <f aca="false" ca="false" dt2D="false" dtr="false" t="normal">SUM(P511:T511)</f>
        <v>3000018.45</v>
      </c>
      <c r="O511" s="106" t="n"/>
      <c r="P511" s="114" t="n"/>
      <c r="Q511" s="114" t="n"/>
      <c r="R511" s="113" t="n">
        <v>2377696.95</v>
      </c>
      <c r="S511" s="113" t="n">
        <v>622321.5</v>
      </c>
      <c r="T511" s="106" t="n">
        <v>0</v>
      </c>
      <c r="U511" s="114" t="n">
        <v>1560.6569956517</v>
      </c>
      <c r="V511" s="114" t="n">
        <v>1560.6569956517</v>
      </c>
      <c r="W511" s="110" t="n">
        <v>2024</v>
      </c>
      <c r="X511" s="3" t="n"/>
      <c r="AD511" s="3" t="n"/>
      <c r="AP511" s="112" t="n">
        <f aca="false" ca="false" dt2D="false" dtr="false" t="normal">+N511-'Приложение №2'!E511</f>
        <v>0</v>
      </c>
      <c r="AQ511" s="1" t="n">
        <v>1979575.57</v>
      </c>
      <c r="AR511" s="3" t="n">
        <f aca="false" ca="false" dt2D="false" dtr="false" t="normal">+(K511*13.95+L511*23.65)*12*0.85</f>
        <v>428308.25099999993</v>
      </c>
      <c r="AS511" s="3" t="n">
        <f aca="false" ca="false" dt2D="false" dtr="false" t="normal">+(K511*13.95+L511*23.65)*12*30</f>
        <v>15116761.799999999</v>
      </c>
      <c r="AT511" s="9" t="n">
        <f aca="false" ca="false" dt2D="false" dtr="false" t="normal">+S511-AS511</f>
        <v>-14494440.299999999</v>
      </c>
      <c r="AU511" s="9" t="n"/>
      <c r="AV511" s="9" t="n"/>
      <c r="AW511" s="186" t="n">
        <f aca="false" ca="true" dt2D="false" dtr="false" t="normal">SUBTOTAL(9, AX511:BL511)</f>
        <v>4271050</v>
      </c>
      <c r="AX511" s="106" t="n"/>
      <c r="AY511" s="106" t="n"/>
      <c r="AZ511" s="106" t="n"/>
      <c r="BA511" s="106" t="n"/>
      <c r="BB511" s="106" t="n"/>
      <c r="BC511" s="106" t="n"/>
      <c r="BD511" s="106" t="n"/>
      <c r="BE511" s="106" t="n">
        <v>4012463.5488</v>
      </c>
      <c r="BF511" s="106" t="n"/>
      <c r="BG511" s="106" t="n"/>
      <c r="BH511" s="106" t="n"/>
      <c r="BI511" s="106" t="n"/>
      <c r="BJ511" s="106" t="n">
        <v>128131.5</v>
      </c>
      <c r="BK511" s="114" t="n">
        <v>42710.5</v>
      </c>
      <c r="BL511" s="115" t="n">
        <v>87744.4512</v>
      </c>
      <c r="BM511" s="186" t="n">
        <f aca="false" ca="true" dt2D="false" dtr="false" t="normal">SUBTOTAL(9, BN511:CB511)</f>
        <v>4271050</v>
      </c>
      <c r="BN511" s="106" t="n"/>
      <c r="BO511" s="106" t="n"/>
      <c r="BP511" s="106" t="n"/>
      <c r="BQ511" s="106" t="n"/>
      <c r="BR511" s="106" t="n"/>
      <c r="BS511" s="106" t="n"/>
      <c r="BT511" s="106" t="n"/>
      <c r="BU511" s="106" t="n">
        <v>4012463.5488</v>
      </c>
      <c r="BV511" s="106" t="n"/>
      <c r="BW511" s="106" t="n"/>
      <c r="BX511" s="106" t="n"/>
      <c r="BY511" s="106" t="n"/>
      <c r="BZ511" s="106" t="n">
        <v>128131.5</v>
      </c>
      <c r="CA511" s="114" t="n">
        <v>42710.5</v>
      </c>
      <c r="CB511" s="115" t="n">
        <v>87744.4512</v>
      </c>
      <c r="CD511" s="116" t="n">
        <f aca="false" ca="false" dt2D="false" dtr="false" t="normal">+CD510+1</f>
        <v>489</v>
      </c>
      <c r="CE511" s="117" t="n">
        <f aca="false" ca="false" dt2D="false" dtr="false" t="normal">+CE510+1</f>
        <v>30</v>
      </c>
      <c r="CF511" s="104" t="s">
        <v>78</v>
      </c>
      <c r="CG511" s="117" t="s">
        <v>542</v>
      </c>
      <c r="CH511" s="108" t="n">
        <f aca="false" ca="true" dt2D="false" dtr="false" t="normal">SUBTOTAL(9, CI511:CW511)</f>
        <v>4183305.55</v>
      </c>
      <c r="CI511" s="106" t="n"/>
      <c r="CJ511" s="114" t="n"/>
      <c r="CK511" s="114" t="n"/>
      <c r="CL511" s="114" t="n"/>
      <c r="CM511" s="114" t="n"/>
      <c r="CN511" s="114" t="n"/>
      <c r="CO511" s="106" t="n"/>
      <c r="CP511" s="114" t="n">
        <v>4012463.55</v>
      </c>
      <c r="CQ511" s="114" t="n"/>
      <c r="CR511" s="114" t="n"/>
      <c r="CS511" s="114" t="n"/>
      <c r="CT511" s="114" t="n"/>
      <c r="CU511" s="114" t="n">
        <v>128131.5</v>
      </c>
      <c r="CV511" s="114" t="n">
        <v>42710.5</v>
      </c>
      <c r="CW511" s="115" t="n"/>
      <c r="CX511" s="3" t="n">
        <f aca="false" ca="false" dt2D="false" dtr="false" t="normal">+N511-CH511</f>
        <v>-1183287.0999999996</v>
      </c>
      <c r="CZ511" s="117" t="s">
        <v>542</v>
      </c>
      <c r="DA511" s="113" t="n">
        <f aca="false" ca="true" dt2D="false" dtr="false" t="normal">SUBTOTAL(9, DB511:DP511)</f>
        <v>4183305.55</v>
      </c>
      <c r="DB511" s="106" t="n"/>
      <c r="DC511" s="114" t="n"/>
      <c r="DD511" s="114" t="n"/>
      <c r="DE511" s="114" t="n"/>
      <c r="DF511" s="114" t="n"/>
      <c r="DG511" s="114" t="n"/>
      <c r="DH511" s="106" t="n"/>
      <c r="DI511" s="114" t="n">
        <v>4012463.55</v>
      </c>
      <c r="DJ511" s="114" t="n"/>
      <c r="DK511" s="114" t="n"/>
      <c r="DL511" s="114" t="n"/>
      <c r="DM511" s="114" t="n"/>
      <c r="DN511" s="114" t="n">
        <v>128131.5</v>
      </c>
      <c r="DO511" s="114" t="n">
        <v>42710.5</v>
      </c>
      <c r="DP511" s="240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</row>
    <row customFormat="true" hidden="false" ht="15" outlineLevel="0" r="512" s="1">
      <c r="A512" s="183" t="n">
        <f aca="false" ca="false" dt2D="false" dtr="false" t="normal">+A511+1</f>
        <v>490</v>
      </c>
      <c r="B512" s="117" t="n">
        <f aca="false" ca="false" dt2D="false" dtr="false" t="normal">+B511+1</f>
        <v>31</v>
      </c>
      <c r="C512" s="104" t="s">
        <v>78</v>
      </c>
      <c r="D512" s="104" t="s">
        <v>543</v>
      </c>
      <c r="E512" s="105" t="s">
        <v>534</v>
      </c>
      <c r="F512" s="105" t="n"/>
      <c r="G512" s="105" t="s">
        <v>68</v>
      </c>
      <c r="H512" s="105" t="s">
        <v>126</v>
      </c>
      <c r="I512" s="105" t="s">
        <v>105</v>
      </c>
      <c r="J512" s="106" t="n">
        <v>5832.9</v>
      </c>
      <c r="K512" s="106" t="n">
        <v>4738.4</v>
      </c>
      <c r="L512" s="106" t="n">
        <v>801.3</v>
      </c>
      <c r="M512" s="107" t="n">
        <v>154</v>
      </c>
      <c r="N512" s="108" t="n">
        <f aca="false" ca="false" dt2D="false" dtr="false" t="normal">SUM(P512:T512)</f>
        <v>6000036.88</v>
      </c>
      <c r="O512" s="106" t="n"/>
      <c r="P512" s="114" t="n"/>
      <c r="Q512" s="114" t="n"/>
      <c r="R512" s="113" t="n">
        <v>4737585.31</v>
      </c>
      <c r="S512" s="113" t="n">
        <v>1262451.57</v>
      </c>
      <c r="T512" s="114" t="n">
        <v>0</v>
      </c>
      <c r="U512" s="114" t="n">
        <v>1541.97880751665</v>
      </c>
      <c r="V512" s="114" t="n">
        <v>1541.97880751665</v>
      </c>
      <c r="W512" s="110" t="n">
        <v>2024</v>
      </c>
      <c r="X512" s="9" t="n"/>
      <c r="Z512" s="113" t="n"/>
      <c r="AA512" s="106" t="n"/>
      <c r="AB512" s="106" t="n"/>
      <c r="AC512" s="106" t="n"/>
      <c r="AD512" s="106" t="n"/>
      <c r="AE512" s="106" t="n"/>
      <c r="AF512" s="106" t="n"/>
      <c r="AG512" s="106" t="n"/>
      <c r="AH512" s="106" t="n"/>
      <c r="AI512" s="106" t="n"/>
      <c r="AJ512" s="106" t="n"/>
      <c r="AK512" s="106" t="n"/>
      <c r="AL512" s="106" t="n"/>
      <c r="AM512" s="106" t="n"/>
      <c r="AN512" s="114" t="n"/>
      <c r="AO512" s="115" t="n"/>
      <c r="AP512" s="112" t="n">
        <f aca="false" ca="false" dt2D="false" dtr="false" t="normal">+N512-'Приложение №2'!E512</f>
        <v>0</v>
      </c>
      <c r="AQ512" s="1" t="n">
        <v>3963069.89</v>
      </c>
      <c r="AR512" s="3" t="n">
        <f aca="false" ca="false" dt2D="false" dtr="false" t="normal">+(K512*13.95+L512*23.65)*12*0.85</f>
        <v>867524.5349999999</v>
      </c>
      <c r="AS512" s="3" t="n">
        <f aca="false" ca="false" dt2D="false" dtr="false" t="normal">+(K512*13.95+L512*23.65)*12*30</f>
        <v>30618512.999999996</v>
      </c>
      <c r="AT512" s="9" t="n">
        <f aca="false" ca="false" dt2D="false" dtr="false" t="normal">+S512-AS512</f>
        <v>-29356061.429999996</v>
      </c>
      <c r="AU512" s="9" t="n"/>
      <c r="AV512" s="9" t="n"/>
      <c r="AW512" s="186" t="n">
        <f aca="false" ca="true" dt2D="false" dtr="false" t="normal">SUBTOTAL(9, AX512:BL512)</f>
        <v>8542100</v>
      </c>
      <c r="AX512" s="106" t="n"/>
      <c r="AY512" s="106" t="n"/>
      <c r="AZ512" s="106" t="n"/>
      <c r="BA512" s="106" t="n"/>
      <c r="BB512" s="106" t="n"/>
      <c r="BC512" s="106" t="n"/>
      <c r="BD512" s="106" t="n"/>
      <c r="BE512" s="106" t="n">
        <v>8024927.0976</v>
      </c>
      <c r="BF512" s="106" t="n"/>
      <c r="BG512" s="106" t="n"/>
      <c r="BH512" s="106" t="n"/>
      <c r="BI512" s="106" t="n"/>
      <c r="BJ512" s="106" t="n">
        <v>256263</v>
      </c>
      <c r="BK512" s="114" t="n">
        <v>85421</v>
      </c>
      <c r="BL512" s="115" t="n">
        <v>175488.9024</v>
      </c>
      <c r="BM512" s="186" t="n">
        <f aca="false" ca="true" dt2D="false" dtr="false" t="normal">SUBTOTAL(9, BN512:CB512)</f>
        <v>8542100</v>
      </c>
      <c r="BN512" s="106" t="n"/>
      <c r="BO512" s="106" t="n"/>
      <c r="BP512" s="106" t="n"/>
      <c r="BQ512" s="106" t="n"/>
      <c r="BR512" s="106" t="n"/>
      <c r="BS512" s="106" t="n"/>
      <c r="BT512" s="106" t="n"/>
      <c r="BU512" s="106" t="n">
        <v>8024927.0976</v>
      </c>
      <c r="BV512" s="106" t="n"/>
      <c r="BW512" s="106" t="n"/>
      <c r="BX512" s="106" t="n"/>
      <c r="BY512" s="106" t="n"/>
      <c r="BZ512" s="106" t="n">
        <v>256263</v>
      </c>
      <c r="CA512" s="114" t="n">
        <v>85421</v>
      </c>
      <c r="CB512" s="115" t="n">
        <v>175488.9024</v>
      </c>
      <c r="CD512" s="116" t="n">
        <f aca="false" ca="false" dt2D="false" dtr="false" t="normal">+CD511+1</f>
        <v>490</v>
      </c>
      <c r="CE512" s="117" t="n">
        <f aca="false" ca="false" dt2D="false" dtr="false" t="normal">+CE511+1</f>
        <v>31</v>
      </c>
      <c r="CF512" s="104" t="s">
        <v>78</v>
      </c>
      <c r="CG512" s="117" t="s">
        <v>543</v>
      </c>
      <c r="CH512" s="108" t="n">
        <f aca="false" ca="true" dt2D="false" dtr="false" t="normal">SUBTOTAL(9, CI512:CW512)</f>
        <v>8366611.1</v>
      </c>
      <c r="CI512" s="106" t="n"/>
      <c r="CJ512" s="114" t="n"/>
      <c r="CK512" s="114" t="n"/>
      <c r="CL512" s="114" t="n"/>
      <c r="CM512" s="114" t="n"/>
      <c r="CN512" s="114" t="n"/>
      <c r="CO512" s="106" t="n"/>
      <c r="CP512" s="114" t="n">
        <v>8024927.1</v>
      </c>
      <c r="CQ512" s="114" t="n"/>
      <c r="CR512" s="114" t="n"/>
      <c r="CS512" s="114" t="n"/>
      <c r="CT512" s="114" t="n"/>
      <c r="CU512" s="114" t="n">
        <v>256263</v>
      </c>
      <c r="CV512" s="114" t="n">
        <v>85421</v>
      </c>
      <c r="CW512" s="115" t="n"/>
      <c r="CX512" s="3" t="n">
        <f aca="false" ca="false" dt2D="false" dtr="false" t="normal">+N512-CH512</f>
        <v>-2366574.2199999997</v>
      </c>
      <c r="CZ512" s="117" t="s">
        <v>543</v>
      </c>
      <c r="DA512" s="113" t="n">
        <f aca="false" ca="true" dt2D="false" dtr="false" t="normal">SUBTOTAL(9, DB512:DP512)</f>
        <v>8366611.1</v>
      </c>
      <c r="DB512" s="106" t="n"/>
      <c r="DC512" s="114" t="n"/>
      <c r="DD512" s="114" t="n"/>
      <c r="DE512" s="114" t="n"/>
      <c r="DF512" s="114" t="n"/>
      <c r="DG512" s="114" t="n"/>
      <c r="DH512" s="106" t="n"/>
      <c r="DI512" s="114" t="n">
        <v>8024927.1</v>
      </c>
      <c r="DJ512" s="114" t="n"/>
      <c r="DK512" s="114" t="n"/>
      <c r="DL512" s="114" t="n"/>
      <c r="DM512" s="114" t="n"/>
      <c r="DN512" s="114" t="n">
        <v>256263</v>
      </c>
      <c r="DO512" s="114" t="n">
        <v>85421</v>
      </c>
      <c r="DP512" s="240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</row>
    <row customFormat="true" hidden="false" ht="15" outlineLevel="0" r="513" s="1">
      <c r="A513" s="183" t="n">
        <f aca="false" ca="false" dt2D="false" dtr="false" t="normal">+A512+1</f>
        <v>491</v>
      </c>
      <c r="B513" s="117" t="n">
        <f aca="false" ca="false" dt2D="false" dtr="false" t="normal">+B512+1</f>
        <v>32</v>
      </c>
      <c r="C513" s="104" t="s">
        <v>78</v>
      </c>
      <c r="D513" s="104" t="s">
        <v>544</v>
      </c>
      <c r="E513" s="105" t="s">
        <v>514</v>
      </c>
      <c r="F513" s="105" t="n"/>
      <c r="G513" s="105" t="s">
        <v>68</v>
      </c>
      <c r="H513" s="105" t="s">
        <v>126</v>
      </c>
      <c r="I513" s="105" t="s">
        <v>232</v>
      </c>
      <c r="J513" s="106" t="n">
        <v>3327.1</v>
      </c>
      <c r="K513" s="106" t="n">
        <v>2700.2</v>
      </c>
      <c r="L513" s="106" t="n">
        <v>127.1</v>
      </c>
      <c r="M513" s="107" t="n">
        <v>93</v>
      </c>
      <c r="N513" s="108" t="n">
        <f aca="false" ca="false" dt2D="false" dtr="false" t="normal">SUM(P513:T513)</f>
        <v>3000018.4299999997</v>
      </c>
      <c r="O513" s="106" t="n"/>
      <c r="P513" s="114" t="n"/>
      <c r="Q513" s="114" t="n"/>
      <c r="R513" s="113" t="n">
        <v>2695312.82</v>
      </c>
      <c r="S513" s="113" t="n">
        <v>304705.61</v>
      </c>
      <c r="T513" s="114" t="n">
        <v>0</v>
      </c>
      <c r="U513" s="114" t="n">
        <v>1510.64619955435</v>
      </c>
      <c r="V513" s="114" t="n">
        <v>1510.64619955435</v>
      </c>
      <c r="W513" s="110" t="n">
        <v>2024</v>
      </c>
      <c r="X513" s="9" t="n"/>
      <c r="Z513" s="113" t="n"/>
      <c r="AA513" s="106" t="n"/>
      <c r="AB513" s="106" t="n"/>
      <c r="AC513" s="106" t="n"/>
      <c r="AD513" s="106" t="n"/>
      <c r="AE513" s="106" t="n"/>
      <c r="AF513" s="106" t="n"/>
      <c r="AG513" s="106" t="n"/>
      <c r="AH513" s="106" t="n"/>
      <c r="AI513" s="106" t="n"/>
      <c r="AJ513" s="106" t="n"/>
      <c r="AK513" s="106" t="n"/>
      <c r="AL513" s="106" t="n"/>
      <c r="AM513" s="106" t="n"/>
      <c r="AN513" s="114" t="n"/>
      <c r="AO513" s="115" t="n"/>
      <c r="AP513" s="112" t="n">
        <f aca="false" ca="false" dt2D="false" dtr="false" t="normal">+N513-'Приложение №2'!E513</f>
        <v>0</v>
      </c>
      <c r="AQ513" s="1" t="n">
        <v>2333087.7</v>
      </c>
      <c r="AR513" s="3" t="n">
        <f aca="false" ca="false" dt2D="false" dtr="false" t="normal">+(K513*13.95+L513*23.65)*12*0.85</f>
        <v>414871.79099999997</v>
      </c>
      <c r="AS513" s="3" t="n">
        <f aca="false" ca="false" dt2D="false" dtr="false" t="normal">+(K513*13.95+L513*23.65)*12*30</f>
        <v>14642533.799999999</v>
      </c>
      <c r="AT513" s="9" t="n">
        <f aca="false" ca="false" dt2D="false" dtr="false" t="normal">+S513-AS513</f>
        <v>-14337828.19</v>
      </c>
      <c r="AU513" s="9" t="n"/>
      <c r="AV513" s="9" t="n"/>
      <c r="AW513" s="186" t="n">
        <f aca="false" ca="true" dt2D="false" dtr="false" t="normal">SUBTOTAL(9, AX513:BL513)</f>
        <v>4271050</v>
      </c>
      <c r="AX513" s="106" t="n"/>
      <c r="AY513" s="106" t="n"/>
      <c r="AZ513" s="106" t="n"/>
      <c r="BA513" s="106" t="n"/>
      <c r="BB513" s="106" t="n"/>
      <c r="BC513" s="106" t="n"/>
      <c r="BD513" s="106" t="n"/>
      <c r="BE513" s="106" t="n">
        <v>4012463.5488</v>
      </c>
      <c r="BF513" s="106" t="n"/>
      <c r="BG513" s="106" t="n"/>
      <c r="BH513" s="106" t="n"/>
      <c r="BI513" s="106" t="n"/>
      <c r="BJ513" s="106" t="n">
        <v>128131.5</v>
      </c>
      <c r="BK513" s="114" t="n">
        <v>42710.5</v>
      </c>
      <c r="BL513" s="115" t="n">
        <v>87744.4512</v>
      </c>
      <c r="BM513" s="186" t="n">
        <f aca="false" ca="true" dt2D="false" dtr="false" t="normal">SUBTOTAL(9, BN513:CB513)</f>
        <v>4271050</v>
      </c>
      <c r="BN513" s="106" t="n"/>
      <c r="BO513" s="106" t="n"/>
      <c r="BP513" s="106" t="n"/>
      <c r="BQ513" s="106" t="n"/>
      <c r="BR513" s="106" t="n"/>
      <c r="BS513" s="106" t="n"/>
      <c r="BT513" s="106" t="n"/>
      <c r="BU513" s="106" t="n">
        <v>4012463.5488</v>
      </c>
      <c r="BV513" s="106" t="n"/>
      <c r="BW513" s="106" t="n"/>
      <c r="BX513" s="106" t="n"/>
      <c r="BY513" s="106" t="n"/>
      <c r="BZ513" s="106" t="n">
        <v>128131.5</v>
      </c>
      <c r="CA513" s="114" t="n">
        <v>42710.5</v>
      </c>
      <c r="CB513" s="115" t="n">
        <v>87744.4512</v>
      </c>
      <c r="CD513" s="116" t="n">
        <f aca="false" ca="false" dt2D="false" dtr="false" t="normal">+CD512+1</f>
        <v>491</v>
      </c>
      <c r="CE513" s="117" t="n">
        <f aca="false" ca="false" dt2D="false" dtr="false" t="normal">+CE512+1</f>
        <v>32</v>
      </c>
      <c r="CF513" s="104" t="s">
        <v>78</v>
      </c>
      <c r="CG513" s="117" t="s">
        <v>544</v>
      </c>
      <c r="CH513" s="108" t="n">
        <f aca="false" ca="true" dt2D="false" dtr="false" t="normal">SUBTOTAL(9, CI513:CW513)</f>
        <v>4183305.55</v>
      </c>
      <c r="CI513" s="106" t="n"/>
      <c r="CJ513" s="114" t="n"/>
      <c r="CK513" s="114" t="n"/>
      <c r="CL513" s="114" t="n"/>
      <c r="CM513" s="114" t="n"/>
      <c r="CN513" s="114" t="n"/>
      <c r="CO513" s="106" t="n"/>
      <c r="CP513" s="114" t="n">
        <v>4012463.55</v>
      </c>
      <c r="CQ513" s="114" t="n"/>
      <c r="CR513" s="114" t="n"/>
      <c r="CS513" s="114" t="n"/>
      <c r="CT513" s="114" t="n"/>
      <c r="CU513" s="114" t="n">
        <v>128131.5</v>
      </c>
      <c r="CV513" s="114" t="n">
        <v>42710.5</v>
      </c>
      <c r="CW513" s="115" t="n"/>
      <c r="CX513" s="3" t="n">
        <f aca="false" ca="false" dt2D="false" dtr="false" t="normal">+N513-CH513</f>
        <v>-1183287.12</v>
      </c>
      <c r="CZ513" s="117" t="s">
        <v>544</v>
      </c>
      <c r="DA513" s="113" t="n">
        <f aca="false" ca="true" dt2D="false" dtr="false" t="normal">SUBTOTAL(9, DB513:DP513)</f>
        <v>4183305.55</v>
      </c>
      <c r="DB513" s="106" t="n"/>
      <c r="DC513" s="114" t="n"/>
      <c r="DD513" s="114" t="n"/>
      <c r="DE513" s="114" t="n"/>
      <c r="DF513" s="114" t="n"/>
      <c r="DG513" s="114" t="n"/>
      <c r="DH513" s="106" t="n"/>
      <c r="DI513" s="114" t="n">
        <v>4012463.55</v>
      </c>
      <c r="DJ513" s="114" t="n"/>
      <c r="DK513" s="114" t="n"/>
      <c r="DL513" s="114" t="n"/>
      <c r="DM513" s="114" t="n"/>
      <c r="DN513" s="114" t="n">
        <v>128131.5</v>
      </c>
      <c r="DO513" s="114" t="n">
        <v>42710.5</v>
      </c>
      <c r="DP513" s="240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</row>
    <row customFormat="true" hidden="false" ht="15" outlineLevel="0" r="514" s="1">
      <c r="A514" s="183" t="n">
        <f aca="false" ca="false" dt2D="false" dtr="false" t="normal">+A513+1</f>
        <v>492</v>
      </c>
      <c r="B514" s="117" t="n">
        <f aca="false" ca="false" dt2D="false" dtr="false" t="normal">+B513+1</f>
        <v>33</v>
      </c>
      <c r="C514" s="104" t="s">
        <v>78</v>
      </c>
      <c r="D514" s="104" t="s">
        <v>83</v>
      </c>
      <c r="E514" s="105" t="n">
        <v>1990</v>
      </c>
      <c r="F514" s="105" t="n">
        <v>2017</v>
      </c>
      <c r="G514" s="105" t="s">
        <v>68</v>
      </c>
      <c r="H514" s="105" t="n">
        <v>10</v>
      </c>
      <c r="I514" s="105" t="n">
        <v>3</v>
      </c>
      <c r="J514" s="106" t="n">
        <v>10664.8</v>
      </c>
      <c r="K514" s="106" t="n">
        <v>8965.7</v>
      </c>
      <c r="L514" s="106" t="n">
        <v>241.2</v>
      </c>
      <c r="M514" s="107" t="n">
        <v>365</v>
      </c>
      <c r="N514" s="108" t="n">
        <f aca="false" ca="false" dt2D="false" dtr="false" t="normal">SUM(P514:T514)</f>
        <v>5868814.88</v>
      </c>
      <c r="O514" s="106" t="n"/>
      <c r="P514" s="114" t="n"/>
      <c r="Q514" s="114" t="n"/>
      <c r="R514" s="113" t="n">
        <v>5868814.88</v>
      </c>
      <c r="S514" s="114" t="n"/>
      <c r="T514" s="114" t="n"/>
      <c r="U514" s="114" t="n">
        <v>722.500643930812</v>
      </c>
      <c r="V514" s="114" t="n">
        <v>722.500643930812</v>
      </c>
      <c r="W514" s="110" t="n">
        <v>2024</v>
      </c>
      <c r="X514" s="9" t="e">
        <f aca="false" ca="false" dt2D="false" dtr="false" t="normal">+#REF!-'[9]Приложение №1'!$P1176</f>
        <v>#REF!</v>
      </c>
      <c r="Z514" s="113" t="n">
        <f aca="false" ca="false" dt2D="false" dtr="false" t="normal">SUM(AA514:AO514)</f>
        <v>17451465.54755237</v>
      </c>
      <c r="AA514" s="106" t="n"/>
      <c r="AB514" s="106" t="n"/>
      <c r="AC514" s="106" t="n">
        <v>6509638.56738441</v>
      </c>
      <c r="AD514" s="106" t="n">
        <v>4159957.47332183</v>
      </c>
      <c r="AE514" s="106" t="n">
        <v>0</v>
      </c>
      <c r="AF514" s="106" t="n"/>
      <c r="AG514" s="106" t="n">
        <v>978696.308380742</v>
      </c>
      <c r="AH514" s="106" t="n">
        <v>0</v>
      </c>
      <c r="AI514" s="106" t="n">
        <v>0</v>
      </c>
      <c r="AJ514" s="106" t="n">
        <v>0</v>
      </c>
      <c r="AK514" s="106" t="n">
        <v>0</v>
      </c>
      <c r="AL514" s="106" t="n">
        <v>0</v>
      </c>
      <c r="AM514" s="106" t="n">
        <v>4391061.07358151</v>
      </c>
      <c r="AN514" s="114" t="n">
        <v>482934.916904548</v>
      </c>
      <c r="AO514" s="115" t="n">
        <v>929177.207979331</v>
      </c>
      <c r="AP514" s="112" t="n">
        <f aca="false" ca="false" dt2D="false" dtr="false" t="normal">+N514-'Приложение №2'!E514</f>
        <v>0</v>
      </c>
      <c r="AQ514" s="9" t="n">
        <f aca="false" ca="false" dt2D="false" dtr="false" t="normal">6040448.13-R30</f>
        <v>5511413.15</v>
      </c>
      <c r="AR514" s="3" t="n">
        <f aca="false" ca="false" dt2D="false" dtr="false" t="normal">+(K514*13.29+L514*22.52)*12*0.85</f>
        <v>1270776.9653999999</v>
      </c>
      <c r="AS514" s="3" t="n">
        <f aca="false" ca="false" dt2D="false" dtr="false" t="normal">+(K514*13.29+L514*22.52)*12*30-11155353.44</f>
        <v>33695598.28</v>
      </c>
      <c r="AT514" s="9" t="n">
        <f aca="false" ca="false" dt2D="false" dtr="false" t="normal">+S514-AS514</f>
        <v>-33695598.28</v>
      </c>
      <c r="AU514" s="9" t="e">
        <f aca="false" ca="false" dt2D="false" dtr="false" t="normal">+P514-'[5]Приложение №1'!$P232</f>
        <v>#REF!</v>
      </c>
      <c r="AV514" s="9" t="e">
        <f aca="false" ca="false" dt2D="false" dtr="false" t="normal">+Q514-'[5]Приложение №1'!$Q232</f>
        <v>#REF!</v>
      </c>
      <c r="AW514" s="113" t="n">
        <f aca="false" ca="true" dt2D="false" dtr="false" t="normal">SUBTOTAL(9, AX514:BL514)</f>
        <v>6651991.17860659</v>
      </c>
      <c r="AX514" s="106" t="n"/>
      <c r="AY514" s="106" t="n"/>
      <c r="AZ514" s="106" t="n">
        <v>6509638.56738441</v>
      </c>
      <c r="BA514" s="106" t="n"/>
      <c r="BB514" s="106" t="n"/>
      <c r="BC514" s="106" t="n"/>
      <c r="BD514" s="106" t="n"/>
      <c r="BE514" s="106" t="n">
        <v>0</v>
      </c>
      <c r="BF514" s="106" t="n">
        <v>0</v>
      </c>
      <c r="BG514" s="106" t="n">
        <v>0</v>
      </c>
      <c r="BH514" s="106" t="n">
        <v>0</v>
      </c>
      <c r="BI514" s="106" t="n">
        <v>0</v>
      </c>
      <c r="BJ514" s="106" t="n"/>
      <c r="BK514" s="114" t="n"/>
      <c r="BL514" s="115" t="n">
        <v>142352.611222181</v>
      </c>
      <c r="BM514" s="113" t="n">
        <f aca="false" ca="true" dt2D="false" dtr="false" t="normal">SUBTOTAL(9, BN514:CB514)</f>
        <v>6651991.17860659</v>
      </c>
      <c r="BN514" s="106" t="n"/>
      <c r="BO514" s="106" t="n"/>
      <c r="BP514" s="106" t="n">
        <v>6509638.56738441</v>
      </c>
      <c r="BQ514" s="106" t="n"/>
      <c r="BR514" s="106" t="n"/>
      <c r="BS514" s="106" t="n"/>
      <c r="BT514" s="106" t="n"/>
      <c r="BU514" s="106" t="n">
        <v>0</v>
      </c>
      <c r="BV514" s="106" t="n">
        <v>0</v>
      </c>
      <c r="BW514" s="106" t="n">
        <v>0</v>
      </c>
      <c r="BX514" s="106" t="n">
        <v>0</v>
      </c>
      <c r="BY514" s="106" t="n">
        <v>0</v>
      </c>
      <c r="BZ514" s="106" t="n"/>
      <c r="CA514" s="114" t="n"/>
      <c r="CB514" s="115" t="n">
        <v>142352.611222181</v>
      </c>
      <c r="CD514" s="116" t="n">
        <f aca="false" ca="false" dt2D="false" dtr="false" t="normal">+CD513+1</f>
        <v>492</v>
      </c>
      <c r="CE514" s="117" t="n">
        <f aca="false" ca="false" dt2D="false" dtr="false" t="normal">+CE513+1</f>
        <v>33</v>
      </c>
      <c r="CF514" s="104" t="s">
        <v>78</v>
      </c>
      <c r="CG514" s="117" t="s">
        <v>83</v>
      </c>
      <c r="CH514" s="108" t="n">
        <f aca="false" ca="true" dt2D="false" dtr="false" t="normal">SUBTOTAL(9, CI514:CW514)</f>
        <v>6011167.49</v>
      </c>
      <c r="CI514" s="106" t="n"/>
      <c r="CJ514" s="114" t="n"/>
      <c r="CK514" s="243" t="n">
        <v>5868814.88</v>
      </c>
      <c r="CL514" s="114" t="n"/>
      <c r="CM514" s="114" t="n"/>
      <c r="CN514" s="114" t="n"/>
      <c r="CO514" s="106" t="n"/>
      <c r="CP514" s="114" t="n">
        <v>0</v>
      </c>
      <c r="CQ514" s="114" t="n">
        <v>0</v>
      </c>
      <c r="CR514" s="114" t="n">
        <v>0</v>
      </c>
      <c r="CS514" s="114" t="n">
        <v>0</v>
      </c>
      <c r="CT514" s="114" t="n">
        <v>0</v>
      </c>
      <c r="CU514" s="114" t="n"/>
      <c r="CV514" s="114" t="n"/>
      <c r="CW514" s="115" t="n">
        <v>142352.61</v>
      </c>
      <c r="CX514" s="3" t="n">
        <f aca="false" ca="false" dt2D="false" dtr="false" t="normal">+N514-CH514</f>
        <v>-142352.61000000034</v>
      </c>
      <c r="CZ514" s="117" t="s">
        <v>83</v>
      </c>
      <c r="DA514" s="113" t="n">
        <f aca="false" ca="true" dt2D="false" dtr="false" t="normal">SUBTOTAL(9, DB514:DP514)</f>
        <v>5868814.88</v>
      </c>
      <c r="DB514" s="106" t="n"/>
      <c r="DC514" s="114" t="n"/>
      <c r="DD514" s="243" t="n">
        <v>5868814.88</v>
      </c>
      <c r="DE514" s="114" t="n"/>
      <c r="DF514" s="114" t="n"/>
      <c r="DG514" s="114" t="n"/>
      <c r="DH514" s="106" t="n"/>
      <c r="DI514" s="114" t="n">
        <v>0</v>
      </c>
      <c r="DJ514" s="114" t="n">
        <v>0</v>
      </c>
      <c r="DK514" s="114" t="n">
        <v>0</v>
      </c>
      <c r="DL514" s="114" t="n">
        <v>0</v>
      </c>
      <c r="DM514" s="114" t="n">
        <v>0</v>
      </c>
      <c r="DN514" s="114" t="n"/>
      <c r="DO514" s="114" t="n"/>
      <c r="DP514" s="240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</row>
    <row customFormat="true" hidden="false" ht="15" outlineLevel="0" r="515" s="1">
      <c r="A515" s="183" t="n">
        <f aca="false" ca="false" dt2D="false" dtr="false" t="normal">+A514+1</f>
        <v>493</v>
      </c>
      <c r="B515" s="117" t="n">
        <f aca="false" ca="false" dt2D="false" dtr="false" t="normal">+B514+1</f>
        <v>34</v>
      </c>
      <c r="C515" s="104" t="s">
        <v>78</v>
      </c>
      <c r="D515" s="104" t="s">
        <v>545</v>
      </c>
      <c r="E515" s="105" t="n">
        <v>1985</v>
      </c>
      <c r="F515" s="105" t="n">
        <v>2011</v>
      </c>
      <c r="G515" s="105" t="s">
        <v>68</v>
      </c>
      <c r="H515" s="105" t="n">
        <v>9</v>
      </c>
      <c r="I515" s="105" t="n">
        <v>3</v>
      </c>
      <c r="J515" s="106" t="n">
        <v>8800.5</v>
      </c>
      <c r="K515" s="106" t="n">
        <v>6909.1</v>
      </c>
      <c r="L515" s="106" t="n">
        <v>362.5</v>
      </c>
      <c r="M515" s="107" t="n">
        <v>269</v>
      </c>
      <c r="N515" s="108" t="n">
        <f aca="false" ca="false" dt2D="false" dtr="false" t="normal">SUM(P515:T515)</f>
        <v>9000055.33</v>
      </c>
      <c r="O515" s="106" t="n"/>
      <c r="P515" s="114" t="n"/>
      <c r="Q515" s="114" t="n"/>
      <c r="R515" s="113" t="n">
        <v>6233864.74</v>
      </c>
      <c r="S515" s="113" t="n">
        <v>2766190.59</v>
      </c>
      <c r="T515" s="114" t="n"/>
      <c r="U515" s="114" t="n">
        <v>1762.08124759338</v>
      </c>
      <c r="V515" s="114" t="n">
        <v>1762.08124759338</v>
      </c>
      <c r="W515" s="110" t="n">
        <v>2024</v>
      </c>
      <c r="X515" s="9" t="n"/>
      <c r="Z515" s="113" t="n"/>
      <c r="AA515" s="106" t="n"/>
      <c r="AB515" s="106" t="n"/>
      <c r="AC515" s="106" t="n"/>
      <c r="AD515" s="106" t="n"/>
      <c r="AE515" s="106" t="n"/>
      <c r="AF515" s="106" t="n"/>
      <c r="AG515" s="106" t="n"/>
      <c r="AH515" s="106" t="n"/>
      <c r="AI515" s="106" t="n"/>
      <c r="AJ515" s="106" t="n"/>
      <c r="AK515" s="106" t="n"/>
      <c r="AL515" s="106" t="n"/>
      <c r="AM515" s="106" t="n"/>
      <c r="AN515" s="114" t="n"/>
      <c r="AO515" s="115" t="n"/>
      <c r="AP515" s="112" t="n">
        <f aca="false" ca="false" dt2D="false" dtr="false" t="normal">+N515-'Приложение №2'!E515</f>
        <v>0</v>
      </c>
      <c r="AQ515" s="121" t="n">
        <v>5284410.37</v>
      </c>
      <c r="AR515" s="3" t="n">
        <f aca="false" ca="false" dt2D="false" dtr="false" t="normal">+(K515*13.95+L515*23.65)*12*0.85</f>
        <v>1070541.7140000002</v>
      </c>
      <c r="AS515" s="3" t="n">
        <f aca="false" ca="false" dt2D="false" dtr="false" t="normal">+(K515*13.95+L515*23.65)*12*30</f>
        <v>37783825.2</v>
      </c>
      <c r="AT515" s="9" t="n">
        <f aca="false" ca="false" dt2D="false" dtr="false" t="normal">+S515-AS515</f>
        <v>-35017634.61</v>
      </c>
      <c r="AU515" s="9" t="e">
        <f aca="false" ca="false" dt2D="false" dtr="false" t="normal">+P515-'[5]Приложение №1'!$P476</f>
        <v>#REF!</v>
      </c>
      <c r="AV515" s="9" t="e">
        <f aca="false" ca="false" dt2D="false" dtr="false" t="normal">+Q515-'[5]Приложение №1'!$Q476</f>
        <v>#REF!</v>
      </c>
      <c r="AW515" s="186" t="n">
        <f aca="false" ca="true" dt2D="false" dtr="false" t="normal">SUBTOTAL(9, AX515:BL515)</f>
        <v>12813150</v>
      </c>
      <c r="AX515" s="106" t="n"/>
      <c r="AY515" s="106" t="n"/>
      <c r="AZ515" s="106" t="n"/>
      <c r="BA515" s="106" t="n"/>
      <c r="BB515" s="106" t="n"/>
      <c r="BC515" s="106" t="n"/>
      <c r="BD515" s="106" t="n"/>
      <c r="BE515" s="106" t="n">
        <v>12037390.6464</v>
      </c>
      <c r="BF515" s="106" t="n"/>
      <c r="BG515" s="106" t="n"/>
      <c r="BH515" s="106" t="n"/>
      <c r="BI515" s="106" t="n"/>
      <c r="BJ515" s="106" t="n">
        <v>384394.5</v>
      </c>
      <c r="BK515" s="114" t="n">
        <v>128131.5</v>
      </c>
      <c r="BL515" s="115" t="n">
        <v>263233.3536</v>
      </c>
      <c r="BM515" s="186" t="n">
        <f aca="false" ca="true" dt2D="false" dtr="false" t="normal">SUBTOTAL(9, BN515:CB515)</f>
        <v>12813150</v>
      </c>
      <c r="BN515" s="106" t="n"/>
      <c r="BO515" s="106" t="n"/>
      <c r="BP515" s="106" t="n"/>
      <c r="BQ515" s="106" t="n"/>
      <c r="BR515" s="106" t="n"/>
      <c r="BS515" s="106" t="n"/>
      <c r="BT515" s="106" t="n"/>
      <c r="BU515" s="106" t="n">
        <v>12037390.6464</v>
      </c>
      <c r="BV515" s="106" t="n"/>
      <c r="BW515" s="106" t="n"/>
      <c r="BX515" s="106" t="n"/>
      <c r="BY515" s="106" t="n"/>
      <c r="BZ515" s="106" t="n">
        <v>384394.5</v>
      </c>
      <c r="CA515" s="114" t="n">
        <v>128131.5</v>
      </c>
      <c r="CB515" s="115" t="n">
        <v>263233.3536</v>
      </c>
      <c r="CD515" s="116" t="n">
        <f aca="false" ca="false" dt2D="false" dtr="false" t="normal">+CD514+1</f>
        <v>493</v>
      </c>
      <c r="CE515" s="117" t="n">
        <f aca="false" ca="false" dt2D="false" dtr="false" t="normal">+CE514+1</f>
        <v>34</v>
      </c>
      <c r="CF515" s="104" t="s">
        <v>78</v>
      </c>
      <c r="CG515" s="117" t="s">
        <v>545</v>
      </c>
      <c r="CH515" s="108" t="n">
        <f aca="false" ca="true" dt2D="false" dtr="false" t="normal">SUBTOTAL(9, CI515:CW515)</f>
        <v>12549916.65</v>
      </c>
      <c r="CI515" s="106" t="n"/>
      <c r="CJ515" s="114" t="n"/>
      <c r="CK515" s="114" t="n"/>
      <c r="CL515" s="114" t="n"/>
      <c r="CM515" s="114" t="n"/>
      <c r="CN515" s="114" t="n"/>
      <c r="CO515" s="106" t="n"/>
      <c r="CP515" s="114" t="n">
        <v>12037390.65</v>
      </c>
      <c r="CQ515" s="114" t="n"/>
      <c r="CR515" s="114" t="n"/>
      <c r="CS515" s="114" t="n"/>
      <c r="CT515" s="114" t="n"/>
      <c r="CU515" s="114" t="n">
        <v>384394.5</v>
      </c>
      <c r="CV515" s="114" t="n">
        <v>128131.5</v>
      </c>
      <c r="CW515" s="115" t="n"/>
      <c r="CX515" s="3" t="n">
        <f aca="false" ca="false" dt2D="false" dtr="false" t="normal">+N515-CH515</f>
        <v>-3549861.3200000003</v>
      </c>
      <c r="CZ515" s="117" t="s">
        <v>545</v>
      </c>
      <c r="DA515" s="113" t="n">
        <f aca="false" ca="true" dt2D="false" dtr="false" t="normal">SUBTOTAL(9, DB515:DP515)</f>
        <v>12549916.65</v>
      </c>
      <c r="DB515" s="106" t="n"/>
      <c r="DC515" s="114" t="n"/>
      <c r="DD515" s="114" t="n"/>
      <c r="DE515" s="114" t="n"/>
      <c r="DF515" s="114" t="n"/>
      <c r="DG515" s="114" t="n"/>
      <c r="DH515" s="106" t="n"/>
      <c r="DI515" s="114" t="n">
        <v>12037390.65</v>
      </c>
      <c r="DJ515" s="114" t="n"/>
      <c r="DK515" s="114" t="n"/>
      <c r="DL515" s="114" t="n"/>
      <c r="DM515" s="114" t="n"/>
      <c r="DN515" s="114" t="n">
        <v>384394.5</v>
      </c>
      <c r="DO515" s="114" t="n">
        <v>128131.5</v>
      </c>
      <c r="DP515" s="240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</row>
    <row customFormat="true" hidden="false" ht="15" outlineLevel="0" r="516" s="1">
      <c r="A516" s="183" t="n">
        <f aca="false" ca="false" dt2D="false" dtr="false" t="normal">+A515+1</f>
        <v>494</v>
      </c>
      <c r="B516" s="117" t="n">
        <f aca="false" ca="false" dt2D="false" dtr="false" t="normal">+B515+1</f>
        <v>35</v>
      </c>
      <c r="C516" s="104" t="s">
        <v>78</v>
      </c>
      <c r="D516" s="104" t="s">
        <v>84</v>
      </c>
      <c r="E516" s="105" t="n">
        <v>1990</v>
      </c>
      <c r="F516" s="105" t="n">
        <v>2017</v>
      </c>
      <c r="G516" s="105" t="s">
        <v>68</v>
      </c>
      <c r="H516" s="105" t="n">
        <v>9</v>
      </c>
      <c r="I516" s="105" t="n">
        <v>1</v>
      </c>
      <c r="J516" s="106" t="n">
        <v>4531.3</v>
      </c>
      <c r="K516" s="106" t="n">
        <v>3818.4</v>
      </c>
      <c r="L516" s="106" t="n">
        <v>61.2</v>
      </c>
      <c r="M516" s="107" t="n">
        <v>144</v>
      </c>
      <c r="N516" s="108" t="n">
        <f aca="false" ca="false" dt2D="false" dtr="false" t="normal">SUM(P516:T516)</f>
        <v>6606168.290000001</v>
      </c>
      <c r="O516" s="106" t="n"/>
      <c r="P516" s="114" t="n"/>
      <c r="Q516" s="114" t="n"/>
      <c r="R516" s="113" t="n">
        <v>1443415.56</v>
      </c>
      <c r="S516" s="113" t="n">
        <v>5162752.73</v>
      </c>
      <c r="T516" s="114" t="n"/>
      <c r="U516" s="114" t="n">
        <v>1712.31720551163</v>
      </c>
      <c r="V516" s="114" t="n">
        <v>1712.31720551163</v>
      </c>
      <c r="W516" s="110" t="n">
        <v>2024</v>
      </c>
      <c r="X516" s="9" t="e">
        <f aca="false" ca="false" dt2D="false" dtr="false" t="normal">+#REF!-'[9]Приложение №1'!$P1172</f>
        <v>#REF!</v>
      </c>
      <c r="Z516" s="113" t="n">
        <f aca="false" ca="false" dt2D="false" dtr="false" t="normal">SUM(AA516:AO516)</f>
        <v>27882965.040892042</v>
      </c>
      <c r="AA516" s="106" t="n">
        <v>9323379.56262757</v>
      </c>
      <c r="AB516" s="106" t="n">
        <v>3730241.03536647</v>
      </c>
      <c r="AC516" s="106" t="n">
        <v>2755148.17654937</v>
      </c>
      <c r="AD516" s="106" t="n">
        <v>1760665.99220588</v>
      </c>
      <c r="AE516" s="106" t="n">
        <v>0</v>
      </c>
      <c r="AF516" s="106" t="n"/>
      <c r="AG516" s="106" t="n">
        <v>414224.740977323</v>
      </c>
      <c r="AH516" s="106" t="n">
        <v>0</v>
      </c>
      <c r="AI516" s="106" t="n">
        <v>0</v>
      </c>
      <c r="AJ516" s="106" t="n">
        <v>6482652.33395266</v>
      </c>
      <c r="AK516" s="106" t="n">
        <v>0</v>
      </c>
      <c r="AL516" s="106" t="n">
        <v>0</v>
      </c>
      <c r="AM516" s="106" t="n">
        <v>2602794.86148325</v>
      </c>
      <c r="AN516" s="114" t="n">
        <v>278829.65040892</v>
      </c>
      <c r="AO516" s="115" t="n">
        <v>535028.687320597</v>
      </c>
      <c r="AP516" s="112" t="n">
        <f aca="false" ca="false" dt2D="false" dtr="false" t="normal">+N516-'Приложение №2'!E516</f>
        <v>0</v>
      </c>
      <c r="AQ516" s="9" t="n">
        <f aca="false" ca="false" dt2D="false" dtr="false" t="normal">1031818.0268-R31</f>
        <v>911743.011073403</v>
      </c>
      <c r="AR516" s="3" t="n">
        <f aca="false" ca="false" dt2D="false" dtr="false" t="normal">+(K516*13.29+L516*22.52)*12*0.85</f>
        <v>531672.552</v>
      </c>
      <c r="AS516" s="3" t="e">
        <f aca="false" ca="false" dt2D="false" dtr="false" t="normal">+(K516*13.29+L516*22.52)*12*30-6069421.82-'[11]Приложение №1'!$S$83</f>
        <v>#REF!</v>
      </c>
      <c r="AT516" s="9" t="e">
        <f aca="false" ca="false" dt2D="false" dtr="false" t="normal">+S516-AS516</f>
        <v>#REF!</v>
      </c>
      <c r="AU516" s="9" t="e">
        <f aca="false" ca="false" dt2D="false" dtr="false" t="normal">+P516-'[5]Приложение №1'!$P227</f>
        <v>#REF!</v>
      </c>
      <c r="AV516" s="9" t="e">
        <f aca="false" ca="false" dt2D="false" dtr="false" t="normal">+Q516-'[5]Приложение №1'!$Q227</f>
        <v>#REF!</v>
      </c>
      <c r="AW516" s="113" t="n">
        <f aca="false" ca="true" dt2D="false" dtr="false" t="normal">SUBTOTAL(9, AX516:BL516)</f>
        <v>6643105.830502919</v>
      </c>
      <c r="AX516" s="106" t="n"/>
      <c r="AY516" s="106" t="n"/>
      <c r="AZ516" s="106" t="n">
        <v>6582856.32</v>
      </c>
      <c r="BA516" s="106" t="n"/>
      <c r="BB516" s="106" t="n"/>
      <c r="BC516" s="106" t="n"/>
      <c r="BD516" s="106" t="n"/>
      <c r="BE516" s="106" t="n">
        <v>0</v>
      </c>
      <c r="BF516" s="106" t="n">
        <v>0</v>
      </c>
      <c r="BG516" s="106" t="n"/>
      <c r="BH516" s="106" t="n">
        <v>0</v>
      </c>
      <c r="BI516" s="106" t="n">
        <v>0</v>
      </c>
      <c r="BJ516" s="106" t="n"/>
      <c r="BK516" s="114" t="n"/>
      <c r="BL516" s="115" t="n">
        <v>60249.510502919</v>
      </c>
      <c r="BM516" s="113" t="n">
        <f aca="false" ca="true" dt2D="false" dtr="false" t="normal">SUBTOTAL(9, BN516:CB516)</f>
        <v>6643105.830502919</v>
      </c>
      <c r="BN516" s="106" t="n"/>
      <c r="BO516" s="106" t="n"/>
      <c r="BP516" s="106" t="n">
        <v>6582856.32</v>
      </c>
      <c r="BQ516" s="106" t="n"/>
      <c r="BR516" s="106" t="n"/>
      <c r="BS516" s="106" t="n"/>
      <c r="BT516" s="106" t="n"/>
      <c r="BU516" s="106" t="n">
        <v>0</v>
      </c>
      <c r="BV516" s="106" t="n">
        <v>0</v>
      </c>
      <c r="BW516" s="106" t="n"/>
      <c r="BX516" s="106" t="n">
        <v>0</v>
      </c>
      <c r="BY516" s="106" t="n">
        <v>0</v>
      </c>
      <c r="BZ516" s="106" t="n"/>
      <c r="CA516" s="114" t="n"/>
      <c r="CB516" s="115" t="n">
        <v>60249.510502919</v>
      </c>
      <c r="CD516" s="116" t="n">
        <f aca="false" ca="false" dt2D="false" dtr="false" t="normal">+CD515+1</f>
        <v>494</v>
      </c>
      <c r="CE516" s="117" t="n">
        <f aca="false" ca="false" dt2D="false" dtr="false" t="normal">+CE515+1</f>
        <v>35</v>
      </c>
      <c r="CF516" s="104" t="s">
        <v>78</v>
      </c>
      <c r="CG516" s="117" t="s">
        <v>84</v>
      </c>
      <c r="CH516" s="108" t="n">
        <f aca="false" ca="true" dt2D="false" dtr="false" t="normal">SUBTOTAL(9, CI516:CW516)</f>
        <v>6643105.83</v>
      </c>
      <c r="CI516" s="106" t="n"/>
      <c r="CJ516" s="114" t="n"/>
      <c r="CK516" s="114" t="n">
        <v>6582856.32</v>
      </c>
      <c r="CL516" s="114" t="n"/>
      <c r="CM516" s="114" t="n"/>
      <c r="CN516" s="114" t="n"/>
      <c r="CO516" s="106" t="n"/>
      <c r="CP516" s="114" t="n">
        <v>0</v>
      </c>
      <c r="CQ516" s="114" t="n">
        <v>0</v>
      </c>
      <c r="CR516" s="114" t="n"/>
      <c r="CS516" s="114" t="n">
        <v>0</v>
      </c>
      <c r="CT516" s="114" t="n">
        <v>0</v>
      </c>
      <c r="CU516" s="114" t="n"/>
      <c r="CV516" s="114" t="n"/>
      <c r="CW516" s="115" t="n">
        <v>60249.51</v>
      </c>
      <c r="CX516" s="3" t="n">
        <f aca="false" ca="false" dt2D="false" dtr="false" t="normal">+N516-CH516</f>
        <v>-36937.539999999106</v>
      </c>
      <c r="CZ516" s="117" t="s">
        <v>84</v>
      </c>
      <c r="DA516" s="113" t="n">
        <f aca="false" ca="true" dt2D="false" dtr="false" t="normal">SUBTOTAL(9, DB516:DP516)</f>
        <v>6606168.292</v>
      </c>
      <c r="DB516" s="106" t="n"/>
      <c r="DC516" s="114" t="n"/>
      <c r="DD516" s="114" t="n">
        <v>6582856.32</v>
      </c>
      <c r="DE516" s="114" t="n"/>
      <c r="DF516" s="114" t="n"/>
      <c r="DG516" s="114" t="n"/>
      <c r="DH516" s="106" t="n"/>
      <c r="DI516" s="114" t="n">
        <v>0</v>
      </c>
      <c r="DJ516" s="114" t="n">
        <v>0</v>
      </c>
      <c r="DK516" s="114" t="n"/>
      <c r="DL516" s="114" t="n">
        <v>0</v>
      </c>
      <c r="DM516" s="114" t="n">
        <v>0</v>
      </c>
      <c r="DN516" s="114" t="n"/>
      <c r="DO516" s="114" t="n"/>
      <c r="DP516" s="115" t="n">
        <f aca="false" ca="false" dt2D="false" dtr="false" t="normal">20271.28*1.15</f>
        <v>23311.971999999998</v>
      </c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</row>
    <row customFormat="true" hidden="false" ht="15" outlineLevel="0" r="517" s="1">
      <c r="A517" s="183" t="n">
        <f aca="false" ca="false" dt2D="false" dtr="false" t="normal">+A516+1</f>
        <v>495</v>
      </c>
      <c r="B517" s="117" t="n">
        <f aca="false" ca="false" dt2D="false" dtr="false" t="normal">+B516+1</f>
        <v>36</v>
      </c>
      <c r="C517" s="104" t="s">
        <v>78</v>
      </c>
      <c r="D517" s="104" t="s">
        <v>546</v>
      </c>
      <c r="E517" s="105" t="s">
        <v>514</v>
      </c>
      <c r="F517" s="105" t="n"/>
      <c r="G517" s="105" t="s">
        <v>68</v>
      </c>
      <c r="H517" s="105" t="s">
        <v>126</v>
      </c>
      <c r="I517" s="105" t="s">
        <v>232</v>
      </c>
      <c r="J517" s="106" t="n">
        <v>3391</v>
      </c>
      <c r="K517" s="106" t="n">
        <v>2799.1</v>
      </c>
      <c r="L517" s="106" t="n">
        <v>0</v>
      </c>
      <c r="M517" s="107" t="n">
        <v>93</v>
      </c>
      <c r="N517" s="108" t="n">
        <f aca="false" ca="false" dt2D="false" dtr="false" t="normal">SUM(P517:T517)</f>
        <v>3000018.45</v>
      </c>
      <c r="O517" s="106" t="n"/>
      <c r="P517" s="114" t="n"/>
      <c r="Q517" s="114" t="n"/>
      <c r="R517" s="113" t="n">
        <v>2470636.67</v>
      </c>
      <c r="S517" s="113" t="n">
        <v>529381.78</v>
      </c>
      <c r="T517" s="114" t="n"/>
      <c r="U517" s="114" t="n">
        <v>1525.86545675396</v>
      </c>
      <c r="V517" s="114" t="n">
        <v>1525.86545675396</v>
      </c>
      <c r="W517" s="110" t="n">
        <v>2024</v>
      </c>
      <c r="X517" s="9" t="n"/>
      <c r="Z517" s="113" t="n"/>
      <c r="AA517" s="106" t="n"/>
      <c r="AB517" s="106" t="n"/>
      <c r="AC517" s="106" t="n"/>
      <c r="AD517" s="106" t="n"/>
      <c r="AE517" s="106" t="n"/>
      <c r="AF517" s="106" t="n"/>
      <c r="AG517" s="106" t="n"/>
      <c r="AH517" s="106" t="n"/>
      <c r="AI517" s="106" t="n"/>
      <c r="AJ517" s="106" t="n"/>
      <c r="AK517" s="106" t="n"/>
      <c r="AL517" s="106" t="n"/>
      <c r="AM517" s="106" t="n"/>
      <c r="AN517" s="114" t="n"/>
      <c r="AO517" s="115" t="n"/>
      <c r="AP517" s="112" t="n">
        <f aca="false" ca="false" dt2D="false" dtr="false" t="normal">+N517-'Приложение №2'!E517</f>
        <v>0</v>
      </c>
      <c r="AQ517" s="1" t="n">
        <v>2120612.18</v>
      </c>
      <c r="AR517" s="3" t="n">
        <f aca="false" ca="false" dt2D="false" dtr="false" t="normal">+(K517*13.95+L517*23.65)*12*0.85</f>
        <v>398283.93899999995</v>
      </c>
      <c r="AS517" s="3" t="n">
        <f aca="false" ca="false" dt2D="false" dtr="false" t="normal">+(K517*13.95+L517*23.65)*12*30</f>
        <v>14057080.2</v>
      </c>
      <c r="AT517" s="9" t="n">
        <f aca="false" ca="false" dt2D="false" dtr="false" t="normal">+S517-AS517</f>
        <v>-13527698.42</v>
      </c>
      <c r="AU517" s="9" t="n"/>
      <c r="AV517" s="9" t="n"/>
      <c r="AW517" s="186" t="n">
        <f aca="false" ca="true" dt2D="false" dtr="false" t="normal">SUBTOTAL(9, AX517:BL517)</f>
        <v>4271050</v>
      </c>
      <c r="AX517" s="106" t="n"/>
      <c r="AY517" s="106" t="n"/>
      <c r="AZ517" s="106" t="n"/>
      <c r="BA517" s="106" t="n"/>
      <c r="BB517" s="106" t="n"/>
      <c r="BC517" s="106" t="n"/>
      <c r="BD517" s="106" t="n"/>
      <c r="BE517" s="106" t="n">
        <v>4012463.5488</v>
      </c>
      <c r="BF517" s="106" t="n"/>
      <c r="BG517" s="106" t="n"/>
      <c r="BH517" s="106" t="n"/>
      <c r="BI517" s="106" t="n"/>
      <c r="BJ517" s="106" t="n">
        <v>128131.5</v>
      </c>
      <c r="BK517" s="114" t="n">
        <v>42710.5</v>
      </c>
      <c r="BL517" s="115" t="n">
        <v>87744.4512</v>
      </c>
      <c r="BM517" s="186" t="n">
        <f aca="false" ca="true" dt2D="false" dtr="false" t="normal">SUBTOTAL(9, BN517:CB517)</f>
        <v>4271050</v>
      </c>
      <c r="BN517" s="106" t="n"/>
      <c r="BO517" s="106" t="n"/>
      <c r="BP517" s="106" t="n"/>
      <c r="BQ517" s="106" t="n"/>
      <c r="BR517" s="106" t="n"/>
      <c r="BS517" s="106" t="n"/>
      <c r="BT517" s="106" t="n"/>
      <c r="BU517" s="106" t="n">
        <v>4012463.5488</v>
      </c>
      <c r="BV517" s="106" t="n"/>
      <c r="BW517" s="106" t="n"/>
      <c r="BX517" s="106" t="n"/>
      <c r="BY517" s="106" t="n"/>
      <c r="BZ517" s="106" t="n">
        <v>128131.5</v>
      </c>
      <c r="CA517" s="114" t="n">
        <v>42710.5</v>
      </c>
      <c r="CB517" s="115" t="n">
        <v>87744.4512</v>
      </c>
      <c r="CD517" s="116" t="n">
        <f aca="false" ca="false" dt2D="false" dtr="false" t="normal">+CD516+1</f>
        <v>495</v>
      </c>
      <c r="CE517" s="117" t="n">
        <f aca="false" ca="false" dt2D="false" dtr="false" t="normal">+CE516+1</f>
        <v>36</v>
      </c>
      <c r="CF517" s="104" t="s">
        <v>78</v>
      </c>
      <c r="CG517" s="117" t="s">
        <v>546</v>
      </c>
      <c r="CH517" s="108" t="n">
        <f aca="false" ca="true" dt2D="false" dtr="false" t="normal">SUBTOTAL(9, CI517:CW517)</f>
        <v>4183305.55</v>
      </c>
      <c r="CI517" s="106" t="n"/>
      <c r="CJ517" s="114" t="n"/>
      <c r="CK517" s="114" t="n"/>
      <c r="CL517" s="114" t="n"/>
      <c r="CM517" s="114" t="n"/>
      <c r="CN517" s="114" t="n"/>
      <c r="CO517" s="106" t="n"/>
      <c r="CP517" s="114" t="n">
        <v>4012463.55</v>
      </c>
      <c r="CQ517" s="114" t="n"/>
      <c r="CR517" s="114" t="n"/>
      <c r="CS517" s="114" t="n"/>
      <c r="CT517" s="114" t="n"/>
      <c r="CU517" s="114" t="n">
        <v>128131.5</v>
      </c>
      <c r="CV517" s="114" t="n">
        <v>42710.5</v>
      </c>
      <c r="CW517" s="115" t="n"/>
      <c r="CX517" s="3" t="n">
        <f aca="false" ca="false" dt2D="false" dtr="false" t="normal">+N517-CH517</f>
        <v>-1183287.0999999996</v>
      </c>
      <c r="CZ517" s="117" t="s">
        <v>546</v>
      </c>
      <c r="DA517" s="113" t="n">
        <f aca="false" ca="true" dt2D="false" dtr="false" t="normal">SUBTOTAL(9, DB517:DP517)</f>
        <v>4183305.55</v>
      </c>
      <c r="DB517" s="106" t="n"/>
      <c r="DC517" s="114" t="n"/>
      <c r="DD517" s="114" t="n"/>
      <c r="DE517" s="114" t="n"/>
      <c r="DF517" s="114" t="n"/>
      <c r="DG517" s="114" t="n"/>
      <c r="DH517" s="106" t="n"/>
      <c r="DI517" s="114" t="n">
        <v>4012463.55</v>
      </c>
      <c r="DJ517" s="114" t="n"/>
      <c r="DK517" s="114" t="n"/>
      <c r="DL517" s="114" t="n"/>
      <c r="DM517" s="114" t="n"/>
      <c r="DN517" s="114" t="n">
        <v>128131.5</v>
      </c>
      <c r="DO517" s="114" t="n">
        <v>42710.5</v>
      </c>
      <c r="DP517" s="240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</row>
    <row customFormat="true" hidden="false" ht="15" outlineLevel="0" r="518" s="1">
      <c r="A518" s="183" t="n">
        <f aca="false" ca="false" dt2D="false" dtr="false" t="normal">+A517+1</f>
        <v>496</v>
      </c>
      <c r="B518" s="117" t="n">
        <f aca="false" ca="false" dt2D="false" dtr="false" t="normal">+B517+1</f>
        <v>37</v>
      </c>
      <c r="C518" s="104" t="s">
        <v>78</v>
      </c>
      <c r="D518" s="104" t="s">
        <v>547</v>
      </c>
      <c r="E518" s="105" t="n">
        <v>1984</v>
      </c>
      <c r="F518" s="105" t="n">
        <v>2016</v>
      </c>
      <c r="G518" s="105" t="s">
        <v>68</v>
      </c>
      <c r="H518" s="105" t="n">
        <v>5</v>
      </c>
      <c r="I518" s="105" t="n">
        <v>3</v>
      </c>
      <c r="J518" s="106" t="n">
        <v>5122</v>
      </c>
      <c r="K518" s="106" t="n">
        <v>4380.85</v>
      </c>
      <c r="L518" s="106" t="n">
        <v>19</v>
      </c>
      <c r="M518" s="107" t="n">
        <v>187</v>
      </c>
      <c r="N518" s="108" t="n">
        <f aca="false" ca="false" dt2D="false" dtr="false" t="normal">SUM(P518:T518)</f>
        <v>4684736.84</v>
      </c>
      <c r="O518" s="106" t="n"/>
      <c r="P518" s="113" t="n">
        <v>2375276.47</v>
      </c>
      <c r="Q518" s="114" t="n"/>
      <c r="R518" s="113" t="n">
        <v>2309460.37</v>
      </c>
      <c r="S518" s="113" t="n"/>
      <c r="T518" s="114" t="n"/>
      <c r="U518" s="114" t="n">
        <v>1155.84982928258</v>
      </c>
      <c r="V518" s="114" t="n">
        <v>1155.84982928258</v>
      </c>
      <c r="W518" s="110" t="n">
        <v>2024</v>
      </c>
      <c r="X518" s="9" t="e">
        <f aca="false" ca="false" dt2D="false" dtr="false" t="normal">+#REF!-'[9]Приложение №1'!$P1115</f>
        <v>#REF!</v>
      </c>
      <c r="Z518" s="113" t="n">
        <f aca="false" ca="false" dt2D="false" dtr="false" t="normal">SUM(AA518:AO518)</f>
        <v>20776720.738175966</v>
      </c>
      <c r="AA518" s="106" t="n">
        <v>0</v>
      </c>
      <c r="AB518" s="106" t="n">
        <v>0</v>
      </c>
      <c r="AC518" s="106" t="n">
        <v>0</v>
      </c>
      <c r="AD518" s="106" t="n">
        <v>0</v>
      </c>
      <c r="AE518" s="106" t="n">
        <v>0</v>
      </c>
      <c r="AF518" s="106" t="n"/>
      <c r="AG518" s="106" t="n">
        <v>0</v>
      </c>
      <c r="AH518" s="106" t="n">
        <v>0</v>
      </c>
      <c r="AI518" s="106" t="n">
        <v>0</v>
      </c>
      <c r="AJ518" s="106" t="n">
        <v>0</v>
      </c>
      <c r="AK518" s="106" t="n">
        <v>20147945.946807</v>
      </c>
      <c r="AL518" s="106" t="n">
        <v>0</v>
      </c>
      <c r="AM518" s="106" t="n">
        <v>164180.02</v>
      </c>
      <c r="AN518" s="106" t="n">
        <v>24000</v>
      </c>
      <c r="AO518" s="115" t="n">
        <v>440594.771368966</v>
      </c>
      <c r="AP518" s="112" t="n">
        <f aca="false" ca="false" dt2D="false" dtr="false" t="normal">+N518-'Приложение №2'!E518</f>
        <v>0</v>
      </c>
      <c r="AQ518" s="1" t="n">
        <v>2072544.25</v>
      </c>
      <c r="AR518" s="3" t="n">
        <f aca="false" ca="false" dt2D="false" dtr="false" t="normal">+(K518*10+L518*20)*12*0.85</f>
        <v>450722.7</v>
      </c>
      <c r="AS518" s="3" t="n">
        <f aca="false" ca="false" dt2D="false" dtr="false" t="normal">+(K518*10+L518*20)*12*30</f>
        <v>15907860</v>
      </c>
      <c r="AT518" s="9" t="n">
        <f aca="false" ca="false" dt2D="false" dtr="false" t="normal">+S518-AS518</f>
        <v>-15907860</v>
      </c>
      <c r="AU518" s="9" t="e">
        <f aca="false" ca="false" dt2D="false" dtr="false" t="normal">+P518-'[5]Приложение №1'!$P228</f>
        <v>#REF!</v>
      </c>
      <c r="AV518" s="9" t="e">
        <f aca="false" ca="false" dt2D="false" dtr="false" t="normal">+Q518-'[5]Приложение №1'!$Q228</f>
        <v>#REF!</v>
      </c>
      <c r="AW518" s="113" t="n">
        <f aca="false" ca="true" dt2D="false" dtr="false" t="normal">SUBTOTAL(9, AX518:BL518)</f>
        <v>5085565.871368965</v>
      </c>
      <c r="AX518" s="106" t="n">
        <v>0</v>
      </c>
      <c r="AY518" s="106" t="n">
        <v>0</v>
      </c>
      <c r="AZ518" s="106" t="n">
        <v>0</v>
      </c>
      <c r="BA518" s="106" t="n">
        <v>0</v>
      </c>
      <c r="BB518" s="106" t="n">
        <v>0</v>
      </c>
      <c r="BC518" s="106" t="n"/>
      <c r="BD518" s="106" t="n"/>
      <c r="BE518" s="106" t="n">
        <v>0</v>
      </c>
      <c r="BF518" s="106" t="n">
        <v>0</v>
      </c>
      <c r="BG518" s="106" t="n">
        <v>0</v>
      </c>
      <c r="BH518" s="106" t="n">
        <v>4644971.1</v>
      </c>
      <c r="BI518" s="106" t="n">
        <v>0</v>
      </c>
      <c r="BL518" s="115" t="n">
        <v>440594.771368966</v>
      </c>
      <c r="BM518" s="113" t="n">
        <f aca="false" ca="true" dt2D="false" dtr="false" t="normal">SUBTOTAL(9, BN518:CB518)</f>
        <v>5085565.871368965</v>
      </c>
      <c r="BN518" s="106" t="n">
        <v>0</v>
      </c>
      <c r="BO518" s="106" t="n">
        <v>0</v>
      </c>
      <c r="BP518" s="106" t="n">
        <v>0</v>
      </c>
      <c r="BQ518" s="106" t="n">
        <v>0</v>
      </c>
      <c r="BR518" s="106" t="n">
        <v>0</v>
      </c>
      <c r="BS518" s="106" t="n"/>
      <c r="BT518" s="106" t="n"/>
      <c r="BU518" s="106" t="n">
        <v>0</v>
      </c>
      <c r="BV518" s="106" t="n">
        <v>0</v>
      </c>
      <c r="BW518" s="106" t="n">
        <v>0</v>
      </c>
      <c r="BX518" s="106" t="n">
        <v>4644971.1</v>
      </c>
      <c r="BY518" s="106" t="n">
        <v>0</v>
      </c>
      <c r="CB518" s="115" t="n">
        <v>440594.771368966</v>
      </c>
      <c r="CD518" s="116" t="n">
        <f aca="false" ca="false" dt2D="false" dtr="false" t="normal">+CD517+1</f>
        <v>496</v>
      </c>
      <c r="CE518" s="117" t="n">
        <f aca="false" ca="false" dt2D="false" dtr="false" t="normal">+CE517+1</f>
        <v>37</v>
      </c>
      <c r="CF518" s="104" t="s">
        <v>78</v>
      </c>
      <c r="CG518" s="117" t="s">
        <v>547</v>
      </c>
      <c r="CH518" s="108" t="n">
        <f aca="false" ca="true" dt2D="false" dtr="false" t="normal">SUBTOTAL(9, CI518:CW518)</f>
        <v>5085565.869999999</v>
      </c>
      <c r="CI518" s="106" t="n">
        <v>0</v>
      </c>
      <c r="CJ518" s="114" t="n">
        <v>0</v>
      </c>
      <c r="CK518" s="114" t="n">
        <v>0</v>
      </c>
      <c r="CL518" s="114" t="n">
        <v>0</v>
      </c>
      <c r="CM518" s="114" t="n">
        <v>0</v>
      </c>
      <c r="CN518" s="114" t="n"/>
      <c r="CO518" s="106" t="n"/>
      <c r="CP518" s="114" t="n">
        <v>0</v>
      </c>
      <c r="CQ518" s="114" t="n">
        <v>0</v>
      </c>
      <c r="CR518" s="114" t="n">
        <v>0</v>
      </c>
      <c r="CS518" s="114" t="n">
        <v>4644971.1</v>
      </c>
      <c r="CT518" s="114" t="n">
        <v>0</v>
      </c>
      <c r="CU518" s="114" t="n"/>
      <c r="CV518" s="114" t="n"/>
      <c r="CW518" s="115" t="n">
        <v>440594.77</v>
      </c>
      <c r="CX518" s="3" t="n">
        <f aca="false" ca="false" dt2D="false" dtr="false" t="normal">+N518-CH518</f>
        <v>-400829.02999999933</v>
      </c>
      <c r="CZ518" s="117" t="s">
        <v>547</v>
      </c>
      <c r="DA518" s="113" t="n">
        <f aca="false" ca="true" dt2D="false" dtr="false" t="normal">SUBTOTAL(9, DB518:DP518)</f>
        <v>4684736.835</v>
      </c>
      <c r="DB518" s="106" t="n">
        <v>0</v>
      </c>
      <c r="DC518" s="114" t="n">
        <v>0</v>
      </c>
      <c r="DD518" s="114" t="n">
        <v>0</v>
      </c>
      <c r="DE518" s="114" t="n">
        <v>0</v>
      </c>
      <c r="DF518" s="114" t="n">
        <v>0</v>
      </c>
      <c r="DG518" s="114" t="n"/>
      <c r="DH518" s="106" t="n"/>
      <c r="DI518" s="114" t="n">
        <v>0</v>
      </c>
      <c r="DJ518" s="114" t="n">
        <v>0</v>
      </c>
      <c r="DK518" s="114" t="n">
        <v>0</v>
      </c>
      <c r="DL518" s="114" t="n">
        <v>4644971.1</v>
      </c>
      <c r="DM518" s="114" t="n">
        <v>0</v>
      </c>
      <c r="DN518" s="114" t="n"/>
      <c r="DO518" s="114" t="n"/>
      <c r="DP518" s="115" t="n">
        <f aca="false" ca="false" dt2D="false" dtr="false" t="normal">34578.9*1.15</f>
        <v>39765.735</v>
      </c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</row>
    <row customFormat="true" hidden="false" ht="15" outlineLevel="0" r="519" s="1">
      <c r="A519" s="183" t="n">
        <f aca="false" ca="false" dt2D="false" dtr="false" t="normal">+A518+1</f>
        <v>497</v>
      </c>
      <c r="B519" s="117" t="n">
        <f aca="false" ca="false" dt2D="false" dtr="false" t="normal">+B518+1</f>
        <v>38</v>
      </c>
      <c r="C519" s="104" t="s">
        <v>78</v>
      </c>
      <c r="D519" s="104" t="s">
        <v>548</v>
      </c>
      <c r="E519" s="105" t="n">
        <v>1986</v>
      </c>
      <c r="F519" s="105" t="n">
        <v>2017</v>
      </c>
      <c r="G519" s="105" t="s">
        <v>68</v>
      </c>
      <c r="H519" s="105" t="n">
        <v>5</v>
      </c>
      <c r="I519" s="105" t="n">
        <v>4</v>
      </c>
      <c r="J519" s="106" t="n">
        <v>5725</v>
      </c>
      <c r="K519" s="106" t="n">
        <v>4812.8</v>
      </c>
      <c r="L519" s="106" t="n">
        <v>0</v>
      </c>
      <c r="M519" s="107" t="n">
        <v>190</v>
      </c>
      <c r="N519" s="108" t="n">
        <f aca="false" ca="false" dt2D="false" dtr="false" t="normal">SUM(P519:T519)</f>
        <v>15012592.61</v>
      </c>
      <c r="O519" s="106" t="n"/>
      <c r="P519" s="114" t="n"/>
      <c r="Q519" s="114" t="n"/>
      <c r="R519" s="113" t="n">
        <v>3409391.35</v>
      </c>
      <c r="S519" s="113" t="n">
        <v>11603201.26</v>
      </c>
      <c r="T519" s="114" t="n">
        <v>0</v>
      </c>
      <c r="U519" s="114" t="n">
        <v>4497.35223711315</v>
      </c>
      <c r="V519" s="114" t="n">
        <v>4497.35223711315</v>
      </c>
      <c r="W519" s="110" t="n">
        <v>2024</v>
      </c>
      <c r="X519" s="9" t="e">
        <f aca="false" ca="false" dt2D="false" dtr="false" t="normal">+#REF!-'[9]Приложение №1'!$P925</f>
        <v>#REF!</v>
      </c>
      <c r="Z519" s="113" t="n">
        <f aca="false" ca="false" dt2D="false" dtr="false" t="normal">SUM(AA519:AO519)</f>
        <v>15251119.821010934</v>
      </c>
      <c r="AA519" s="106" t="n">
        <v>9517364.63675395</v>
      </c>
      <c r="AB519" s="106" t="n">
        <v>0</v>
      </c>
      <c r="AC519" s="106" t="n">
        <v>0</v>
      </c>
      <c r="AD519" s="106" t="n">
        <v>3840848.92302814</v>
      </c>
      <c r="AE519" s="106" t="n">
        <v>0</v>
      </c>
      <c r="AF519" s="106" t="n"/>
      <c r="AG519" s="106" t="n">
        <v>0</v>
      </c>
      <c r="AH519" s="106" t="n">
        <v>0</v>
      </c>
      <c r="AI519" s="106" t="n">
        <v>0</v>
      </c>
      <c r="AJ519" s="106" t="n">
        <v>0</v>
      </c>
      <c r="AK519" s="106" t="n">
        <v>0</v>
      </c>
      <c r="AL519" s="106" t="n">
        <v>0</v>
      </c>
      <c r="AM519" s="106" t="n">
        <v>1448277.98742162</v>
      </c>
      <c r="AN519" s="114" t="n">
        <v>152511.198210109</v>
      </c>
      <c r="AO519" s="115" t="n">
        <v>292117.075597115</v>
      </c>
      <c r="AP519" s="112" t="n">
        <f aca="false" ca="false" dt2D="false" dtr="false" t="normal">+N519-'Приложение №2'!E519</f>
        <v>0</v>
      </c>
      <c r="AQ519" s="1" t="n">
        <v>2983888.22</v>
      </c>
      <c r="AR519" s="3" t="n">
        <f aca="false" ca="false" dt2D="false" dtr="false" t="normal">+(K519*10.5+L519*21)*12*0.85</f>
        <v>515450.88</v>
      </c>
      <c r="AS519" s="3" t="n">
        <f aca="false" ca="false" dt2D="false" dtr="false" t="normal">+(K519*10.5+L519*21)*12*30</f>
        <v>18192384</v>
      </c>
      <c r="AT519" s="9" t="n">
        <f aca="false" ca="false" dt2D="false" dtr="false" t="normal">+S519-AS519</f>
        <v>-6589182.74</v>
      </c>
      <c r="AU519" s="9" t="e">
        <f aca="false" ca="false" dt2D="false" dtr="false" t="normal">+P519-'[5]Приложение №1'!$P477</f>
        <v>#REF!</v>
      </c>
      <c r="AV519" s="9" t="e">
        <f aca="false" ca="false" dt2D="false" dtr="false" t="normal">+Q519-'[5]Приложение №1'!$Q477</f>
        <v>#REF!</v>
      </c>
      <c r="AW519" s="186" t="n">
        <f aca="false" ca="true" dt2D="false" dtr="false" t="normal">SUBTOTAL(9, AX519:BL519)</f>
        <v>21644856.846778173</v>
      </c>
      <c r="AX519" s="106" t="n">
        <v>16085062.2490597</v>
      </c>
      <c r="AY519" s="106" t="n">
        <v>0</v>
      </c>
      <c r="AZ519" s="106" t="n">
        <v>0</v>
      </c>
      <c r="BA519" s="106" t="n">
        <v>4577070.55720858</v>
      </c>
      <c r="BB519" s="106" t="n">
        <v>0</v>
      </c>
      <c r="BC519" s="106" t="n"/>
      <c r="BD519" s="106" t="n">
        <v>519524.10398884</v>
      </c>
      <c r="BE519" s="106" t="n">
        <v>0</v>
      </c>
      <c r="BF519" s="106" t="n">
        <v>0</v>
      </c>
      <c r="BG519" s="106" t="n">
        <v>0</v>
      </c>
      <c r="BH519" s="106" t="n">
        <v>0</v>
      </c>
      <c r="BI519" s="106" t="n">
        <v>0</v>
      </c>
      <c r="BJ519" s="106" t="n"/>
      <c r="BK519" s="114" t="n"/>
      <c r="BL519" s="115" t="n">
        <v>463199.936521053</v>
      </c>
      <c r="BM519" s="186" t="n">
        <f aca="false" ca="true" dt2D="false" dtr="false" t="normal">SUBTOTAL(9, BN519:CB519)</f>
        <v>21644856.846778173</v>
      </c>
      <c r="BN519" s="106" t="n">
        <v>16085062.2490597</v>
      </c>
      <c r="BO519" s="106" t="n">
        <v>0</v>
      </c>
      <c r="BP519" s="106" t="n">
        <v>0</v>
      </c>
      <c r="BQ519" s="106" t="n">
        <v>4577070.55720858</v>
      </c>
      <c r="BR519" s="106" t="n">
        <v>0</v>
      </c>
      <c r="BS519" s="106" t="n"/>
      <c r="BT519" s="106" t="n">
        <v>519524.10398884</v>
      </c>
      <c r="BU519" s="106" t="n">
        <v>0</v>
      </c>
      <c r="BV519" s="106" t="n">
        <v>0</v>
      </c>
      <c r="BW519" s="106" t="n">
        <v>0</v>
      </c>
      <c r="BX519" s="106" t="n">
        <v>0</v>
      </c>
      <c r="BY519" s="106" t="n">
        <v>0</v>
      </c>
      <c r="BZ519" s="106" t="n"/>
      <c r="CA519" s="114" t="n"/>
      <c r="CB519" s="115" t="n">
        <v>463199.936521053</v>
      </c>
      <c r="CD519" s="116" t="n">
        <f aca="false" ca="false" dt2D="false" dtr="false" t="normal">+CD518+1</f>
        <v>497</v>
      </c>
      <c r="CE519" s="117" t="n">
        <f aca="false" ca="false" dt2D="false" dtr="false" t="normal">+CE518+1</f>
        <v>38</v>
      </c>
      <c r="CF519" s="104" t="s">
        <v>78</v>
      </c>
      <c r="CG519" s="117" t="s">
        <v>548</v>
      </c>
      <c r="CH519" s="108" t="n">
        <f aca="false" ca="true" dt2D="false" dtr="false" t="normal">SUBTOTAL(9, CI519:CW519)</f>
        <v>15012592.61</v>
      </c>
      <c r="CI519" s="106" t="n">
        <v>10667268.66</v>
      </c>
      <c r="CJ519" s="114" t="n">
        <v>0</v>
      </c>
      <c r="CK519" s="114" t="n">
        <v>0</v>
      </c>
      <c r="CL519" s="114" t="n">
        <v>4345323.95</v>
      </c>
      <c r="CM519" s="114" t="n">
        <v>0</v>
      </c>
      <c r="CN519" s="114" t="n"/>
      <c r="CO519" s="106" t="n"/>
      <c r="CP519" s="114" t="n">
        <v>0</v>
      </c>
      <c r="CQ519" s="114" t="n">
        <v>0</v>
      </c>
      <c r="CR519" s="114" t="n">
        <v>0</v>
      </c>
      <c r="CS519" s="114" t="n">
        <v>0</v>
      </c>
      <c r="CT519" s="114" t="n">
        <v>0</v>
      </c>
      <c r="CU519" s="114" t="n"/>
      <c r="CV519" s="114" t="n"/>
      <c r="CW519" s="115" t="n"/>
      <c r="CX519" s="3" t="n">
        <f aca="false" ca="false" dt2D="false" dtr="false" t="normal">+N519-CH519</f>
        <v>0</v>
      </c>
      <c r="CZ519" s="117" t="s">
        <v>548</v>
      </c>
      <c r="DA519" s="113" t="n">
        <f aca="false" ca="true" dt2D="false" dtr="false" t="normal">SUBTOTAL(9, DB519:DP519)</f>
        <v>15012592.61</v>
      </c>
      <c r="DB519" s="106" t="n">
        <v>10667268.66</v>
      </c>
      <c r="DC519" s="114" t="n">
        <v>0</v>
      </c>
      <c r="DD519" s="114" t="n">
        <v>0</v>
      </c>
      <c r="DE519" s="114" t="n">
        <v>4345323.95</v>
      </c>
      <c r="DF519" s="114" t="n">
        <v>0</v>
      </c>
      <c r="DG519" s="114" t="n"/>
      <c r="DH519" s="106" t="n"/>
      <c r="DI519" s="114" t="n">
        <v>0</v>
      </c>
      <c r="DJ519" s="114" t="n">
        <v>0</v>
      </c>
      <c r="DK519" s="114" t="n">
        <v>0</v>
      </c>
      <c r="DL519" s="114" t="n">
        <v>0</v>
      </c>
      <c r="DM519" s="114" t="n">
        <v>0</v>
      </c>
      <c r="DN519" s="114" t="n"/>
      <c r="DO519" s="114" t="n"/>
      <c r="DP519" s="240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</row>
    <row customFormat="true" hidden="false" ht="15" outlineLevel="0" r="520" s="1">
      <c r="A520" s="183" t="n">
        <f aca="false" ca="false" dt2D="false" dtr="false" t="normal">+A519+1</f>
        <v>498</v>
      </c>
      <c r="B520" s="117" t="n">
        <f aca="false" ca="false" dt2D="false" dtr="false" t="normal">+B519+1</f>
        <v>39</v>
      </c>
      <c r="C520" s="104" t="s">
        <v>78</v>
      </c>
      <c r="D520" s="104" t="s">
        <v>549</v>
      </c>
      <c r="E520" s="105" t="n">
        <v>1984</v>
      </c>
      <c r="F520" s="105" t="n">
        <v>2012</v>
      </c>
      <c r="G520" s="105" t="s">
        <v>68</v>
      </c>
      <c r="H520" s="105" t="n">
        <v>5</v>
      </c>
      <c r="I520" s="105" t="n">
        <v>2</v>
      </c>
      <c r="J520" s="106" t="n">
        <v>4407.85</v>
      </c>
      <c r="K520" s="106" t="n">
        <v>2910.8</v>
      </c>
      <c r="L520" s="106" t="n">
        <v>859.6</v>
      </c>
      <c r="M520" s="107" t="n">
        <v>176</v>
      </c>
      <c r="N520" s="108" t="n">
        <f aca="false" ca="false" dt2D="false" dtr="false" t="normal">SUM(P520:T520)</f>
        <v>20737032.79</v>
      </c>
      <c r="O520" s="106" t="n"/>
      <c r="P520" s="113" t="n">
        <v>453049.84</v>
      </c>
      <c r="Q520" s="114" t="n"/>
      <c r="R520" s="113" t="n">
        <v>1917627.07</v>
      </c>
      <c r="S520" s="113" t="n">
        <v>16553013.43</v>
      </c>
      <c r="T520" s="113" t="n">
        <v>1813342.45</v>
      </c>
      <c r="U520" s="114" t="n">
        <v>7279.96073175759</v>
      </c>
      <c r="V520" s="114" t="n">
        <v>1192.283020064</v>
      </c>
      <c r="W520" s="110" t="n">
        <v>2024</v>
      </c>
      <c r="X520" s="9" t="e">
        <f aca="false" ca="false" dt2D="false" dtr="false" t="normal">+#REF!-'[9]Приложение №1'!$P926</f>
        <v>#REF!</v>
      </c>
      <c r="Z520" s="113" t="n">
        <f aca="false" ca="false" dt2D="false" dtr="false" t="normal">SUM(AA520:AO520)</f>
        <v>17771005.920376763</v>
      </c>
      <c r="AA520" s="106" t="n">
        <v>0</v>
      </c>
      <c r="AB520" s="106" t="n">
        <v>0</v>
      </c>
      <c r="AC520" s="106" t="n">
        <v>0</v>
      </c>
      <c r="AD520" s="106" t="n">
        <v>0</v>
      </c>
      <c r="AE520" s="106" t="n">
        <v>0</v>
      </c>
      <c r="AF520" s="106" t="n"/>
      <c r="AG520" s="106" t="n">
        <v>0</v>
      </c>
      <c r="AH520" s="106" t="n">
        <v>0</v>
      </c>
      <c r="AI520" s="106" t="n">
        <v>0</v>
      </c>
      <c r="AJ520" s="106" t="n">
        <v>0</v>
      </c>
      <c r="AK520" s="106" t="n">
        <v>17217505.8683787</v>
      </c>
      <c r="AL520" s="106" t="n">
        <v>0</v>
      </c>
      <c r="AM520" s="1" t="n">
        <v>152988.07</v>
      </c>
      <c r="AN520" s="106" t="n">
        <v>24000</v>
      </c>
      <c r="AO520" s="115" t="n">
        <v>376511.981998064</v>
      </c>
      <c r="AP520" s="112" t="n">
        <f aca="false" ca="false" dt2D="false" dtr="false" t="normal">+N520-'Приложение №2'!E520</f>
        <v>0</v>
      </c>
      <c r="AQ520" s="1" t="n">
        <f aca="false" ca="false" dt2D="false" dtr="false" t="normal">2730203.82-1308449.75</f>
        <v>1421754.0699999998</v>
      </c>
      <c r="AR520" s="3" t="n">
        <f aca="false" ca="false" dt2D="false" dtr="false" t="normal">+(K520*10.5+L520*21)*12*0.85</f>
        <v>495873</v>
      </c>
      <c r="AS520" s="3" t="n">
        <f aca="false" ca="false" dt2D="false" dtr="false" t="normal">+(K520*10.5+L520*21)*12*30-948386.57</f>
        <v>16553013.43</v>
      </c>
      <c r="AT520" s="9" t="n">
        <f aca="false" ca="false" dt2D="false" dtr="false" t="normal">+S520-AS520</f>
        <v>0</v>
      </c>
      <c r="AU520" s="9" t="e">
        <f aca="false" ca="false" dt2D="false" dtr="false" t="normal">+P520-'[5]Приложение №1'!$P478</f>
        <v>#REF!</v>
      </c>
      <c r="AV520" s="9" t="e">
        <f aca="false" ca="false" dt2D="false" dtr="false" t="normal">+Q520-'[5]Приложение №1'!$Q478</f>
        <v>#REF!</v>
      </c>
      <c r="AW520" s="186" t="n">
        <f aca="false" ca="true" dt2D="false" dtr="false" t="normal">SUBTOTAL(9, AX520:BL520)</f>
        <v>21190509.698</v>
      </c>
      <c r="AX520" s="106" t="n">
        <v>0</v>
      </c>
      <c r="AY520" s="106" t="n">
        <v>0</v>
      </c>
      <c r="AZ520" s="106" t="n">
        <v>0</v>
      </c>
      <c r="BA520" s="106" t="n">
        <v>0</v>
      </c>
      <c r="BB520" s="106" t="n">
        <v>0</v>
      </c>
      <c r="BC520" s="106" t="n"/>
      <c r="BD520" s="106" t="n"/>
      <c r="BE520" s="106" t="n">
        <v>0</v>
      </c>
      <c r="BF520" s="106" t="n">
        <v>0</v>
      </c>
      <c r="BG520" s="106" t="n">
        <v>0</v>
      </c>
      <c r="BH520" s="106" t="n">
        <v>20737032.7904628</v>
      </c>
      <c r="BI520" s="106" t="n">
        <v>0</v>
      </c>
      <c r="BK520" s="106" t="n"/>
      <c r="BL520" s="115" t="n">
        <v>453476.9075372</v>
      </c>
      <c r="BM520" s="186" t="n">
        <f aca="false" ca="true" dt2D="false" dtr="false" t="normal">SUBTOTAL(9, BN520:CB520)</f>
        <v>21190509.698</v>
      </c>
      <c r="BN520" s="106" t="n">
        <v>0</v>
      </c>
      <c r="BO520" s="106" t="n">
        <v>0</v>
      </c>
      <c r="BP520" s="106" t="n">
        <v>0</v>
      </c>
      <c r="BQ520" s="106" t="n">
        <v>0</v>
      </c>
      <c r="BR520" s="106" t="n">
        <v>0</v>
      </c>
      <c r="BS520" s="106" t="n"/>
      <c r="BT520" s="106" t="n"/>
      <c r="BU520" s="106" t="n">
        <v>0</v>
      </c>
      <c r="BV520" s="106" t="n">
        <v>0</v>
      </c>
      <c r="BW520" s="106" t="n">
        <v>0</v>
      </c>
      <c r="BX520" s="106" t="n">
        <v>20737032.7904628</v>
      </c>
      <c r="BY520" s="106" t="n">
        <v>0</v>
      </c>
      <c r="CA520" s="106" t="n"/>
      <c r="CB520" s="115" t="n">
        <v>453476.9075372</v>
      </c>
      <c r="CD520" s="116" t="n">
        <f aca="false" ca="false" dt2D="false" dtr="false" t="normal">+CD519+1</f>
        <v>498</v>
      </c>
      <c r="CE520" s="117" t="n">
        <f aca="false" ca="false" dt2D="false" dtr="false" t="normal">+CE519+1</f>
        <v>39</v>
      </c>
      <c r="CF520" s="104" t="s">
        <v>78</v>
      </c>
      <c r="CG520" s="117" t="s">
        <v>549</v>
      </c>
      <c r="CH520" s="108" t="n">
        <f aca="false" ca="true" dt2D="false" dtr="false" t="normal">SUBTOTAL(9, CI520:CW520)</f>
        <v>20737032.79</v>
      </c>
      <c r="CI520" s="106" t="n">
        <v>0</v>
      </c>
      <c r="CJ520" s="114" t="n">
        <v>0</v>
      </c>
      <c r="CK520" s="114" t="n">
        <v>0</v>
      </c>
      <c r="CL520" s="114" t="n">
        <v>0</v>
      </c>
      <c r="CM520" s="114" t="n">
        <v>0</v>
      </c>
      <c r="CN520" s="114" t="n"/>
      <c r="CO520" s="106" t="n"/>
      <c r="CP520" s="114" t="n">
        <v>0</v>
      </c>
      <c r="CQ520" s="114" t="n">
        <v>0</v>
      </c>
      <c r="CR520" s="114" t="n">
        <v>0</v>
      </c>
      <c r="CS520" s="114" t="n">
        <v>20737032.79</v>
      </c>
      <c r="CT520" s="114" t="n">
        <v>0</v>
      </c>
      <c r="CU520" s="114" t="n"/>
      <c r="CV520" s="114" t="n"/>
      <c r="CW520" s="115" t="n"/>
      <c r="CX520" s="3" t="n">
        <f aca="false" ca="false" dt2D="false" dtr="false" t="normal">+N520-CH520</f>
        <v>0</v>
      </c>
      <c r="CZ520" s="117" t="s">
        <v>549</v>
      </c>
      <c r="DA520" s="113" t="n">
        <f aca="false" ca="true" dt2D="false" dtr="false" t="normal">SUBTOTAL(9, DB520:DP520)</f>
        <v>20737032.79</v>
      </c>
      <c r="DB520" s="106" t="n">
        <v>0</v>
      </c>
      <c r="DC520" s="114" t="n">
        <v>0</v>
      </c>
      <c r="DD520" s="114" t="n">
        <v>0</v>
      </c>
      <c r="DE520" s="114" t="n">
        <v>0</v>
      </c>
      <c r="DF520" s="114" t="n">
        <v>0</v>
      </c>
      <c r="DG520" s="114" t="n"/>
      <c r="DH520" s="106" t="n"/>
      <c r="DI520" s="114" t="n">
        <v>0</v>
      </c>
      <c r="DJ520" s="114" t="n">
        <v>0</v>
      </c>
      <c r="DK520" s="114" t="n">
        <v>0</v>
      </c>
      <c r="DL520" s="114" t="n">
        <v>20737032.79</v>
      </c>
      <c r="DM520" s="114" t="n">
        <v>0</v>
      </c>
      <c r="DN520" s="114" t="n"/>
      <c r="DO520" s="114" t="n"/>
      <c r="DP520" s="240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</row>
    <row customFormat="true" hidden="false" ht="15" outlineLevel="0" r="521" s="1">
      <c r="A521" s="183" t="n">
        <f aca="false" ca="false" dt2D="false" dtr="false" t="normal">+A520+1</f>
        <v>499</v>
      </c>
      <c r="B521" s="117" t="n">
        <f aca="false" ca="false" dt2D="false" dtr="false" t="normal">+B520+1</f>
        <v>40</v>
      </c>
      <c r="C521" s="104" t="s">
        <v>78</v>
      </c>
      <c r="D521" s="104" t="s">
        <v>550</v>
      </c>
      <c r="E521" s="105" t="n">
        <v>1988</v>
      </c>
      <c r="F521" s="105" t="n">
        <v>2016</v>
      </c>
      <c r="G521" s="105" t="s">
        <v>68</v>
      </c>
      <c r="H521" s="105" t="n">
        <v>5</v>
      </c>
      <c r="I521" s="105" t="n">
        <v>2</v>
      </c>
      <c r="J521" s="106" t="n">
        <v>4366.2</v>
      </c>
      <c r="K521" s="106" t="n">
        <v>3056.1</v>
      </c>
      <c r="L521" s="106" t="n">
        <v>725.4</v>
      </c>
      <c r="M521" s="107" t="n">
        <v>194</v>
      </c>
      <c r="N521" s="108" t="n">
        <f aca="false" ca="false" dt2D="false" dtr="false" t="normal">SUM(P521:T521)</f>
        <v>4036749.95</v>
      </c>
      <c r="O521" s="106" t="n"/>
      <c r="P521" s="113" t="n">
        <v>1916900.57</v>
      </c>
      <c r="Q521" s="114" t="n"/>
      <c r="R521" s="114" t="n"/>
      <c r="S521" s="113" t="n">
        <v>2119849.38</v>
      </c>
      <c r="T521" s="190" t="n"/>
      <c r="U521" s="114" t="n">
        <v>5190.89946815807</v>
      </c>
      <c r="V521" s="114" t="n">
        <v>1195.283020064</v>
      </c>
      <c r="W521" s="110" t="n">
        <v>2024</v>
      </c>
      <c r="X521" s="9" t="e">
        <f aca="false" ca="false" dt2D="false" dtr="false" t="normal">+#REF!-'[9]Приложение №1'!$P929</f>
        <v>#REF!</v>
      </c>
      <c r="Z521" s="113" t="n">
        <f aca="false" ca="false" dt2D="false" dtr="false" t="normal">SUM(AA521:AO521)</f>
        <v>32902312.260541555</v>
      </c>
      <c r="AA521" s="106" t="n">
        <v>7411972.18900232</v>
      </c>
      <c r="AB521" s="106" t="n">
        <v>0</v>
      </c>
      <c r="AC521" s="106" t="n">
        <v>0</v>
      </c>
      <c r="AD521" s="106" t="n">
        <v>0</v>
      </c>
      <c r="AE521" s="106" t="n">
        <v>0</v>
      </c>
      <c r="AF521" s="106" t="n"/>
      <c r="AG521" s="106" t="n">
        <v>307734.966524114</v>
      </c>
      <c r="AH521" s="106" t="n">
        <v>0</v>
      </c>
      <c r="AI521" s="106" t="n">
        <v>0</v>
      </c>
      <c r="AJ521" s="106" t="n">
        <v>5603434.94285375</v>
      </c>
      <c r="AK521" s="106" t="n">
        <v>15524420.2363346</v>
      </c>
      <c r="AL521" s="106" t="n">
        <v>0</v>
      </c>
      <c r="AM521" s="106" t="n">
        <v>3094889.04115013</v>
      </c>
      <c r="AN521" s="114" t="n">
        <v>329023.122605416</v>
      </c>
      <c r="AO521" s="115" t="n">
        <v>630837.762071221</v>
      </c>
      <c r="AP521" s="112" t="n">
        <f aca="false" ca="false" dt2D="false" dtr="false" t="normal">+N521-'Приложение №2'!E521</f>
        <v>0</v>
      </c>
      <c r="AQ521" s="121" t="n">
        <v>2495551.27</v>
      </c>
      <c r="AR521" s="3" t="n">
        <f aca="false" ca="false" dt2D="false" dtr="false" t="normal">+(K521*10.5+L521*21)*12*0.85</f>
        <v>482688.98999999993</v>
      </c>
      <c r="AS521" s="3" t="n">
        <f aca="false" ca="false" dt2D="false" dtr="false" t="normal">+(K521*10.5+L521*21)*12*30</f>
        <v>17036081.999999996</v>
      </c>
      <c r="AT521" s="9" t="n">
        <f aca="false" ca="false" dt2D="false" dtr="false" t="normal">+S521-AS521</f>
        <v>-14916232.619999997</v>
      </c>
      <c r="AU521" s="9" t="e">
        <f aca="false" ca="false" dt2D="false" dtr="false" t="normal">+P521-'[5]Приложение №1'!$P481</f>
        <v>#REF!</v>
      </c>
      <c r="AV521" s="9" t="e">
        <f aca="false" ca="false" dt2D="false" dtr="false" t="normal">+Q521-'[5]Приложение №1'!$Q481</f>
        <v>#REF!</v>
      </c>
      <c r="AW521" s="186" t="n">
        <f aca="false" ca="true" dt2D="false" dtr="false" t="normal">SUBTOTAL(9, AX521:BL521)</f>
        <v>15863907.86463785</v>
      </c>
      <c r="AX521" s="106" t="n"/>
      <c r="AY521" s="106" t="n">
        <v>0</v>
      </c>
      <c r="AZ521" s="106" t="n">
        <v>0</v>
      </c>
      <c r="BA521" s="106" t="n">
        <v>0</v>
      </c>
      <c r="BB521" s="106" t="n">
        <v>0</v>
      </c>
      <c r="BC521" s="106" t="n"/>
      <c r="BD521" s="106" t="n"/>
      <c r="BE521" s="106" t="n"/>
      <c r="BF521" s="106" t="n"/>
      <c r="BG521" s="106" t="n"/>
      <c r="BH521" s="106" t="n">
        <v>15524420.2363346</v>
      </c>
      <c r="BI521" s="106" t="n">
        <v>0</v>
      </c>
      <c r="BJ521" s="106" t="n"/>
      <c r="BK521" s="114" t="n"/>
      <c r="BL521" s="187" t="n">
        <v>339487.62830325</v>
      </c>
      <c r="BM521" s="186" t="n">
        <f aca="false" ca="true" dt2D="false" dtr="false" t="normal">SUBTOTAL(9, BN521:CB521)</f>
        <v>15863907.86463785</v>
      </c>
      <c r="BN521" s="106" t="n"/>
      <c r="BO521" s="106" t="n">
        <v>0</v>
      </c>
      <c r="BP521" s="106" t="n">
        <v>0</v>
      </c>
      <c r="BQ521" s="106" t="n">
        <v>0</v>
      </c>
      <c r="BR521" s="106" t="n">
        <v>0</v>
      </c>
      <c r="BS521" s="106" t="n"/>
      <c r="BT521" s="106" t="n"/>
      <c r="BU521" s="106" t="n"/>
      <c r="BV521" s="106" t="n"/>
      <c r="BW521" s="106" t="n"/>
      <c r="BX521" s="106" t="n">
        <v>15524420.2363346</v>
      </c>
      <c r="BY521" s="106" t="n">
        <v>0</v>
      </c>
      <c r="BZ521" s="106" t="n"/>
      <c r="CA521" s="114" t="n"/>
      <c r="CB521" s="115" t="n">
        <v>339487.62830325</v>
      </c>
      <c r="CD521" s="116" t="n">
        <f aca="false" ca="false" dt2D="false" dtr="false" t="normal">+CD520+1</f>
        <v>499</v>
      </c>
      <c r="CE521" s="117" t="n">
        <f aca="false" ca="false" dt2D="false" dtr="false" t="normal">+CE520+1</f>
        <v>40</v>
      </c>
      <c r="CF521" s="104" t="s">
        <v>78</v>
      </c>
      <c r="CG521" s="117" t="s">
        <v>550</v>
      </c>
      <c r="CH521" s="108" t="n">
        <f aca="false" ca="true" dt2D="false" dtr="false" t="normal">SUBTOTAL(9, CI521:CW521)</f>
        <v>4331012.69</v>
      </c>
      <c r="CI521" s="106" t="n"/>
      <c r="CJ521" s="114" t="n">
        <v>0</v>
      </c>
      <c r="CK521" s="114" t="n">
        <v>0</v>
      </c>
      <c r="CL521" s="114" t="n">
        <v>0</v>
      </c>
      <c r="CM521" s="114" t="n">
        <v>0</v>
      </c>
      <c r="CN521" s="114" t="n"/>
      <c r="CO521" s="106" t="n"/>
      <c r="CP521" s="114" t="n"/>
      <c r="CQ521" s="114" t="n"/>
      <c r="CR521" s="114" t="n"/>
      <c r="CS521" s="114" t="n">
        <v>3991525.06</v>
      </c>
      <c r="CT521" s="114" t="n">
        <v>0</v>
      </c>
      <c r="CU521" s="114" t="n"/>
      <c r="CV521" s="114" t="n"/>
      <c r="CW521" s="115" t="n">
        <v>339487.63</v>
      </c>
      <c r="CX521" s="3" t="n">
        <f aca="false" ca="false" dt2D="false" dtr="false" t="normal">+N521-CH521</f>
        <v>-294262.7400000002</v>
      </c>
      <c r="CZ521" s="117" t="s">
        <v>550</v>
      </c>
      <c r="DA521" s="113" t="n">
        <f aca="false" ca="true" dt2D="false" dtr="false" t="normal">SUBTOTAL(9, DB521:DP521)</f>
        <v>4036749.9485</v>
      </c>
      <c r="DB521" s="106" t="n"/>
      <c r="DC521" s="114" t="n">
        <v>0</v>
      </c>
      <c r="DD521" s="114" t="n">
        <v>0</v>
      </c>
      <c r="DE521" s="114" t="n">
        <v>0</v>
      </c>
      <c r="DF521" s="114" t="n">
        <v>0</v>
      </c>
      <c r="DG521" s="114" t="n"/>
      <c r="DH521" s="106" t="n"/>
      <c r="DI521" s="114" t="n"/>
      <c r="DJ521" s="114" t="n"/>
      <c r="DK521" s="114" t="n"/>
      <c r="DL521" s="114" t="n">
        <v>3991525.06</v>
      </c>
      <c r="DM521" s="114" t="n">
        <v>0</v>
      </c>
      <c r="DN521" s="114" t="n"/>
      <c r="DO521" s="114" t="n"/>
      <c r="DP521" s="115" t="n">
        <f aca="false" ca="false" dt2D="false" dtr="false" t="normal">39325.99*1.15</f>
        <v>45224.888499999994</v>
      </c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</row>
    <row customFormat="true" hidden="false" ht="15" outlineLevel="0" r="522" s="1">
      <c r="A522" s="183" t="n">
        <f aca="false" ca="false" dt2D="false" dtr="false" t="normal">+A521+1</f>
        <v>500</v>
      </c>
      <c r="B522" s="117" t="n">
        <f aca="false" ca="false" dt2D="false" dtr="false" t="normal">+B521+1</f>
        <v>41</v>
      </c>
      <c r="C522" s="104" t="s">
        <v>78</v>
      </c>
      <c r="D522" s="104" t="s">
        <v>551</v>
      </c>
      <c r="E522" s="105" t="n">
        <v>1984</v>
      </c>
      <c r="F522" s="105" t="n">
        <v>2017</v>
      </c>
      <c r="G522" s="105" t="s">
        <v>68</v>
      </c>
      <c r="H522" s="105" t="n">
        <v>5</v>
      </c>
      <c r="I522" s="105" t="n">
        <v>5</v>
      </c>
      <c r="J522" s="106" t="n">
        <v>5852.2</v>
      </c>
      <c r="K522" s="106" t="n">
        <v>4921.1</v>
      </c>
      <c r="L522" s="106" t="n">
        <v>51.7</v>
      </c>
      <c r="M522" s="107" t="n">
        <v>171</v>
      </c>
      <c r="N522" s="108" t="n">
        <f aca="false" ca="false" dt2D="false" dtr="false" t="normal">SUM(P522:T522)</f>
        <v>3888213.41</v>
      </c>
      <c r="O522" s="106" t="n"/>
      <c r="P522" s="114" t="n"/>
      <c r="Q522" s="114" t="n"/>
      <c r="R522" s="113" t="n">
        <v>1586967.39</v>
      </c>
      <c r="S522" s="113" t="n">
        <v>2301246.02</v>
      </c>
      <c r="T522" s="114" t="n"/>
      <c r="U522" s="106" t="n">
        <v>789.346704631969</v>
      </c>
      <c r="V522" s="106" t="n">
        <v>789.346704631969</v>
      </c>
      <c r="W522" s="110" t="n">
        <v>2024</v>
      </c>
      <c r="X522" s="9" t="e">
        <f aca="false" ca="false" dt2D="false" dtr="false" t="normal">+#REF!-'[9]Приложение №1'!$P566</f>
        <v>#REF!</v>
      </c>
      <c r="Z522" s="113" t="n">
        <f aca="false" ca="false" dt2D="false" dtr="false" t="normal">SUM(AA522:AO522)</f>
        <v>4410408.194150402</v>
      </c>
      <c r="AA522" s="106" t="n">
        <v>0</v>
      </c>
      <c r="AB522" s="106" t="n">
        <v>0</v>
      </c>
      <c r="AC522" s="106" t="n">
        <v>3841262.65832807</v>
      </c>
      <c r="AD522" s="106" t="n">
        <v>0</v>
      </c>
      <c r="AE522" s="106" t="n">
        <v>0</v>
      </c>
      <c r="AF522" s="106" t="n"/>
      <c r="AG522" s="106" t="n">
        <v>0</v>
      </c>
      <c r="AH522" s="106" t="n">
        <v>0</v>
      </c>
      <c r="AI522" s="106" t="n">
        <v>0</v>
      </c>
      <c r="AJ522" s="106" t="n">
        <v>0</v>
      </c>
      <c r="AK522" s="106" t="n">
        <v>0</v>
      </c>
      <c r="AL522" s="106" t="n">
        <v>0</v>
      </c>
      <c r="AM522" s="106" t="n">
        <v>441040.81941504</v>
      </c>
      <c r="AN522" s="114" t="n">
        <v>44104.081941504</v>
      </c>
      <c r="AO522" s="115" t="n">
        <v>84000.6344657885</v>
      </c>
      <c r="AP522" s="112" t="n">
        <f aca="false" ca="false" dt2D="false" dtr="false" t="normal">+N522-'Приложение №2'!E522</f>
        <v>0</v>
      </c>
      <c r="AQ522" s="1" t="n">
        <f aca="false" ca="false" dt2D="false" dtr="false" t="normal">2251183.06-1176714.67</f>
        <v>1074468.3900000001</v>
      </c>
      <c r="AR522" s="3" t="n">
        <f aca="false" ca="false" dt2D="false" dtr="false" t="normal">+(K522*10+L522*20)*12*0.85</f>
        <v>512499</v>
      </c>
      <c r="AS522" s="3" t="n">
        <f aca="false" ca="false" dt2D="false" dtr="false" t="normal">+(K522*10+L522*20)*12*30</f>
        <v>18088200</v>
      </c>
      <c r="AT522" s="9" t="n">
        <f aca="false" ca="false" dt2D="false" dtr="false" t="normal">+S522-AS522</f>
        <v>-15786953.98</v>
      </c>
      <c r="AU522" s="9" t="e">
        <f aca="false" ca="false" dt2D="false" dtr="false" t="normal">+P522-'[5]Приложение №1'!$P229</f>
        <v>#REF!</v>
      </c>
      <c r="AV522" s="9" t="e">
        <f aca="false" ca="false" dt2D="false" dtr="false" t="normal">+Q522-'[5]Приложение №1'!$Q229</f>
        <v>#REF!</v>
      </c>
      <c r="AW522" s="113" t="n">
        <f aca="false" ca="true" dt2D="false" dtr="false" t="normal">SUBTOTAL(9, AX522:BL522)</f>
        <v>3925263.2927938583</v>
      </c>
      <c r="AX522" s="106" t="n">
        <v>0</v>
      </c>
      <c r="AY522" s="106" t="n">
        <v>0</v>
      </c>
      <c r="AZ522" s="106" t="n">
        <v>3841262.65832807</v>
      </c>
      <c r="BA522" s="106" t="n">
        <v>0</v>
      </c>
      <c r="BB522" s="106" t="n">
        <v>0</v>
      </c>
      <c r="BC522" s="106" t="n"/>
      <c r="BD522" s="106" t="n"/>
      <c r="BE522" s="106" t="n">
        <v>0</v>
      </c>
      <c r="BF522" s="106" t="n">
        <v>0</v>
      </c>
      <c r="BG522" s="106" t="n">
        <v>0</v>
      </c>
      <c r="BH522" s="106" t="n">
        <v>0</v>
      </c>
      <c r="BI522" s="106" t="n">
        <v>0</v>
      </c>
      <c r="BJ522" s="106" t="n"/>
      <c r="BK522" s="114" t="n"/>
      <c r="BL522" s="115" t="n">
        <v>84000.6344657885</v>
      </c>
      <c r="BM522" s="113" t="n">
        <f aca="false" ca="true" dt2D="false" dtr="false" t="normal">SUBTOTAL(9, BN522:CB522)</f>
        <v>3925263.2927938583</v>
      </c>
      <c r="BN522" s="106" t="n">
        <v>0</v>
      </c>
      <c r="BO522" s="106" t="n">
        <v>0</v>
      </c>
      <c r="BP522" s="106" t="n">
        <v>3841262.65832807</v>
      </c>
      <c r="BQ522" s="106" t="n">
        <v>0</v>
      </c>
      <c r="BR522" s="106" t="n">
        <v>0</v>
      </c>
      <c r="BS522" s="106" t="n"/>
      <c r="BT522" s="106" t="n"/>
      <c r="BU522" s="106" t="n">
        <v>0</v>
      </c>
      <c r="BV522" s="106" t="n">
        <v>0</v>
      </c>
      <c r="BW522" s="106" t="n">
        <v>0</v>
      </c>
      <c r="BX522" s="106" t="n">
        <v>0</v>
      </c>
      <c r="BY522" s="106" t="n">
        <v>0</v>
      </c>
      <c r="BZ522" s="106" t="n"/>
      <c r="CA522" s="114" t="n"/>
      <c r="CB522" s="115" t="n">
        <v>84000.6344657885</v>
      </c>
      <c r="CD522" s="116" t="n">
        <f aca="false" ca="false" dt2D="false" dtr="false" t="normal">+CD521+1</f>
        <v>500</v>
      </c>
      <c r="CE522" s="117" t="n">
        <f aca="false" ca="false" dt2D="false" dtr="false" t="normal">+CE521+1</f>
        <v>41</v>
      </c>
      <c r="CF522" s="104" t="s">
        <v>78</v>
      </c>
      <c r="CG522" s="117" t="s">
        <v>551</v>
      </c>
      <c r="CH522" s="108" t="n">
        <f aca="false" ca="true" dt2D="false" dtr="false" t="normal">SUBTOTAL(9, CI522:CW522)</f>
        <v>3925263.29</v>
      </c>
      <c r="CI522" s="106" t="n">
        <v>0</v>
      </c>
      <c r="CJ522" s="114" t="n">
        <v>0</v>
      </c>
      <c r="CK522" s="114" t="n">
        <v>3841262.66</v>
      </c>
      <c r="CL522" s="114" t="n">
        <v>0</v>
      </c>
      <c r="CM522" s="114" t="n">
        <v>0</v>
      </c>
      <c r="CN522" s="114" t="n"/>
      <c r="CO522" s="106" t="n"/>
      <c r="CP522" s="114" t="n">
        <v>0</v>
      </c>
      <c r="CQ522" s="114" t="n">
        <v>0</v>
      </c>
      <c r="CR522" s="114" t="n">
        <v>0</v>
      </c>
      <c r="CS522" s="114" t="n">
        <v>0</v>
      </c>
      <c r="CT522" s="114" t="n">
        <v>0</v>
      </c>
      <c r="CU522" s="114" t="n"/>
      <c r="CV522" s="114" t="n"/>
      <c r="CW522" s="115" t="n">
        <v>84000.63</v>
      </c>
      <c r="CX522" s="3" t="n">
        <f aca="false" ca="false" dt2D="false" dtr="false" t="normal">+N522-CH522</f>
        <v>-37049.87999999989</v>
      </c>
      <c r="CZ522" s="117" t="s">
        <v>551</v>
      </c>
      <c r="DA522" s="113" t="n">
        <f aca="false" ca="true" dt2D="false" dtr="false" t="normal">SUBTOTAL(9, DB522:DP522)</f>
        <v>3888213.4110000003</v>
      </c>
      <c r="DB522" s="106" t="n">
        <v>0</v>
      </c>
      <c r="DC522" s="114" t="n">
        <v>0</v>
      </c>
      <c r="DD522" s="114" t="n">
        <v>3841262.66</v>
      </c>
      <c r="DE522" s="114" t="n">
        <v>0</v>
      </c>
      <c r="DF522" s="114" t="n">
        <v>0</v>
      </c>
      <c r="DG522" s="114" t="n"/>
      <c r="DH522" s="106" t="n"/>
      <c r="DI522" s="114" t="n">
        <v>0</v>
      </c>
      <c r="DJ522" s="114" t="n">
        <v>0</v>
      </c>
      <c r="DK522" s="114" t="n">
        <v>0</v>
      </c>
      <c r="DL522" s="114" t="n">
        <v>0</v>
      </c>
      <c r="DM522" s="114" t="n">
        <v>0</v>
      </c>
      <c r="DN522" s="114" t="n"/>
      <c r="DO522" s="114" t="n"/>
      <c r="DP522" s="115" t="n">
        <f aca="false" ca="false" dt2D="false" dtr="false" t="normal">40826.74*1.15</f>
        <v>46950.751</v>
      </c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</row>
    <row customFormat="true" hidden="false" ht="15" outlineLevel="0" r="523" s="1">
      <c r="A523" s="183" t="n">
        <f aca="false" ca="false" dt2D="false" dtr="false" t="normal">+A522+1</f>
        <v>501</v>
      </c>
      <c r="B523" s="117" t="n">
        <f aca="false" ca="false" dt2D="false" dtr="false" t="normal">+B522+1</f>
        <v>42</v>
      </c>
      <c r="C523" s="104" t="s">
        <v>78</v>
      </c>
      <c r="D523" s="104" t="s">
        <v>87</v>
      </c>
      <c r="E523" s="105" t="n">
        <v>1981</v>
      </c>
      <c r="F523" s="105" t="n">
        <v>2016</v>
      </c>
      <c r="G523" s="105" t="s">
        <v>68</v>
      </c>
      <c r="H523" s="105" t="n">
        <v>4</v>
      </c>
      <c r="I523" s="105" t="n">
        <v>3</v>
      </c>
      <c r="J523" s="106" t="n">
        <v>3910.2</v>
      </c>
      <c r="K523" s="106" t="n">
        <v>2017.9</v>
      </c>
      <c r="L523" s="106" t="n">
        <v>997.9</v>
      </c>
      <c r="M523" s="107" t="n">
        <v>113</v>
      </c>
      <c r="N523" s="108" t="n">
        <f aca="false" ca="false" dt2D="false" dtr="false" t="normal">SUM(P523:T523)</f>
        <v>2476321.54</v>
      </c>
      <c r="O523" s="106" t="n"/>
      <c r="P523" s="113" t="n">
        <v>260537.31</v>
      </c>
      <c r="Q523" s="114" t="n"/>
      <c r="R523" s="113" t="n">
        <v>760471.86</v>
      </c>
      <c r="S523" s="113" t="n">
        <v>1455312.37</v>
      </c>
      <c r="T523" s="114" t="n"/>
      <c r="U523" s="114" t="n">
        <v>1518.93394104065</v>
      </c>
      <c r="V523" s="114" t="n">
        <v>1197.283020064</v>
      </c>
      <c r="W523" s="110" t="n">
        <v>2024</v>
      </c>
      <c r="X523" s="9" t="e">
        <f aca="false" ca="false" dt2D="false" dtr="false" t="normal">+#REF!-'[9]Приложение №1'!$P1497</f>
        <v>#REF!</v>
      </c>
      <c r="Z523" s="113" t="n">
        <f aca="false" ca="false" dt2D="false" dtr="false" t="normal">SUM(AA523:AO523)</f>
        <v>33549604.466355488</v>
      </c>
      <c r="AA523" s="106" t="n">
        <v>9163753.05585479</v>
      </c>
      <c r="AB523" s="106" t="n">
        <v>4716823.2</v>
      </c>
      <c r="AC523" s="106" t="n">
        <v>2695930.73160361</v>
      </c>
      <c r="AD523" s="106" t="n">
        <v>0</v>
      </c>
      <c r="AE523" s="106" t="n">
        <v>0</v>
      </c>
      <c r="AF523" s="106" t="n"/>
      <c r="AG523" s="106" t="n">
        <v>295975.888796841</v>
      </c>
      <c r="AH523" s="106" t="n">
        <v>0</v>
      </c>
      <c r="AI523" s="106" t="n">
        <v>13238455.1326721</v>
      </c>
      <c r="AJ523" s="106" t="n">
        <v>0</v>
      </c>
      <c r="AK523" s="106" t="n">
        <v>0</v>
      </c>
      <c r="AL523" s="106" t="n">
        <v>0</v>
      </c>
      <c r="AM523" s="106" t="n">
        <v>2552926.04851368</v>
      </c>
      <c r="AN523" s="114" t="n">
        <v>295470.267540775</v>
      </c>
      <c r="AO523" s="115" t="n">
        <v>590270.141373693</v>
      </c>
      <c r="AP523" s="112" t="n">
        <f aca="false" ca="false" dt2D="false" dtr="false" t="normal">+N523-'Приложение №2'!E523</f>
        <v>0</v>
      </c>
      <c r="AQ523" s="9" t="n">
        <f aca="false" ca="false" dt2D="false" dtr="false" t="normal">1237078.21-R34</f>
        <v>430401.11</v>
      </c>
      <c r="AR523" s="3" t="n">
        <f aca="false" ca="false" dt2D="false" dtr="false" t="normal">+(K523*10.5+L523*21)*12*0.85</f>
        <v>429867.26999999996</v>
      </c>
      <c r="AS523" s="3" t="n">
        <f aca="false" ca="false" dt2D="false" dtr="false" t="normal">+(K523*10.5+L523*21)*12*30-S34</f>
        <v>5857831.519999998</v>
      </c>
      <c r="AT523" s="9" t="n">
        <f aca="false" ca="false" dt2D="false" dtr="false" t="normal">+S523-AS523</f>
        <v>-4402519.149999998</v>
      </c>
      <c r="AU523" s="9" t="e">
        <f aca="false" ca="false" dt2D="false" dtr="false" t="normal">+P523-'[5]Приложение №1'!$P483</f>
        <v>#REF!</v>
      </c>
      <c r="AV523" s="9" t="e">
        <f aca="false" ca="false" dt2D="false" dtr="false" t="normal">+Q523-'[5]Приложение №1'!$Q483</f>
        <v>#REF!</v>
      </c>
      <c r="AW523" s="186" t="n">
        <f aca="false" ca="true" dt2D="false" dtr="false" t="normal">SUBTOTAL(9, AX523:BL523)</f>
        <v>3065056.7996259257</v>
      </c>
      <c r="AX523" s="106" t="n"/>
      <c r="AY523" s="106" t="n"/>
      <c r="AZ523" s="106" t="n">
        <v>2965260.28067668</v>
      </c>
      <c r="BA523" s="106" t="n">
        <v>0</v>
      </c>
      <c r="BB523" s="106" t="n"/>
      <c r="BC523" s="106" t="n"/>
      <c r="BD523" s="106" t="n"/>
      <c r="BE523" s="106" t="n"/>
      <c r="BF523" s="106" t="n"/>
      <c r="BG523" s="106" t="n">
        <v>0</v>
      </c>
      <c r="BH523" s="106" t="n">
        <v>0</v>
      </c>
      <c r="BI523" s="106" t="n">
        <v>0</v>
      </c>
      <c r="BJ523" s="106" t="n"/>
      <c r="BK523" s="114" t="n"/>
      <c r="BL523" s="115" t="n">
        <v>99796.5189492457</v>
      </c>
      <c r="BM523" s="186" t="n">
        <f aca="false" ca="true" dt2D="false" dtr="false" t="normal">SUBTOTAL(9, BN523:CB523)</f>
        <v>3065056.7996259257</v>
      </c>
      <c r="BN523" s="106" t="n"/>
      <c r="BO523" s="106" t="n"/>
      <c r="BP523" s="106" t="n">
        <v>2965260.28067668</v>
      </c>
      <c r="BQ523" s="106" t="n">
        <v>0</v>
      </c>
      <c r="BR523" s="106" t="n"/>
      <c r="BS523" s="106" t="n"/>
      <c r="BT523" s="106" t="n"/>
      <c r="BU523" s="106" t="n"/>
      <c r="BV523" s="106" t="n"/>
      <c r="BW523" s="106" t="n">
        <v>0</v>
      </c>
      <c r="BX523" s="106" t="n">
        <v>0</v>
      </c>
      <c r="BY523" s="106" t="n">
        <v>0</v>
      </c>
      <c r="BZ523" s="106" t="n"/>
      <c r="CA523" s="114" t="n"/>
      <c r="CB523" s="115" t="n">
        <v>99796.5189492457</v>
      </c>
      <c r="CD523" s="116" t="n">
        <f aca="false" ca="false" dt2D="false" dtr="false" t="normal">+CD522+1</f>
        <v>501</v>
      </c>
      <c r="CE523" s="117" t="n">
        <f aca="false" ca="false" dt2D="false" dtr="false" t="normal">+CE522+1</f>
        <v>42</v>
      </c>
      <c r="CF523" s="104" t="s">
        <v>78</v>
      </c>
      <c r="CG523" s="117" t="s">
        <v>87</v>
      </c>
      <c r="CH523" s="108" t="n">
        <f aca="false" ca="true" dt2D="false" dtr="false" t="normal">SUBTOTAL(9, CI523:CW523)</f>
        <v>2576118.06</v>
      </c>
      <c r="CI523" s="106" t="n"/>
      <c r="CJ523" s="114" t="n"/>
      <c r="CK523" s="114" t="n">
        <v>2476321.54</v>
      </c>
      <c r="CL523" s="114" t="n">
        <v>0</v>
      </c>
      <c r="CM523" s="114" t="n"/>
      <c r="CN523" s="114" t="n"/>
      <c r="CO523" s="106" t="n"/>
      <c r="CP523" s="114" t="n"/>
      <c r="CQ523" s="114" t="n"/>
      <c r="CR523" s="114" t="n">
        <v>0</v>
      </c>
      <c r="CS523" s="114" t="n">
        <v>0</v>
      </c>
      <c r="CT523" s="114" t="n">
        <v>0</v>
      </c>
      <c r="CU523" s="114" t="n"/>
      <c r="CV523" s="114" t="n"/>
      <c r="CW523" s="115" t="n">
        <v>99796.52</v>
      </c>
      <c r="CX523" s="3" t="n">
        <f aca="false" ca="false" dt2D="false" dtr="false" t="normal">+N523-CH523</f>
        <v>-99796.52000000002</v>
      </c>
      <c r="CZ523" s="117" t="s">
        <v>87</v>
      </c>
      <c r="DA523" s="113" t="n">
        <f aca="false" ca="true" dt2D="false" dtr="false" t="normal">SUBTOTAL(9, DB523:DP523)</f>
        <v>2476321.54</v>
      </c>
      <c r="DB523" s="106" t="n"/>
      <c r="DC523" s="114" t="n"/>
      <c r="DD523" s="114" t="n">
        <v>2476321.54</v>
      </c>
      <c r="DE523" s="114" t="n">
        <v>0</v>
      </c>
      <c r="DF523" s="114" t="n"/>
      <c r="DG523" s="114" t="n"/>
      <c r="DH523" s="106" t="n"/>
      <c r="DI523" s="114" t="n"/>
      <c r="DJ523" s="114" t="n"/>
      <c r="DK523" s="114" t="n">
        <v>0</v>
      </c>
      <c r="DL523" s="114" t="n">
        <v>0</v>
      </c>
      <c r="DM523" s="114" t="n">
        <v>0</v>
      </c>
      <c r="DN523" s="114" t="n"/>
      <c r="DO523" s="114" t="n"/>
      <c r="DP523" s="240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</row>
    <row customFormat="true" hidden="false" ht="15" outlineLevel="0" r="524" s="1">
      <c r="A524" s="183" t="n">
        <f aca="false" ca="false" dt2D="false" dtr="false" t="normal">+A523+1</f>
        <v>502</v>
      </c>
      <c r="B524" s="117" t="n">
        <f aca="false" ca="false" dt2D="false" dtr="false" t="normal">+B523+1</f>
        <v>43</v>
      </c>
      <c r="C524" s="104" t="s">
        <v>78</v>
      </c>
      <c r="D524" s="104" t="s">
        <v>552</v>
      </c>
      <c r="E524" s="105" t="n">
        <v>1992</v>
      </c>
      <c r="F524" s="105" t="n">
        <v>2012</v>
      </c>
      <c r="G524" s="105" t="s">
        <v>68</v>
      </c>
      <c r="H524" s="105" t="n">
        <v>9</v>
      </c>
      <c r="I524" s="105" t="n">
        <v>1</v>
      </c>
      <c r="J524" s="106" t="n">
        <v>2875.6</v>
      </c>
      <c r="K524" s="106" t="n">
        <v>2204.5</v>
      </c>
      <c r="L524" s="106" t="n">
        <v>292.8</v>
      </c>
      <c r="M524" s="107" t="n">
        <v>65</v>
      </c>
      <c r="N524" s="108" t="n">
        <f aca="false" ca="false" dt2D="false" dtr="false" t="normal">SUM(P524:T524)</f>
        <v>7116553.68</v>
      </c>
      <c r="O524" s="106" t="n"/>
      <c r="P524" s="114" t="n">
        <v>0</v>
      </c>
      <c r="Q524" s="114" t="n"/>
      <c r="R524" s="113" t="n">
        <v>2284590.51</v>
      </c>
      <c r="S524" s="113" t="n">
        <v>4831963.17</v>
      </c>
      <c r="T524" s="114" t="n">
        <v>0</v>
      </c>
      <c r="U524" s="114" t="n">
        <v>3446.02235929589</v>
      </c>
      <c r="V524" s="114" t="n">
        <v>1198.283020064</v>
      </c>
      <c r="W524" s="110" t="n">
        <v>2024</v>
      </c>
      <c r="X524" s="9" t="e">
        <f aca="false" ca="false" dt2D="false" dtr="false" t="normal">+#REF!-'[9]Приложение №1'!$P941</f>
        <v>#REF!</v>
      </c>
      <c r="Z524" s="113" t="n">
        <f aca="false" ca="false" dt2D="false" dtr="false" t="normal">SUM(AA524:AO524)</f>
        <v>8952042.056493742</v>
      </c>
      <c r="AA524" s="106" t="n">
        <v>5934192.47136837</v>
      </c>
      <c r="AB524" s="106" t="n">
        <v>0</v>
      </c>
      <c r="AC524" s="106" t="n">
        <v>1753610.85076062</v>
      </c>
      <c r="AD524" s="106" t="n">
        <v>0</v>
      </c>
      <c r="AE524" s="106" t="n">
        <v>0</v>
      </c>
      <c r="AF524" s="106" t="n"/>
      <c r="AG524" s="106" t="n">
        <v>263647.888928099</v>
      </c>
      <c r="AH524" s="106" t="n">
        <v>0</v>
      </c>
      <c r="AI524" s="106" t="n">
        <v>0</v>
      </c>
      <c r="AJ524" s="106" t="n">
        <v>0</v>
      </c>
      <c r="AK524" s="106" t="n">
        <v>0</v>
      </c>
      <c r="AL524" s="106" t="n">
        <v>0</v>
      </c>
      <c r="AM524" s="106" t="n">
        <v>737188.291296588</v>
      </c>
      <c r="AN524" s="114" t="n">
        <v>89520.4205649374</v>
      </c>
      <c r="AO524" s="115" t="n">
        <v>173882.133575129</v>
      </c>
      <c r="AP524" s="112" t="n">
        <f aca="false" ca="false" dt2D="false" dtr="false" t="normal">+N524-'Приложение №2'!E524</f>
        <v>0</v>
      </c>
      <c r="AQ524" s="121" t="n">
        <v>1900280.06</v>
      </c>
      <c r="AR524" s="3" t="n">
        <f aca="false" ca="false" dt2D="false" dtr="false" t="normal">+(K524*13.95+L524*23.65)*12*0.85</f>
        <v>384310.44899999996</v>
      </c>
      <c r="AS524" s="3" t="n">
        <f aca="false" ca="false" dt2D="false" dtr="false" t="normal">+(K524*13.95+L524*23.65)*12*30</f>
        <v>13563898.2</v>
      </c>
      <c r="AT524" s="9" t="n">
        <f aca="false" ca="false" dt2D="false" dtr="false" t="normal">+S524-AS524</f>
        <v>-8731935.03</v>
      </c>
      <c r="AU524" s="9" t="e">
        <f aca="false" ca="false" dt2D="false" dtr="false" t="normal">+P524-'[5]Приложение №1'!$P484</f>
        <v>#REF!</v>
      </c>
      <c r="AV524" s="9" t="e">
        <f aca="false" ca="false" dt2D="false" dtr="false" t="normal">+Q524-'[5]Приложение №1'!$Q484</f>
        <v>#REF!</v>
      </c>
      <c r="AW524" s="186" t="n">
        <f aca="false" ca="true" dt2D="false" dtr="false" t="normal">SUBTOTAL(9, AX524:BL524)</f>
        <v>7596756.291067795</v>
      </c>
      <c r="AX524" s="106" t="n">
        <v>7116553.6781661</v>
      </c>
      <c r="AY524" s="106" t="n">
        <v>0</v>
      </c>
      <c r="AZ524" s="106" t="n">
        <v>0</v>
      </c>
      <c r="BA524" s="106" t="n">
        <v>0</v>
      </c>
      <c r="BB524" s="106" t="n">
        <v>0</v>
      </c>
      <c r="BC524" s="106" t="n"/>
      <c r="BD524" s="106" t="n">
        <v>317632.028272844</v>
      </c>
      <c r="BE524" s="106" t="n">
        <v>0</v>
      </c>
      <c r="BF524" s="106" t="n">
        <v>0</v>
      </c>
      <c r="BG524" s="106" t="n">
        <v>0</v>
      </c>
      <c r="BH524" s="106" t="n">
        <v>0</v>
      </c>
      <c r="BI524" s="106" t="n">
        <v>0</v>
      </c>
      <c r="BJ524" s="106" t="n"/>
      <c r="BK524" s="114" t="n"/>
      <c r="BL524" s="115" t="n">
        <v>162570.584628851</v>
      </c>
      <c r="BM524" s="186" t="n">
        <f aca="false" ca="true" dt2D="false" dtr="false" t="normal">SUBTOTAL(9, BN524:CB524)</f>
        <v>7596756.291067795</v>
      </c>
      <c r="BN524" s="106" t="n">
        <v>7116553.6781661</v>
      </c>
      <c r="BO524" s="106" t="n">
        <v>0</v>
      </c>
      <c r="BP524" s="106" t="n">
        <v>0</v>
      </c>
      <c r="BQ524" s="106" t="n">
        <v>0</v>
      </c>
      <c r="BR524" s="106" t="n">
        <v>0</v>
      </c>
      <c r="BS524" s="106" t="n"/>
      <c r="BT524" s="106" t="n">
        <v>317632.028272844</v>
      </c>
      <c r="BU524" s="106" t="n">
        <v>0</v>
      </c>
      <c r="BV524" s="106" t="n">
        <v>0</v>
      </c>
      <c r="BW524" s="106" t="n">
        <v>0</v>
      </c>
      <c r="BX524" s="106" t="n">
        <v>0</v>
      </c>
      <c r="BY524" s="106" t="n">
        <v>0</v>
      </c>
      <c r="BZ524" s="106" t="n"/>
      <c r="CA524" s="114" t="n"/>
      <c r="CB524" s="115" t="n">
        <v>162570.584628851</v>
      </c>
      <c r="CD524" s="116" t="n">
        <f aca="false" ca="false" dt2D="false" dtr="false" t="normal">+CD523+1</f>
        <v>502</v>
      </c>
      <c r="CE524" s="117" t="n">
        <f aca="false" ca="false" dt2D="false" dtr="false" t="normal">+CE523+1</f>
        <v>43</v>
      </c>
      <c r="CF524" s="104" t="s">
        <v>78</v>
      </c>
      <c r="CG524" s="117" t="s">
        <v>552</v>
      </c>
      <c r="CH524" s="108" t="n">
        <f aca="false" ca="true" dt2D="false" dtr="false" t="normal">SUBTOTAL(9, CI524:CW524)</f>
        <v>7116553.68</v>
      </c>
      <c r="CI524" s="106" t="n">
        <v>7116553.68</v>
      </c>
      <c r="CJ524" s="114" t="n">
        <v>0</v>
      </c>
      <c r="CK524" s="114" t="n">
        <v>0</v>
      </c>
      <c r="CL524" s="114" t="n">
        <v>0</v>
      </c>
      <c r="CM524" s="114" t="n">
        <v>0</v>
      </c>
      <c r="CN524" s="114" t="n"/>
      <c r="CO524" s="106" t="n"/>
      <c r="CP524" s="114" t="n">
        <v>0</v>
      </c>
      <c r="CQ524" s="114" t="n">
        <v>0</v>
      </c>
      <c r="CR524" s="114" t="n">
        <v>0</v>
      </c>
      <c r="CS524" s="114" t="n">
        <v>0</v>
      </c>
      <c r="CT524" s="114" t="n">
        <v>0</v>
      </c>
      <c r="CU524" s="114" t="n"/>
      <c r="CV524" s="114" t="n"/>
      <c r="CW524" s="115" t="n"/>
      <c r="CX524" s="3" t="n">
        <f aca="false" ca="false" dt2D="false" dtr="false" t="normal">+N524-CH524</f>
        <v>0</v>
      </c>
      <c r="CZ524" s="117" t="s">
        <v>552</v>
      </c>
      <c r="DA524" s="113" t="n">
        <f aca="false" ca="true" dt2D="false" dtr="false" t="normal">SUBTOTAL(9, DB524:DP524)</f>
        <v>7116553.68</v>
      </c>
      <c r="DB524" s="106" t="n">
        <v>7116553.68</v>
      </c>
      <c r="DC524" s="114" t="n">
        <v>0</v>
      </c>
      <c r="DD524" s="114" t="n">
        <v>0</v>
      </c>
      <c r="DE524" s="114" t="n">
        <v>0</v>
      </c>
      <c r="DF524" s="114" t="n">
        <v>0</v>
      </c>
      <c r="DG524" s="114" t="n"/>
      <c r="DH524" s="106" t="n"/>
      <c r="DI524" s="114" t="n">
        <v>0</v>
      </c>
      <c r="DJ524" s="114" t="n">
        <v>0</v>
      </c>
      <c r="DK524" s="114" t="n">
        <v>0</v>
      </c>
      <c r="DL524" s="114" t="n">
        <v>0</v>
      </c>
      <c r="DM524" s="114" t="n">
        <v>0</v>
      </c>
      <c r="DN524" s="114" t="n"/>
      <c r="DO524" s="114" t="n"/>
      <c r="DP524" s="240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</row>
    <row customFormat="true" hidden="false" ht="15" outlineLevel="0" r="525" s="1">
      <c r="A525" s="183" t="n">
        <f aca="false" ca="false" dt2D="false" dtr="false" t="normal">+A524+1</f>
        <v>503</v>
      </c>
      <c r="B525" s="117" t="n">
        <f aca="false" ca="false" dt2D="false" dtr="false" t="normal">+B524+1</f>
        <v>44</v>
      </c>
      <c r="C525" s="104" t="s">
        <v>78</v>
      </c>
      <c r="D525" s="104" t="s">
        <v>553</v>
      </c>
      <c r="E525" s="105" t="n">
        <v>1991</v>
      </c>
      <c r="F525" s="105" t="n">
        <v>2011</v>
      </c>
      <c r="G525" s="105" t="s">
        <v>68</v>
      </c>
      <c r="H525" s="105" t="n">
        <v>9</v>
      </c>
      <c r="I525" s="105" t="n">
        <v>1</v>
      </c>
      <c r="J525" s="106" t="n">
        <v>2848.2</v>
      </c>
      <c r="K525" s="106" t="n">
        <v>2372.7</v>
      </c>
      <c r="L525" s="106" t="n">
        <v>100.6</v>
      </c>
      <c r="M525" s="107" t="n">
        <v>61</v>
      </c>
      <c r="N525" s="108" t="n">
        <f aca="false" ca="false" dt2D="false" dtr="false" t="normal">SUM(P525:T525)</f>
        <v>1917497.5300000003</v>
      </c>
      <c r="O525" s="106" t="n"/>
      <c r="P525" s="114" t="n">
        <v>0</v>
      </c>
      <c r="Q525" s="114" t="n"/>
      <c r="R525" s="113" t="n">
        <v>734493.92</v>
      </c>
      <c r="S525" s="113" t="n">
        <v>1183003.61</v>
      </c>
      <c r="T525" s="114" t="n"/>
      <c r="U525" s="106" t="n">
        <v>843.170161664019</v>
      </c>
      <c r="V525" s="106" t="n">
        <v>843.170161664019</v>
      </c>
      <c r="W525" s="110" t="n">
        <v>2024</v>
      </c>
      <c r="X525" s="9" t="e">
        <f aca="false" ca="false" dt2D="false" dtr="false" t="normal">+#REF!-'[9]Приложение №1'!$P1335</f>
        <v>#REF!</v>
      </c>
      <c r="Z525" s="113" t="n">
        <f aca="false" ca="false" dt2D="false" dtr="false" t="normal">SUM(AA525:AO525)</f>
        <v>9685484.145434817</v>
      </c>
      <c r="AA525" s="106" t="n">
        <v>6420381.71119903</v>
      </c>
      <c r="AB525" s="106" t="n">
        <v>0</v>
      </c>
      <c r="AC525" s="106" t="n">
        <v>1897284.43913911</v>
      </c>
      <c r="AD525" s="106" t="n">
        <v>0</v>
      </c>
      <c r="AE525" s="106" t="n">
        <v>0</v>
      </c>
      <c r="AF525" s="106" t="n"/>
      <c r="AG525" s="106" t="n">
        <v>285248.598261235</v>
      </c>
      <c r="AH525" s="106" t="n">
        <v>0</v>
      </c>
      <c r="AI525" s="106" t="n">
        <v>0</v>
      </c>
      <c r="AJ525" s="106" t="n">
        <v>0</v>
      </c>
      <c r="AK525" s="106" t="n">
        <v>0</v>
      </c>
      <c r="AL525" s="106" t="n">
        <v>0</v>
      </c>
      <c r="AM525" s="106" t="n">
        <v>797586.233676591</v>
      </c>
      <c r="AN525" s="114" t="n">
        <v>96854.8414543482</v>
      </c>
      <c r="AO525" s="115" t="n">
        <v>188128.321704503</v>
      </c>
      <c r="AP525" s="112" t="n">
        <f aca="false" ca="false" dt2D="false" dtr="false" t="normal">+N525-'Приложение №2'!E525</f>
        <v>0</v>
      </c>
      <c r="AQ525" s="1" t="n">
        <f aca="false" ca="false" dt2D="false" dtr="false" t="normal">1575336.79-1185589.56</f>
        <v>389747.23</v>
      </c>
      <c r="AR525" s="3" t="n">
        <f aca="false" ca="false" dt2D="false" dtr="false" t="normal">+(K525*13.29+L525*22.52)*12*0.85</f>
        <v>344746.68899999995</v>
      </c>
      <c r="AS525" s="3" t="n">
        <f aca="false" ca="false" dt2D="false" dtr="false" t="normal">+(K525*13.29+L525*22.52)*12*30</f>
        <v>12167530.2</v>
      </c>
      <c r="AT525" s="9" t="n">
        <f aca="false" ca="false" dt2D="false" dtr="false" t="normal">+S525-AS525</f>
        <v>-10984526.59</v>
      </c>
      <c r="AU525" s="9" t="e">
        <f aca="false" ca="false" dt2D="false" dtr="false" t="normal">+P525-'[5]Приложение №1'!$P252</f>
        <v>#REF!</v>
      </c>
      <c r="AV525" s="9" t="e">
        <f aca="false" ca="false" dt2D="false" dtr="false" t="normal">+Q525-'[5]Приложение №1'!$Q252</f>
        <v>#REF!</v>
      </c>
      <c r="AW525" s="113" t="n">
        <f aca="false" ca="true" dt2D="false" dtr="false" t="normal">SUBTOTAL(9, AX525:BL525)</f>
        <v>2085412.760843613</v>
      </c>
      <c r="AX525" s="106" t="n"/>
      <c r="AY525" s="106" t="n">
        <v>0</v>
      </c>
      <c r="AZ525" s="106" t="n">
        <v>1897284.43913911</v>
      </c>
      <c r="BA525" s="106" t="n">
        <v>0</v>
      </c>
      <c r="BB525" s="106" t="n">
        <v>0</v>
      </c>
      <c r="BC525" s="106" t="n"/>
      <c r="BD525" s="106" t="n"/>
      <c r="BE525" s="106" t="n">
        <v>0</v>
      </c>
      <c r="BF525" s="106" t="n">
        <v>0</v>
      </c>
      <c r="BG525" s="106" t="n">
        <v>0</v>
      </c>
      <c r="BH525" s="106" t="n">
        <v>0</v>
      </c>
      <c r="BI525" s="106" t="n">
        <v>0</v>
      </c>
      <c r="BJ525" s="106" t="n"/>
      <c r="BK525" s="114" t="n"/>
      <c r="BL525" s="115" t="n">
        <v>188128.321704503</v>
      </c>
      <c r="BM525" s="113" t="n">
        <f aca="false" ca="true" dt2D="false" dtr="false" t="normal">SUBTOTAL(9, BN525:CB525)</f>
        <v>2085412.760843613</v>
      </c>
      <c r="BN525" s="106" t="n"/>
      <c r="BO525" s="106" t="n">
        <v>0</v>
      </c>
      <c r="BP525" s="106" t="n">
        <v>1897284.43913911</v>
      </c>
      <c r="BQ525" s="106" t="n">
        <v>0</v>
      </c>
      <c r="BR525" s="106" t="n">
        <v>0</v>
      </c>
      <c r="BS525" s="106" t="n"/>
      <c r="BT525" s="106" t="n"/>
      <c r="BU525" s="106" t="n">
        <v>0</v>
      </c>
      <c r="BV525" s="106" t="n">
        <v>0</v>
      </c>
      <c r="BW525" s="106" t="n">
        <v>0</v>
      </c>
      <c r="BX525" s="106" t="n">
        <v>0</v>
      </c>
      <c r="BY525" s="106" t="n">
        <v>0</v>
      </c>
      <c r="BZ525" s="106" t="n"/>
      <c r="CA525" s="114" t="n"/>
      <c r="CB525" s="115" t="n">
        <v>188128.321704503</v>
      </c>
      <c r="CD525" s="116" t="n">
        <f aca="false" ca="false" dt2D="false" dtr="false" t="normal">+CD524+1</f>
        <v>503</v>
      </c>
      <c r="CE525" s="117" t="n">
        <f aca="false" ca="false" dt2D="false" dtr="false" t="normal">+CE524+1</f>
        <v>44</v>
      </c>
      <c r="CF525" s="104" t="s">
        <v>78</v>
      </c>
      <c r="CG525" s="117" t="s">
        <v>553</v>
      </c>
      <c r="CH525" s="108" t="n">
        <f aca="false" ca="true" dt2D="false" dtr="false" t="normal">SUBTOTAL(9, CI525:CW525)</f>
        <v>2085412.76</v>
      </c>
      <c r="CI525" s="106" t="n"/>
      <c r="CJ525" s="114" t="n">
        <v>0</v>
      </c>
      <c r="CK525" s="114" t="n">
        <v>1897284.44</v>
      </c>
      <c r="CL525" s="114" t="n">
        <v>0</v>
      </c>
      <c r="CM525" s="114" t="n">
        <v>0</v>
      </c>
      <c r="CN525" s="114" t="n"/>
      <c r="CO525" s="106" t="n"/>
      <c r="CP525" s="114" t="n">
        <v>0</v>
      </c>
      <c r="CQ525" s="114" t="n">
        <v>0</v>
      </c>
      <c r="CR525" s="114" t="n">
        <v>0</v>
      </c>
      <c r="CS525" s="114" t="n">
        <v>0</v>
      </c>
      <c r="CT525" s="114" t="n">
        <v>0</v>
      </c>
      <c r="CU525" s="114" t="n"/>
      <c r="CV525" s="114" t="n"/>
      <c r="CW525" s="115" t="n">
        <v>188128.32</v>
      </c>
      <c r="CX525" s="3" t="n">
        <f aca="false" ca="false" dt2D="false" dtr="false" t="normal">+N525-CH525</f>
        <v>-167915.22999999975</v>
      </c>
      <c r="CZ525" s="117" t="s">
        <v>553</v>
      </c>
      <c r="DA525" s="113" t="n">
        <f aca="false" ca="true" dt2D="false" dtr="false" t="normal">SUBTOTAL(9, DB525:DP525)</f>
        <v>1917497.53</v>
      </c>
      <c r="DB525" s="106" t="n"/>
      <c r="DC525" s="114" t="n">
        <v>0</v>
      </c>
      <c r="DD525" s="114" t="n">
        <v>1897284.44</v>
      </c>
      <c r="DE525" s="114" t="n">
        <v>0</v>
      </c>
      <c r="DF525" s="114" t="n">
        <v>0</v>
      </c>
      <c r="DG525" s="114" t="n"/>
      <c r="DH525" s="106" t="n"/>
      <c r="DI525" s="114" t="n">
        <v>0</v>
      </c>
      <c r="DJ525" s="114" t="n">
        <v>0</v>
      </c>
      <c r="DK525" s="114" t="n">
        <v>0</v>
      </c>
      <c r="DL525" s="114" t="n">
        <v>0</v>
      </c>
      <c r="DM525" s="114" t="n">
        <v>0</v>
      </c>
      <c r="DN525" s="114" t="n"/>
      <c r="DO525" s="114" t="n"/>
      <c r="DP525" s="115" t="n">
        <f aca="false" ca="false" dt2D="false" dtr="false" t="normal">17576.6*1.15</f>
        <v>20213.089999999997</v>
      </c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</row>
    <row customFormat="true" hidden="false" ht="15" outlineLevel="0" r="526" s="1">
      <c r="A526" s="183" t="n">
        <f aca="false" ca="false" dt2D="false" dtr="false" t="normal">+A525+1</f>
        <v>504</v>
      </c>
      <c r="B526" s="117" t="n">
        <f aca="false" ca="false" dt2D="false" dtr="false" t="normal">+B525+1</f>
        <v>45</v>
      </c>
      <c r="C526" s="104" t="s">
        <v>78</v>
      </c>
      <c r="D526" s="104" t="s">
        <v>554</v>
      </c>
      <c r="E526" s="105" t="n">
        <v>1987</v>
      </c>
      <c r="F526" s="105" t="n">
        <v>2016</v>
      </c>
      <c r="G526" s="105" t="s">
        <v>68</v>
      </c>
      <c r="H526" s="105" t="n">
        <v>5</v>
      </c>
      <c r="I526" s="105" t="n">
        <v>4</v>
      </c>
      <c r="J526" s="106" t="n">
        <v>5812.1</v>
      </c>
      <c r="K526" s="106" t="n">
        <v>4766.5</v>
      </c>
      <c r="L526" s="106" t="n">
        <v>87</v>
      </c>
      <c r="M526" s="107" t="n">
        <v>201</v>
      </c>
      <c r="N526" s="108" t="n">
        <f aca="false" ca="false" dt2D="false" dtr="false" t="normal">SUM(P526:T526)</f>
        <v>17911649.14</v>
      </c>
      <c r="O526" s="106" t="n"/>
      <c r="P526" s="113" t="n">
        <v>2312906.63</v>
      </c>
      <c r="Q526" s="114" t="n"/>
      <c r="R526" s="113" t="n">
        <v>3450264.2</v>
      </c>
      <c r="S526" s="113" t="n">
        <v>12148478.31</v>
      </c>
      <c r="T526" s="113" t="n"/>
      <c r="U526" s="114" t="n">
        <v>7227.38217010749</v>
      </c>
      <c r="V526" s="114" t="n">
        <v>1201.283020064</v>
      </c>
      <c r="W526" s="110" t="n">
        <v>2024</v>
      </c>
      <c r="X526" s="9" t="e">
        <f aca="false" ca="false" dt2D="false" dtr="false" t="normal">+#REF!-'[9]Приложение №1'!$P570</f>
        <v>#REF!</v>
      </c>
      <c r="Z526" s="113" t="n">
        <f aca="false" ca="false" dt2D="false" dtr="false" t="normal">SUM(AA526:AO526)</f>
        <v>8348211.414400002</v>
      </c>
      <c r="AA526" s="106" t="n">
        <v>0</v>
      </c>
      <c r="AB526" s="106" t="n">
        <v>0</v>
      </c>
      <c r="AC526" s="106" t="n">
        <v>0</v>
      </c>
      <c r="AD526" s="106" t="n">
        <v>0</v>
      </c>
      <c r="AE526" s="106" t="n">
        <v>0</v>
      </c>
      <c r="AF526" s="106" t="n"/>
      <c r="AG526" s="106" t="n">
        <v>0</v>
      </c>
      <c r="AH526" s="106" t="n">
        <v>0</v>
      </c>
      <c r="AI526" s="106" t="n">
        <v>0</v>
      </c>
      <c r="AJ526" s="106" t="n">
        <v>7270908.12421734</v>
      </c>
      <c r="AK526" s="106" t="n">
        <v>0</v>
      </c>
      <c r="AL526" s="106" t="n">
        <v>0</v>
      </c>
      <c r="AM526" s="106" t="n">
        <v>834821.14144</v>
      </c>
      <c r="AN526" s="114" t="n">
        <v>83482.114144</v>
      </c>
      <c r="AO526" s="115" t="n">
        <v>159000.034598662</v>
      </c>
      <c r="AP526" s="112" t="n">
        <f aca="false" ca="false" dt2D="false" dtr="false" t="normal">+N526-'Приложение №2'!E526</f>
        <v>0</v>
      </c>
      <c r="AQ526" s="121" t="n">
        <v>2921136.65</v>
      </c>
      <c r="AR526" s="3" t="n">
        <f aca="false" ca="false" dt2D="false" dtr="false" t="normal">+(K526*10.5+L526*21)*12*0.85</f>
        <v>529127.5499999999</v>
      </c>
      <c r="AS526" s="3" t="n">
        <f aca="false" ca="false" dt2D="false" dtr="false" t="normal">+(K526*10.5+L526*21)*12*30</f>
        <v>18675090</v>
      </c>
      <c r="AT526" s="9" t="n">
        <f aca="false" ca="false" dt2D="false" dtr="false" t="normal">+S526-AS526</f>
        <v>-6526611.6899999995</v>
      </c>
      <c r="AU526" s="9" t="e">
        <f aca="false" ca="false" dt2D="false" dtr="false" t="normal">+P526-'[5]Приложение №1'!$P487</f>
        <v>#REF!</v>
      </c>
      <c r="AV526" s="9" t="e">
        <f aca="false" ca="false" dt2D="false" dtr="false" t="normal">+Q526-'[5]Приложение №1'!$Q487</f>
        <v>#REF!</v>
      </c>
      <c r="AW526" s="186" t="n">
        <f aca="false" ca="true" dt2D="false" dtr="false" t="normal">SUBTOTAL(9, AX526:BL526)</f>
        <v>34449317.11381734</v>
      </c>
      <c r="AX526" s="106" t="n">
        <v>0</v>
      </c>
      <c r="AY526" s="106" t="n">
        <v>0</v>
      </c>
      <c r="AZ526" s="106" t="n">
        <v>0</v>
      </c>
      <c r="BA526" s="106" t="n">
        <v>0</v>
      </c>
      <c r="BB526" s="106" t="n">
        <v>0</v>
      </c>
      <c r="BC526" s="106" t="n"/>
      <c r="BD526" s="106" t="n"/>
      <c r="BE526" s="106" t="n">
        <v>0</v>
      </c>
      <c r="BF526" s="106" t="n">
        <v>0</v>
      </c>
      <c r="BG526" s="106" t="n">
        <v>9755981.02837805</v>
      </c>
      <c r="BH526" s="106" t="n">
        <v>23956120.6992036</v>
      </c>
      <c r="BI526" s="106" t="n">
        <v>0</v>
      </c>
      <c r="BJ526" s="106" t="n"/>
      <c r="BK526" s="114" t="n"/>
      <c r="BL526" s="115" t="n">
        <v>737215.386235692</v>
      </c>
      <c r="BM526" s="186" t="n">
        <f aca="false" ca="true" dt2D="false" dtr="false" t="normal">SUBTOTAL(9, BN526:CB526)</f>
        <v>34449317.11381734</v>
      </c>
      <c r="BN526" s="106" t="n">
        <v>0</v>
      </c>
      <c r="BO526" s="106" t="n">
        <v>0</v>
      </c>
      <c r="BP526" s="106" t="n">
        <v>0</v>
      </c>
      <c r="BQ526" s="106" t="n">
        <v>0</v>
      </c>
      <c r="BR526" s="106" t="n">
        <v>0</v>
      </c>
      <c r="BS526" s="106" t="n"/>
      <c r="BT526" s="106" t="n"/>
      <c r="BU526" s="106" t="n">
        <v>0</v>
      </c>
      <c r="BV526" s="106" t="n">
        <v>0</v>
      </c>
      <c r="BW526" s="106" t="n">
        <v>9755981.02837805</v>
      </c>
      <c r="BX526" s="106" t="n">
        <v>23956120.6992036</v>
      </c>
      <c r="BY526" s="106" t="n">
        <v>0</v>
      </c>
      <c r="BZ526" s="106" t="n"/>
      <c r="CA526" s="114" t="n"/>
      <c r="CB526" s="115" t="n">
        <v>737215.386235692</v>
      </c>
      <c r="CD526" s="116" t="n">
        <f aca="false" ca="false" dt2D="false" dtr="false" t="normal">+CD525+1</f>
        <v>504</v>
      </c>
      <c r="CE526" s="117" t="n">
        <f aca="false" ca="false" dt2D="false" dtr="false" t="normal">+CE525+1</f>
        <v>45</v>
      </c>
      <c r="CF526" s="104" t="s">
        <v>78</v>
      </c>
      <c r="CG526" s="117" t="s">
        <v>554</v>
      </c>
      <c r="CH526" s="108" t="n">
        <f aca="false" ca="true" dt2D="false" dtr="false" t="normal">SUBTOTAL(9, CI526:CW526)</f>
        <v>18648864.53</v>
      </c>
      <c r="CI526" s="106" t="n">
        <v>0</v>
      </c>
      <c r="CJ526" s="114" t="n">
        <v>0</v>
      </c>
      <c r="CK526" s="114" t="n">
        <v>0</v>
      </c>
      <c r="CL526" s="114" t="n">
        <v>0</v>
      </c>
      <c r="CM526" s="114" t="n">
        <v>0</v>
      </c>
      <c r="CN526" s="114" t="n"/>
      <c r="CO526" s="106" t="n"/>
      <c r="CP526" s="114" t="n">
        <v>0</v>
      </c>
      <c r="CQ526" s="114" t="n">
        <v>0</v>
      </c>
      <c r="CR526" s="114" t="n">
        <v>9755981.03</v>
      </c>
      <c r="CS526" s="114" t="n">
        <v>8155668.11</v>
      </c>
      <c r="CT526" s="114" t="n">
        <v>0</v>
      </c>
      <c r="CU526" s="114" t="n"/>
      <c r="CV526" s="114" t="n"/>
      <c r="CW526" s="115" t="n">
        <v>737215.39</v>
      </c>
      <c r="CX526" s="3" t="n">
        <f aca="false" ca="false" dt2D="false" dtr="false" t="normal">+N526-CH526</f>
        <v>-737215.3900000006</v>
      </c>
      <c r="CZ526" s="117" t="s">
        <v>554</v>
      </c>
      <c r="DA526" s="113" t="n">
        <f aca="false" ca="true" dt2D="false" dtr="false" t="normal">SUBTOTAL(9, DB526:DP526)</f>
        <v>17911649.14</v>
      </c>
      <c r="DB526" s="106" t="n">
        <v>0</v>
      </c>
      <c r="DC526" s="114" t="n">
        <v>0</v>
      </c>
      <c r="DD526" s="114" t="n">
        <v>0</v>
      </c>
      <c r="DE526" s="114" t="n">
        <v>0</v>
      </c>
      <c r="DF526" s="114" t="n">
        <v>0</v>
      </c>
      <c r="DG526" s="114" t="n"/>
      <c r="DH526" s="106" t="n"/>
      <c r="DI526" s="114" t="n">
        <v>0</v>
      </c>
      <c r="DJ526" s="114" t="n">
        <v>0</v>
      </c>
      <c r="DK526" s="114" t="n">
        <v>9755981.03</v>
      </c>
      <c r="DL526" s="114" t="n">
        <v>8155668.11</v>
      </c>
      <c r="DM526" s="114" t="n">
        <v>0</v>
      </c>
      <c r="DN526" s="114" t="n"/>
      <c r="DO526" s="114" t="n"/>
      <c r="DP526" s="240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</row>
    <row customFormat="true" hidden="false" ht="15" outlineLevel="0" r="527" s="1">
      <c r="A527" s="183" t="n">
        <f aca="false" ca="false" dt2D="false" dtr="false" t="normal">+A526+1</f>
        <v>505</v>
      </c>
      <c r="B527" s="117" t="n">
        <f aca="false" ca="false" dt2D="false" dtr="false" t="normal">+B526+1</f>
        <v>46</v>
      </c>
      <c r="C527" s="104" t="s">
        <v>81</v>
      </c>
      <c r="D527" s="104" t="s">
        <v>555</v>
      </c>
      <c r="E527" s="105" t="n">
        <v>1991</v>
      </c>
      <c r="F527" s="105" t="n">
        <v>2007</v>
      </c>
      <c r="G527" s="105" t="s">
        <v>68</v>
      </c>
      <c r="H527" s="105" t="n">
        <v>9</v>
      </c>
      <c r="I527" s="105" t="n">
        <v>5</v>
      </c>
      <c r="J527" s="106" t="n">
        <v>17171.8</v>
      </c>
      <c r="K527" s="106" t="n">
        <v>14372.9</v>
      </c>
      <c r="L527" s="106" t="n">
        <v>1885.6</v>
      </c>
      <c r="M527" s="107" t="n">
        <v>500</v>
      </c>
      <c r="N527" s="108" t="n">
        <f aca="false" ca="false" dt2D="false" dtr="false" t="normal">SUM(P527:T527)</f>
        <v>17956800</v>
      </c>
      <c r="O527" s="106" t="n"/>
      <c r="P527" s="113" t="n"/>
      <c r="Q527" s="114" t="n"/>
      <c r="R527" s="113" t="n">
        <v>10240482.56</v>
      </c>
      <c r="S527" s="1" t="n">
        <v>0</v>
      </c>
      <c r="T527" s="113" t="n">
        <v>7716317.44</v>
      </c>
      <c r="U527" s="114" t="n">
        <v>1249.35120956801</v>
      </c>
      <c r="V527" s="114" t="n">
        <v>1202.283020064</v>
      </c>
      <c r="W527" s="110" t="n">
        <v>2024</v>
      </c>
      <c r="X527" s="9" t="e">
        <f aca="false" ca="false" dt2D="false" dtr="false" t="normal">+#REF!-'[9]Приложение №1'!$P174</f>
        <v>#REF!</v>
      </c>
      <c r="Z527" s="113" t="n">
        <f aca="false" ca="false" dt2D="false" dtr="false" t="normal">SUM(AA527:AO527)</f>
        <v>41065952.285400674</v>
      </c>
      <c r="AA527" s="106" t="n">
        <v>35121361.7896601</v>
      </c>
      <c r="AB527" s="106" t="n">
        <v>0</v>
      </c>
      <c r="AC527" s="106" t="n">
        <v>0</v>
      </c>
      <c r="AD527" s="106" t="n">
        <v>0</v>
      </c>
      <c r="AE527" s="106" t="n">
        <v>0</v>
      </c>
      <c r="AF527" s="106" t="n"/>
      <c r="AG527" s="106" t="n">
        <v>1560393.08411389</v>
      </c>
      <c r="AH527" s="106" t="n">
        <v>0</v>
      </c>
      <c r="AI527" s="106" t="n">
        <v>0</v>
      </c>
      <c r="AJ527" s="106" t="n">
        <v>0</v>
      </c>
      <c r="AK527" s="106" t="n">
        <v>0</v>
      </c>
      <c r="AL527" s="106" t="n">
        <v>0</v>
      </c>
      <c r="AM527" s="106" t="n">
        <v>3171382.20279396</v>
      </c>
      <c r="AN527" s="114" t="n">
        <v>410659.522854007</v>
      </c>
      <c r="AO527" s="115" t="n">
        <v>802155.685978708</v>
      </c>
      <c r="AP527" s="112" t="n">
        <f aca="false" ca="false" dt2D="false" dtr="false" t="normal">+N527-'Приложение №2'!E527</f>
        <v>0</v>
      </c>
      <c r="AR527" s="3" t="n">
        <f aca="false" ca="false" dt2D="false" dtr="false" t="normal">+(K527*13.95+L527*23.65)*12*0.85</f>
        <v>2499983.229</v>
      </c>
      <c r="AS527" s="3" t="n">
        <f aca="false" ca="false" dt2D="false" dtr="false" t="normal">+(K527*13.95+L527*23.65)*12*30</f>
        <v>88234702.19999999</v>
      </c>
      <c r="AT527" s="9" t="n">
        <f aca="false" ca="false" dt2D="false" dtr="false" t="normal">+S527-AS527</f>
        <v>-88234702.19999999</v>
      </c>
      <c r="AU527" s="9" t="e">
        <f aca="false" ca="false" dt2D="false" dtr="false" t="normal">+P527-'[5]Приложение №1'!$P488</f>
        <v>#REF!</v>
      </c>
      <c r="AV527" s="9" t="e">
        <f aca="false" ca="false" dt2D="false" dtr="false" t="normal">+Q527-'[5]Приложение №1'!$Q488</f>
        <v>#REF!</v>
      </c>
      <c r="AW527" s="186" t="n">
        <f aca="false" ca="true" dt2D="false" dtr="false" t="normal">SUBTOTAL(9, AX527:BL527)</f>
        <v>17956800</v>
      </c>
      <c r="AX527" s="106" t="n"/>
      <c r="AY527" s="106" t="n"/>
      <c r="AZ527" s="106" t="n"/>
      <c r="BA527" s="106" t="n"/>
      <c r="BB527" s="106" t="n"/>
      <c r="BC527" s="106" t="n"/>
      <c r="BD527" s="106" t="n"/>
      <c r="BE527" s="106" t="n">
        <f aca="false" ca="false" dt2D="false" dtr="false" t="normal">5*3591360</f>
        <v>17956800</v>
      </c>
      <c r="BF527" s="106" t="n"/>
      <c r="BG527" s="106" t="n"/>
      <c r="BH527" s="106" t="n"/>
      <c r="BI527" s="106" t="n"/>
      <c r="BJ527" s="106" t="n"/>
      <c r="BK527" s="114" t="n"/>
      <c r="BL527" s="115" t="n"/>
      <c r="BM527" s="186" t="n">
        <f aca="false" ca="true" dt2D="false" dtr="false" t="normal">SUBTOTAL(9, BN527:CB527)</f>
        <v>17956800</v>
      </c>
      <c r="BN527" s="106" t="n"/>
      <c r="BO527" s="106" t="n"/>
      <c r="BP527" s="106" t="n"/>
      <c r="BQ527" s="106" t="n"/>
      <c r="BR527" s="106" t="n"/>
      <c r="BS527" s="106" t="n"/>
      <c r="BT527" s="106" t="n"/>
      <c r="BU527" s="106" t="n">
        <f aca="false" ca="false" dt2D="false" dtr="false" t="normal">5*3591360</f>
        <v>17956800</v>
      </c>
      <c r="BV527" s="106" t="n"/>
      <c r="BW527" s="106" t="n"/>
      <c r="BX527" s="106" t="n"/>
      <c r="BY527" s="106" t="n"/>
      <c r="BZ527" s="106" t="n"/>
      <c r="CA527" s="114" t="n"/>
      <c r="CB527" s="115" t="n"/>
      <c r="CD527" s="116" t="n">
        <f aca="false" ca="false" dt2D="false" dtr="false" t="normal">+CD526+1</f>
        <v>505</v>
      </c>
      <c r="CE527" s="117" t="n">
        <f aca="false" ca="false" dt2D="false" dtr="false" t="normal">+CE526+1</f>
        <v>46</v>
      </c>
      <c r="CF527" s="104" t="s">
        <v>81</v>
      </c>
      <c r="CG527" s="117" t="s">
        <v>555</v>
      </c>
      <c r="CH527" s="108" t="n">
        <f aca="false" ca="true" dt2D="false" dtr="false" t="normal">SUBTOTAL(9, CI527:CW527)</f>
        <v>17956800</v>
      </c>
      <c r="CI527" s="106" t="n"/>
      <c r="CJ527" s="114" t="n"/>
      <c r="CK527" s="114" t="n"/>
      <c r="CL527" s="114" t="n"/>
      <c r="CM527" s="114" t="n"/>
      <c r="CN527" s="114" t="n"/>
      <c r="CO527" s="106" t="n"/>
      <c r="CP527" s="114" t="n">
        <v>17956800</v>
      </c>
      <c r="CQ527" s="114" t="n"/>
      <c r="CR527" s="114" t="n"/>
      <c r="CS527" s="114" t="n"/>
      <c r="CT527" s="114" t="n"/>
      <c r="CU527" s="114" t="n"/>
      <c r="CV527" s="114" t="n"/>
      <c r="CW527" s="115" t="n"/>
      <c r="CX527" s="3" t="n">
        <f aca="false" ca="false" dt2D="false" dtr="false" t="normal">+N527-CH527</f>
        <v>0</v>
      </c>
      <c r="CZ527" s="117" t="s">
        <v>555</v>
      </c>
      <c r="DA527" s="113" t="n">
        <f aca="false" ca="true" dt2D="false" dtr="false" t="normal">SUBTOTAL(9, DB527:DP527)</f>
        <v>17956800</v>
      </c>
      <c r="DB527" s="106" t="n"/>
      <c r="DC527" s="114" t="n"/>
      <c r="DD527" s="114" t="n"/>
      <c r="DE527" s="114" t="n"/>
      <c r="DF527" s="114" t="n"/>
      <c r="DG527" s="114" t="n"/>
      <c r="DH527" s="106" t="n"/>
      <c r="DI527" s="114" t="n">
        <f aca="false" ca="false" dt2D="false" dtr="false" t="normal">5*3591360</f>
        <v>17956800</v>
      </c>
      <c r="DJ527" s="114" t="n"/>
      <c r="DK527" s="114" t="n"/>
      <c r="DL527" s="114" t="n"/>
      <c r="DM527" s="114" t="n"/>
      <c r="DN527" s="114" t="n"/>
      <c r="DO527" s="114" t="n"/>
      <c r="DP527" s="115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</row>
    <row customFormat="true" hidden="false" ht="15" outlineLevel="0" r="528" s="1">
      <c r="A528" s="183" t="n">
        <f aca="false" ca="false" dt2D="false" dtr="false" t="normal">+A527+1</f>
        <v>506</v>
      </c>
      <c r="B528" s="117" t="n">
        <f aca="false" ca="false" dt2D="false" dtr="false" t="normal">+B527+1</f>
        <v>47</v>
      </c>
      <c r="C528" s="104" t="s">
        <v>81</v>
      </c>
      <c r="D528" s="104" t="s">
        <v>556</v>
      </c>
      <c r="E528" s="105" t="n">
        <v>1992</v>
      </c>
      <c r="F528" s="105" t="n">
        <v>2008</v>
      </c>
      <c r="G528" s="105" t="s">
        <v>68</v>
      </c>
      <c r="H528" s="105" t="n">
        <v>9</v>
      </c>
      <c r="I528" s="105" t="n">
        <v>5</v>
      </c>
      <c r="J528" s="106" t="n">
        <v>17240</v>
      </c>
      <c r="K528" s="106" t="n">
        <v>14691.6</v>
      </c>
      <c r="L528" s="106" t="n">
        <v>793.1</v>
      </c>
      <c r="M528" s="107" t="n">
        <v>518</v>
      </c>
      <c r="N528" s="108" t="n">
        <f aca="false" ca="false" dt2D="false" dtr="false" t="normal">SUM(P528:T528)</f>
        <v>17956800</v>
      </c>
      <c r="O528" s="106" t="n"/>
      <c r="P528" s="113" t="n"/>
      <c r="Q528" s="114" t="n"/>
      <c r="R528" s="113" t="n">
        <v>7749271.88</v>
      </c>
      <c r="S528" s="1" t="n">
        <v>0</v>
      </c>
      <c r="T528" s="113" t="n">
        <v>10207528.12</v>
      </c>
      <c r="U528" s="114" t="n">
        <v>1222.24944866454</v>
      </c>
      <c r="V528" s="114" t="n">
        <v>1203.283020064</v>
      </c>
      <c r="W528" s="110" t="n">
        <v>2024</v>
      </c>
      <c r="X528" s="9" t="e">
        <f aca="false" ca="false" dt2D="false" dtr="false" t="normal">+#REF!-'[9]Приложение №1'!$P175</f>
        <v>#REF!</v>
      </c>
      <c r="Z528" s="113" t="n">
        <f aca="false" ca="false" dt2D="false" dtr="false" t="normal">SUM(AA528:AO528)</f>
        <v>41205480.87044221</v>
      </c>
      <c r="AA528" s="106" t="n">
        <v>35240692.6134332</v>
      </c>
      <c r="AB528" s="106" t="n">
        <v>0</v>
      </c>
      <c r="AC528" s="106" t="n">
        <v>0</v>
      </c>
      <c r="AD528" s="106" t="n">
        <v>0</v>
      </c>
      <c r="AE528" s="106" t="n">
        <v>0</v>
      </c>
      <c r="AF528" s="106" t="n"/>
      <c r="AG528" s="106" t="n">
        <v>1565694.78605962</v>
      </c>
      <c r="AH528" s="106" t="n">
        <v>0</v>
      </c>
      <c r="AI528" s="106" t="n">
        <v>0</v>
      </c>
      <c r="AJ528" s="106" t="n">
        <v>0</v>
      </c>
      <c r="AK528" s="106" t="n">
        <v>0</v>
      </c>
      <c r="AL528" s="106" t="n">
        <v>0</v>
      </c>
      <c r="AM528" s="106" t="n">
        <v>3182157.51535232</v>
      </c>
      <c r="AN528" s="114" t="n">
        <v>412054.808704423</v>
      </c>
      <c r="AO528" s="115" t="n">
        <v>804881.14689265</v>
      </c>
      <c r="AP528" s="112" t="n">
        <f aca="false" ca="false" dt2D="false" dtr="false" t="normal">+N528-'Приложение №2'!E528</f>
        <v>0</v>
      </c>
      <c r="AQ528" s="1" t="n">
        <v>620</v>
      </c>
      <c r="AR528" s="3" t="n">
        <f aca="false" ca="false" dt2D="false" dtr="false" t="normal">+(K528*13.95+L528*23.65)*12*0.85</f>
        <v>2281787.2770000002</v>
      </c>
      <c r="AS528" s="3" t="n">
        <f aca="false" ca="false" dt2D="false" dtr="false" t="normal">+(K528*13.95+L528*23.65)*12*30</f>
        <v>80533668.60000001</v>
      </c>
      <c r="AT528" s="9" t="n">
        <f aca="false" ca="false" dt2D="false" dtr="false" t="normal">+S528-AS528</f>
        <v>-80533668.60000001</v>
      </c>
      <c r="AU528" s="9" t="e">
        <f aca="false" ca="false" dt2D="false" dtr="false" t="normal">+P528-'[5]Приложение №1'!$P489</f>
        <v>#REF!</v>
      </c>
      <c r="AV528" s="9" t="e">
        <f aca="false" ca="false" dt2D="false" dtr="false" t="normal">+Q528-'[5]Приложение №1'!$Q489</f>
        <v>#REF!</v>
      </c>
      <c r="AW528" s="186" t="n">
        <f aca="false" ca="true" dt2D="false" dtr="false" t="normal">SUBTOTAL(9, AX528:BL528)</f>
        <v>17956800</v>
      </c>
      <c r="AX528" s="106" t="n"/>
      <c r="AY528" s="106" t="n"/>
      <c r="AZ528" s="106" t="n"/>
      <c r="BA528" s="106" t="n"/>
      <c r="BB528" s="106" t="n"/>
      <c r="BC528" s="106" t="n"/>
      <c r="BD528" s="106" t="n"/>
      <c r="BE528" s="106" t="n">
        <f aca="false" ca="false" dt2D="false" dtr="false" t="normal">5*3591360</f>
        <v>17956800</v>
      </c>
      <c r="BF528" s="106" t="n"/>
      <c r="BG528" s="106" t="n"/>
      <c r="BH528" s="106" t="n"/>
      <c r="BI528" s="106" t="n"/>
      <c r="BJ528" s="106" t="n"/>
      <c r="BK528" s="114" t="n"/>
      <c r="BL528" s="115" t="n"/>
      <c r="BM528" s="186" t="n">
        <f aca="false" ca="true" dt2D="false" dtr="false" t="normal">SUBTOTAL(9, BN528:CB528)</f>
        <v>17956800</v>
      </c>
      <c r="BN528" s="106" t="n"/>
      <c r="BO528" s="106" t="n"/>
      <c r="BP528" s="106" t="n"/>
      <c r="BQ528" s="106" t="n"/>
      <c r="BR528" s="106" t="n"/>
      <c r="BS528" s="106" t="n"/>
      <c r="BT528" s="106" t="n"/>
      <c r="BU528" s="106" t="n">
        <f aca="false" ca="false" dt2D="false" dtr="false" t="normal">5*3591360</f>
        <v>17956800</v>
      </c>
      <c r="BV528" s="106" t="n"/>
      <c r="BW528" s="106" t="n"/>
      <c r="BX528" s="106" t="n"/>
      <c r="BY528" s="106" t="n"/>
      <c r="BZ528" s="106" t="n"/>
      <c r="CA528" s="114" t="n"/>
      <c r="CB528" s="115" t="n"/>
      <c r="CD528" s="116" t="n">
        <f aca="false" ca="false" dt2D="false" dtr="false" t="normal">+CD527+1</f>
        <v>506</v>
      </c>
      <c r="CE528" s="117" t="n">
        <f aca="false" ca="false" dt2D="false" dtr="false" t="normal">+CE527+1</f>
        <v>47</v>
      </c>
      <c r="CF528" s="104" t="s">
        <v>81</v>
      </c>
      <c r="CG528" s="117" t="s">
        <v>556</v>
      </c>
      <c r="CH528" s="108" t="n">
        <f aca="false" ca="true" dt2D="false" dtr="false" t="normal">SUBTOTAL(9, CI528:CW528)</f>
        <v>17956800</v>
      </c>
      <c r="CI528" s="106" t="n"/>
      <c r="CJ528" s="114" t="n"/>
      <c r="CK528" s="114" t="n"/>
      <c r="CL528" s="114" t="n"/>
      <c r="CM528" s="114" t="n"/>
      <c r="CN528" s="114" t="n"/>
      <c r="CO528" s="106" t="n"/>
      <c r="CP528" s="114" t="n">
        <v>17956800</v>
      </c>
      <c r="CQ528" s="114" t="n"/>
      <c r="CR528" s="114" t="n"/>
      <c r="CS528" s="114" t="n"/>
      <c r="CT528" s="114" t="n"/>
      <c r="CU528" s="114" t="n"/>
      <c r="CV528" s="114" t="n"/>
      <c r="CW528" s="115" t="n"/>
      <c r="CX528" s="3" t="n">
        <f aca="false" ca="false" dt2D="false" dtr="false" t="normal">+N528-CH528</f>
        <v>0</v>
      </c>
      <c r="CZ528" s="117" t="s">
        <v>556</v>
      </c>
      <c r="DA528" s="113" t="n">
        <f aca="false" ca="true" dt2D="false" dtr="false" t="normal">SUBTOTAL(9, DB528:DP528)</f>
        <v>17956800</v>
      </c>
      <c r="DB528" s="106" t="n"/>
      <c r="DC528" s="114" t="n"/>
      <c r="DD528" s="114" t="n"/>
      <c r="DE528" s="114" t="n"/>
      <c r="DF528" s="114" t="n"/>
      <c r="DG528" s="114" t="n"/>
      <c r="DH528" s="106" t="n"/>
      <c r="DI528" s="114" t="n">
        <f aca="false" ca="false" dt2D="false" dtr="false" t="normal">5*3591360</f>
        <v>17956800</v>
      </c>
      <c r="DJ528" s="114" t="n"/>
      <c r="DK528" s="114" t="n"/>
      <c r="DL528" s="114" t="n"/>
      <c r="DM528" s="114" t="n"/>
      <c r="DN528" s="114" t="n"/>
      <c r="DO528" s="114" t="n"/>
      <c r="DP528" s="115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</row>
    <row customFormat="true" hidden="false" ht="15" outlineLevel="0" r="529" s="1">
      <c r="A529" s="183" t="n">
        <f aca="false" ca="false" dt2D="false" dtr="false" t="normal">+A528+1</f>
        <v>507</v>
      </c>
      <c r="B529" s="117" t="n">
        <f aca="false" ca="false" dt2D="false" dtr="false" t="normal">+B528+1</f>
        <v>48</v>
      </c>
      <c r="C529" s="104" t="s">
        <v>78</v>
      </c>
      <c r="D529" s="104" t="s">
        <v>557</v>
      </c>
      <c r="E529" s="105" t="n">
        <v>1994</v>
      </c>
      <c r="F529" s="105" t="n">
        <v>2017</v>
      </c>
      <c r="G529" s="105" t="s">
        <v>68</v>
      </c>
      <c r="H529" s="105" t="n">
        <v>10</v>
      </c>
      <c r="I529" s="105" t="n">
        <v>1</v>
      </c>
      <c r="J529" s="106" t="n">
        <v>3265.2</v>
      </c>
      <c r="K529" s="106" t="n">
        <v>2810.5</v>
      </c>
      <c r="L529" s="106" t="n">
        <v>0</v>
      </c>
      <c r="M529" s="107" t="n">
        <v>90</v>
      </c>
      <c r="N529" s="108" t="n">
        <f aca="false" ca="false" dt2D="false" dtr="false" t="normal">SUM(P529:T529)</f>
        <v>3174109.11</v>
      </c>
      <c r="O529" s="106" t="n"/>
      <c r="P529" s="114" t="n"/>
      <c r="Q529" s="114" t="n"/>
      <c r="R529" s="113" t="n">
        <v>2635455.76</v>
      </c>
      <c r="S529" s="113" t="n">
        <v>538653.35</v>
      </c>
      <c r="T529" s="114" t="n">
        <v>0</v>
      </c>
      <c r="U529" s="114" t="n">
        <v>1190.671234272</v>
      </c>
      <c r="V529" s="114" t="n">
        <v>1207.283020064</v>
      </c>
      <c r="W529" s="110" t="n">
        <v>2024</v>
      </c>
      <c r="X529" s="9" t="e">
        <f aca="false" ca="false" dt2D="false" dtr="false" t="normal">+#REF!-'[9]Приложение №1'!$P954</f>
        <v>#REF!</v>
      </c>
      <c r="Z529" s="113" t="n">
        <f aca="false" ca="false" dt2D="false" dtr="false" t="normal">SUM(AA529:AO529)</f>
        <v>3340785.349120376</v>
      </c>
      <c r="AA529" s="106" t="n">
        <v>0</v>
      </c>
      <c r="AB529" s="106" t="n">
        <v>0</v>
      </c>
      <c r="AC529" s="106" t="n">
        <v>0</v>
      </c>
      <c r="AD529" s="106" t="n">
        <v>0</v>
      </c>
      <c r="AE529" s="106" t="n">
        <v>0</v>
      </c>
      <c r="AF529" s="106" t="n"/>
      <c r="AG529" s="106" t="n">
        <v>0</v>
      </c>
      <c r="AH529" s="106" t="n">
        <v>0</v>
      </c>
      <c r="AI529" s="106" t="n">
        <v>2942363.28838428</v>
      </c>
      <c r="AJ529" s="106" t="n">
        <v>0</v>
      </c>
      <c r="AK529" s="106" t="n">
        <v>0</v>
      </c>
      <c r="AL529" s="106" t="n">
        <v>0</v>
      </c>
      <c r="AM529" s="106" t="n">
        <v>300670.681420834</v>
      </c>
      <c r="AN529" s="114" t="n">
        <v>33407.8534912038</v>
      </c>
      <c r="AO529" s="115" t="n">
        <v>64343.5258240585</v>
      </c>
      <c r="AP529" s="112" t="n">
        <f aca="false" ca="false" dt2D="false" dtr="false" t="normal">+N529-'Приложение №2'!E529</f>
        <v>0</v>
      </c>
      <c r="AQ529" s="121" t="n">
        <v>2235549.71</v>
      </c>
      <c r="AR529" s="3" t="n">
        <f aca="false" ca="false" dt2D="false" dtr="false" t="normal">+(K529*13.95+L529*23.65)*12*0.85</f>
        <v>399906.0449999999</v>
      </c>
      <c r="AS529" s="3" t="n">
        <f aca="false" ca="false" dt2D="false" dtr="false" t="normal">+(K529*13.95+L529*23.65)*12*30</f>
        <v>14114330.999999998</v>
      </c>
      <c r="AT529" s="9" t="n">
        <f aca="false" ca="false" dt2D="false" dtr="false" t="normal">+S529-AS529</f>
        <v>-13575677.649999999</v>
      </c>
      <c r="AU529" s="9" t="e">
        <f aca="false" ca="false" dt2D="false" dtr="false" t="normal">+P529-'[5]Приложение №1'!$P492</f>
        <v>#REF!</v>
      </c>
      <c r="AV529" s="9" t="e">
        <f aca="false" ca="false" dt2D="false" dtr="false" t="normal">+Q529-'[5]Приложение №1'!$Q492</f>
        <v>#REF!</v>
      </c>
      <c r="AW529" s="186" t="n">
        <f aca="false" ca="true" dt2D="false" dtr="false" t="normal">SUBTOTAL(9, AX529:BL529)</f>
        <v>3346381.503921455</v>
      </c>
      <c r="AX529" s="106" t="n">
        <v>0</v>
      </c>
      <c r="AY529" s="106" t="n">
        <v>0</v>
      </c>
      <c r="AZ529" s="106" t="n">
        <v>0</v>
      </c>
      <c r="BA529" s="106" t="n">
        <v>0</v>
      </c>
      <c r="BB529" s="106" t="n">
        <v>0</v>
      </c>
      <c r="BC529" s="106" t="n"/>
      <c r="BD529" s="106" t="n"/>
      <c r="BE529" s="106" t="n">
        <v>0</v>
      </c>
      <c r="BF529" s="106" t="n">
        <v>3174109.11127616</v>
      </c>
      <c r="BG529" s="106" t="n">
        <v>0</v>
      </c>
      <c r="BH529" s="106" t="n">
        <v>0</v>
      </c>
      <c r="BI529" s="106" t="n">
        <v>0</v>
      </c>
      <c r="BJ529" s="106" t="n">
        <v>69397.24</v>
      </c>
      <c r="BK529" s="114" t="n">
        <v>33463.8150392146</v>
      </c>
      <c r="BL529" s="115" t="n">
        <v>69411.33760608</v>
      </c>
      <c r="BM529" s="186" t="n">
        <f aca="false" ca="true" dt2D="false" dtr="false" t="normal">SUBTOTAL(9, BN529:CB529)</f>
        <v>3346381.503921455</v>
      </c>
      <c r="BN529" s="106" t="n">
        <v>0</v>
      </c>
      <c r="BO529" s="106" t="n">
        <v>0</v>
      </c>
      <c r="BP529" s="106" t="n">
        <v>0</v>
      </c>
      <c r="BQ529" s="106" t="n">
        <v>0</v>
      </c>
      <c r="BR529" s="106" t="n">
        <v>0</v>
      </c>
      <c r="BS529" s="106" t="n"/>
      <c r="BT529" s="106" t="n"/>
      <c r="BU529" s="106" t="n">
        <v>0</v>
      </c>
      <c r="BV529" s="106" t="n">
        <v>3174109.11127616</v>
      </c>
      <c r="BW529" s="106" t="n">
        <v>0</v>
      </c>
      <c r="BX529" s="106" t="n">
        <v>0</v>
      </c>
      <c r="BY529" s="106" t="n">
        <v>0</v>
      </c>
      <c r="BZ529" s="106" t="n">
        <v>69397.24</v>
      </c>
      <c r="CA529" s="114" t="n">
        <v>33463.8150392146</v>
      </c>
      <c r="CB529" s="115" t="n">
        <v>69411.33760608</v>
      </c>
      <c r="CD529" s="116" t="n">
        <f aca="false" ca="false" dt2D="false" dtr="false" t="normal">+CD528+1</f>
        <v>507</v>
      </c>
      <c r="CE529" s="117" t="n">
        <f aca="false" ca="false" dt2D="false" dtr="false" t="normal">+CE528+1</f>
        <v>48</v>
      </c>
      <c r="CF529" s="104" t="s">
        <v>78</v>
      </c>
      <c r="CG529" s="117" t="s">
        <v>557</v>
      </c>
      <c r="CH529" s="108" t="n">
        <f aca="false" ca="true" dt2D="false" dtr="false" t="normal">SUBTOTAL(9, CI529:CW529)</f>
        <v>3174109.11</v>
      </c>
      <c r="CI529" s="106" t="n">
        <v>0</v>
      </c>
      <c r="CJ529" s="114" t="n">
        <v>0</v>
      </c>
      <c r="CK529" s="114" t="n">
        <v>0</v>
      </c>
      <c r="CL529" s="114" t="n">
        <v>0</v>
      </c>
      <c r="CM529" s="114" t="n">
        <v>0</v>
      </c>
      <c r="CN529" s="114" t="n"/>
      <c r="CO529" s="106" t="n"/>
      <c r="CP529" s="114" t="n">
        <v>0</v>
      </c>
      <c r="CQ529" s="114" t="n">
        <v>3174109.11</v>
      </c>
      <c r="CR529" s="114" t="n">
        <v>0</v>
      </c>
      <c r="CS529" s="114" t="n">
        <v>0</v>
      </c>
      <c r="CT529" s="114" t="n">
        <v>0</v>
      </c>
      <c r="CU529" s="114" t="n"/>
      <c r="CV529" s="114" t="n"/>
      <c r="CW529" s="115" t="n"/>
      <c r="CX529" s="3" t="n">
        <f aca="false" ca="false" dt2D="false" dtr="false" t="normal">+N529-CH529</f>
        <v>0</v>
      </c>
      <c r="CZ529" s="117" t="s">
        <v>557</v>
      </c>
      <c r="DA529" s="113" t="n">
        <f aca="false" ca="true" dt2D="false" dtr="false" t="normal">SUBTOTAL(9, DB529:DP529)</f>
        <v>3174109.11</v>
      </c>
      <c r="DB529" s="106" t="n">
        <v>0</v>
      </c>
      <c r="DC529" s="114" t="n">
        <v>0</v>
      </c>
      <c r="DD529" s="114" t="n">
        <v>0</v>
      </c>
      <c r="DE529" s="114" t="n">
        <v>0</v>
      </c>
      <c r="DF529" s="114" t="n">
        <v>0</v>
      </c>
      <c r="DG529" s="114" t="n"/>
      <c r="DH529" s="106" t="n"/>
      <c r="DI529" s="114" t="n">
        <v>0</v>
      </c>
      <c r="DJ529" s="114" t="n">
        <v>3174109.11</v>
      </c>
      <c r="DK529" s="114" t="n">
        <v>0</v>
      </c>
      <c r="DL529" s="114" t="n">
        <v>0</v>
      </c>
      <c r="DM529" s="114" t="n">
        <v>0</v>
      </c>
      <c r="DN529" s="241" t="n"/>
      <c r="DO529" s="241" t="n"/>
      <c r="DP529" s="240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</row>
    <row customFormat="true" hidden="false" ht="15" outlineLevel="0" r="530" s="1">
      <c r="A530" s="183" t="n">
        <f aca="false" ca="false" dt2D="false" dtr="false" t="normal">+A529+1</f>
        <v>508</v>
      </c>
      <c r="B530" s="117" t="n">
        <f aca="false" ca="false" dt2D="false" dtr="false" t="normal">+B529+1</f>
        <v>49</v>
      </c>
      <c r="C530" s="104" t="s">
        <v>78</v>
      </c>
      <c r="D530" s="104" t="s">
        <v>558</v>
      </c>
      <c r="E530" s="105" t="n">
        <v>1989</v>
      </c>
      <c r="F530" s="105" t="n">
        <v>2017</v>
      </c>
      <c r="G530" s="105" t="s">
        <v>68</v>
      </c>
      <c r="H530" s="105" t="n">
        <v>10</v>
      </c>
      <c r="I530" s="105" t="n">
        <v>1</v>
      </c>
      <c r="J530" s="106" t="n">
        <v>3562.9</v>
      </c>
      <c r="K530" s="106" t="n">
        <v>3068</v>
      </c>
      <c r="L530" s="106" t="n">
        <v>0</v>
      </c>
      <c r="M530" s="107" t="n">
        <v>120</v>
      </c>
      <c r="N530" s="108" t="n">
        <f aca="false" ca="false" dt2D="false" dtr="false" t="normal">SUM(P530:T530)</f>
        <v>13048152.29</v>
      </c>
      <c r="O530" s="106" t="n"/>
      <c r="P530" s="114" t="n"/>
      <c r="Q530" s="114" t="n"/>
      <c r="R530" s="113" t="n">
        <v>2793934.95</v>
      </c>
      <c r="S530" s="113" t="n">
        <v>10254217.34</v>
      </c>
      <c r="T530" s="114" t="n">
        <v>0</v>
      </c>
      <c r="U530" s="114" t="n">
        <v>4712.02335049937</v>
      </c>
      <c r="V530" s="114" t="n">
        <v>1208.283020064</v>
      </c>
      <c r="W530" s="110" t="n">
        <v>2024</v>
      </c>
      <c r="X530" s="9" t="e">
        <f aca="false" ca="false" dt2D="false" dtr="false" t="normal">+#REF!-'[9]Приложение №1'!$P955</f>
        <v>#REF!</v>
      </c>
      <c r="Z530" s="113" t="n">
        <f aca="false" ca="false" dt2D="false" dtr="false" t="normal">SUM(AA530:AO530)</f>
        <v>21469720.476183787</v>
      </c>
      <c r="AA530" s="106" t="n">
        <v>7342919.2042242</v>
      </c>
      <c r="AB530" s="106" t="n">
        <v>2937868.00708756</v>
      </c>
      <c r="AC530" s="106" t="n">
        <v>0</v>
      </c>
      <c r="AD530" s="106" t="n">
        <v>0</v>
      </c>
      <c r="AE530" s="106" t="n">
        <v>0</v>
      </c>
      <c r="AF530" s="106" t="n"/>
      <c r="AG530" s="106" t="n">
        <v>326235.651456195</v>
      </c>
      <c r="AH530" s="106" t="n">
        <v>0</v>
      </c>
      <c r="AI530" s="106" t="n">
        <v>3213549.81143517</v>
      </c>
      <c r="AJ530" s="106" t="n">
        <v>5105615.61905074</v>
      </c>
      <c r="AK530" s="106" t="n">
        <v>0</v>
      </c>
      <c r="AL530" s="106" t="n">
        <v>0</v>
      </c>
      <c r="AM530" s="106" t="n">
        <v>1914957.57220484</v>
      </c>
      <c r="AN530" s="114" t="n">
        <v>214697.204761838</v>
      </c>
      <c r="AO530" s="115" t="n">
        <v>413877.405963246</v>
      </c>
      <c r="AP530" s="112" t="n">
        <f aca="false" ca="false" dt2D="false" dtr="false" t="normal">+N530-'Приложение №2'!E530</f>
        <v>0</v>
      </c>
      <c r="AQ530" s="121" t="n">
        <v>2357389.23</v>
      </c>
      <c r="AR530" s="3" t="n">
        <f aca="false" ca="false" dt2D="false" dtr="false" t="normal">+(K530*13.95+L530*23.65)*12*0.85</f>
        <v>436545.72</v>
      </c>
      <c r="AS530" s="3" t="n">
        <f aca="false" ca="false" dt2D="false" dtr="false" t="normal">+(K530*13.95+L530*23.65)*12*30</f>
        <v>15407495.999999998</v>
      </c>
      <c r="AT530" s="9" t="n">
        <f aca="false" ca="false" dt2D="false" dtr="false" t="normal">+S530-AS530</f>
        <v>-5153278.659999998</v>
      </c>
      <c r="AU530" s="9" t="e">
        <f aca="false" ca="false" dt2D="false" dtr="false" t="normal">+P530-'[5]Приложение №1'!$P493</f>
        <v>#REF!</v>
      </c>
      <c r="AV530" s="9" t="e">
        <f aca="false" ca="false" dt2D="false" dtr="false" t="normal">+Q530-'[5]Приложение №1'!$Q493</f>
        <v>#REF!</v>
      </c>
      <c r="AW530" s="186" t="n">
        <f aca="false" ca="true" dt2D="false" dtr="false" t="normal">SUBTOTAL(9, AX530:BL530)</f>
        <v>14456487.639332062</v>
      </c>
      <c r="AX530" s="106" t="n"/>
      <c r="AY530" s="106" t="n">
        <v>3497984.63771216</v>
      </c>
      <c r="AZ530" s="106" t="n">
        <v>0</v>
      </c>
      <c r="BA530" s="106" t="n">
        <v>0</v>
      </c>
      <c r="BB530" s="106" t="n">
        <v>0</v>
      </c>
      <c r="BC530" s="106" t="n"/>
      <c r="BD530" s="106" t="n">
        <v>0</v>
      </c>
      <c r="BE530" s="106" t="n"/>
      <c r="BF530" s="106" t="n">
        <v>3471145.39377486</v>
      </c>
      <c r="BG530" s="106" t="n">
        <v>6079022.25641768</v>
      </c>
      <c r="BH530" s="106" t="n">
        <v>0</v>
      </c>
      <c r="BI530" s="106" t="n">
        <v>0</v>
      </c>
      <c r="BJ530" s="106" t="n">
        <v>994007.83490775</v>
      </c>
      <c r="BK530" s="114" t="n">
        <v>128990.85295824</v>
      </c>
      <c r="BL530" s="115" t="n">
        <v>285336.663561374</v>
      </c>
      <c r="BM530" s="186" t="n">
        <f aca="false" ca="true" dt2D="false" dtr="false" t="normal">SUBTOTAL(9, BN530:CB530)</f>
        <v>14456487.639332062</v>
      </c>
      <c r="BN530" s="106" t="n"/>
      <c r="BO530" s="106" t="n">
        <v>3497984.63771216</v>
      </c>
      <c r="BP530" s="106" t="n">
        <v>0</v>
      </c>
      <c r="BQ530" s="106" t="n">
        <v>0</v>
      </c>
      <c r="BR530" s="106" t="n">
        <v>0</v>
      </c>
      <c r="BS530" s="106" t="n"/>
      <c r="BT530" s="106" t="n">
        <v>0</v>
      </c>
      <c r="BU530" s="106" t="n"/>
      <c r="BV530" s="106" t="n">
        <v>3471145.39377486</v>
      </c>
      <c r="BW530" s="106" t="n">
        <v>6079022.25641768</v>
      </c>
      <c r="BX530" s="106" t="n">
        <v>0</v>
      </c>
      <c r="BY530" s="106" t="n">
        <v>0</v>
      </c>
      <c r="BZ530" s="106" t="n">
        <v>994007.83490775</v>
      </c>
      <c r="CA530" s="114" t="n">
        <v>128990.85295824</v>
      </c>
      <c r="CB530" s="115" t="n">
        <v>285336.663561374</v>
      </c>
      <c r="CD530" s="116" t="n">
        <f aca="false" ca="false" dt2D="false" dtr="false" t="normal">+CD529+1</f>
        <v>508</v>
      </c>
      <c r="CE530" s="117" t="n">
        <f aca="false" ca="false" dt2D="false" dtr="false" t="normal">+CE529+1</f>
        <v>49</v>
      </c>
      <c r="CF530" s="104" t="s">
        <v>78</v>
      </c>
      <c r="CG530" s="117" t="s">
        <v>558</v>
      </c>
      <c r="CH530" s="108" t="n">
        <f aca="false" ca="true" dt2D="false" dtr="false" t="normal">SUBTOTAL(9, CI530:CW530)</f>
        <v>13048152.29</v>
      </c>
      <c r="CI530" s="106" t="n"/>
      <c r="CJ530" s="114" t="n">
        <v>3497984.64</v>
      </c>
      <c r="CK530" s="114" t="n">
        <v>0</v>
      </c>
      <c r="CL530" s="114" t="n">
        <v>0</v>
      </c>
      <c r="CM530" s="114" t="n">
        <v>0</v>
      </c>
      <c r="CN530" s="114" t="n"/>
      <c r="CO530" s="106" t="n">
        <v>0</v>
      </c>
      <c r="CP530" s="114" t="n"/>
      <c r="CQ530" s="114" t="n">
        <v>3471145.39</v>
      </c>
      <c r="CR530" s="114" t="n">
        <v>6079022.26</v>
      </c>
      <c r="CS530" s="114" t="n">
        <v>0</v>
      </c>
      <c r="CT530" s="114" t="n">
        <v>0</v>
      </c>
      <c r="CU530" s="114" t="n"/>
      <c r="CV530" s="114" t="n"/>
      <c r="CW530" s="115" t="n"/>
      <c r="CX530" s="3" t="n">
        <f aca="false" ca="false" dt2D="false" dtr="false" t="normal">+N530-CH530</f>
        <v>0</v>
      </c>
      <c r="CZ530" s="117" t="s">
        <v>558</v>
      </c>
      <c r="DA530" s="113" t="n">
        <f aca="false" ca="true" dt2D="false" dtr="false" t="normal">SUBTOTAL(9, DB530:DP530)</f>
        <v>13048152.29</v>
      </c>
      <c r="DB530" s="106" t="n"/>
      <c r="DC530" s="114" t="n">
        <v>3497984.64</v>
      </c>
      <c r="DD530" s="114" t="n">
        <v>0</v>
      </c>
      <c r="DE530" s="114" t="n">
        <v>0</v>
      </c>
      <c r="DF530" s="114" t="n">
        <v>0</v>
      </c>
      <c r="DG530" s="114" t="n"/>
      <c r="DH530" s="106" t="n">
        <v>0</v>
      </c>
      <c r="DI530" s="114" t="n"/>
      <c r="DJ530" s="114" t="n">
        <v>3471145.39</v>
      </c>
      <c r="DK530" s="114" t="n">
        <v>6079022.26</v>
      </c>
      <c r="DL530" s="114" t="n">
        <v>0</v>
      </c>
      <c r="DM530" s="114" t="n">
        <v>0</v>
      </c>
      <c r="DN530" s="241" t="n"/>
      <c r="DO530" s="241" t="n"/>
      <c r="DP530" s="240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</row>
    <row customFormat="true" hidden="false" ht="15" outlineLevel="0" r="531" s="1">
      <c r="A531" s="183" t="n">
        <f aca="false" ca="false" dt2D="false" dtr="false" t="normal">+A530+1</f>
        <v>509</v>
      </c>
      <c r="B531" s="117" t="n">
        <f aca="false" ca="false" dt2D="false" dtr="false" t="normal">+B530+1</f>
        <v>50</v>
      </c>
      <c r="C531" s="104" t="s">
        <v>78</v>
      </c>
      <c r="D531" s="104" t="s">
        <v>88</v>
      </c>
      <c r="E531" s="105" t="n">
        <v>1990</v>
      </c>
      <c r="F531" s="105" t="n">
        <v>2017</v>
      </c>
      <c r="G531" s="105" t="s">
        <v>68</v>
      </c>
      <c r="H531" s="105" t="n">
        <v>10</v>
      </c>
      <c r="I531" s="105" t="n">
        <v>3</v>
      </c>
      <c r="J531" s="106" t="n">
        <v>9593.3</v>
      </c>
      <c r="K531" s="106" t="n">
        <v>8146.5</v>
      </c>
      <c r="L531" s="106" t="n">
        <v>251.7</v>
      </c>
      <c r="M531" s="107" t="n">
        <v>290</v>
      </c>
      <c r="N531" s="108" t="n">
        <f aca="false" ca="false" dt2D="false" dtr="false" t="normal">SUM(P531:T531)</f>
        <v>5896514.18</v>
      </c>
      <c r="O531" s="106" t="n"/>
      <c r="P531" s="114" t="n"/>
      <c r="Q531" s="114" t="n"/>
      <c r="R531" s="113" t="n">
        <v>2744022.58</v>
      </c>
      <c r="S531" s="113" t="n">
        <v>3152491.6</v>
      </c>
      <c r="T531" s="114" t="n"/>
      <c r="U531" s="106" t="n">
        <v>710.264940499959</v>
      </c>
      <c r="V531" s="106" t="n">
        <v>710.264940499959</v>
      </c>
      <c r="W531" s="110" t="n">
        <v>2024</v>
      </c>
      <c r="X531" s="9" t="e">
        <f aca="false" ca="false" dt2D="false" dtr="false" t="normal">+#REF!-'[9]Приложение №1'!$P1194</f>
        <v>#REF!</v>
      </c>
      <c r="Z531" s="113" t="n">
        <f aca="false" ca="false" dt2D="false" dtr="false" t="normal">SUM(AA531:AO531)</f>
        <v>59075280.94042444</v>
      </c>
      <c r="AA531" s="106" t="n">
        <v>19753324.8766292</v>
      </c>
      <c r="AB531" s="106" t="n">
        <v>7903213.90915906</v>
      </c>
      <c r="AC531" s="106" t="n">
        <v>5837297.15700799</v>
      </c>
      <c r="AD531" s="106" t="n">
        <v>3730300.48917948</v>
      </c>
      <c r="AE531" s="106" t="n">
        <v>0</v>
      </c>
      <c r="AF531" s="106" t="n"/>
      <c r="AG531" s="106" t="n">
        <v>877612.653812912</v>
      </c>
      <c r="AH531" s="106" t="n">
        <v>0</v>
      </c>
      <c r="AI531" s="106" t="n">
        <v>0</v>
      </c>
      <c r="AJ531" s="106" t="n">
        <v>13734712.4778771</v>
      </c>
      <c r="AK531" s="106" t="n">
        <v>0</v>
      </c>
      <c r="AL531" s="106" t="n">
        <v>0</v>
      </c>
      <c r="AM531" s="106" t="n">
        <v>5514508.1395367</v>
      </c>
      <c r="AN531" s="114" t="n">
        <v>590752.809404245</v>
      </c>
      <c r="AO531" s="115" t="n">
        <v>1133558.42781775</v>
      </c>
      <c r="AP531" s="112" t="n">
        <f aca="false" ca="false" dt2D="false" dtr="false" t="normal">+N531-'Приложение №2'!E531</f>
        <v>0</v>
      </c>
      <c r="AQ531" s="9" t="n">
        <f aca="false" ca="false" dt2D="false" dtr="false" t="normal">5009993.34-R35</f>
        <v>4455241.597560785</v>
      </c>
      <c r="AR531" s="3" t="n">
        <f aca="false" ca="false" dt2D="false" dtr="false" t="normal">+(K531*13.29+L531*22.52)*12*0.85</f>
        <v>1162139.7437999998</v>
      </c>
      <c r="AS531" s="3" t="n">
        <f aca="false" ca="false" dt2D="false" dtr="false" t="normal">+(K531*13.29+L531*22.52)*12*30-S35</f>
        <v>35071939.982439205</v>
      </c>
      <c r="AT531" s="9" t="n">
        <f aca="false" ca="false" dt2D="false" dtr="false" t="normal">+S531-AS531</f>
        <v>-31919448.382439204</v>
      </c>
      <c r="AU531" s="9" t="e">
        <f aca="false" ca="false" dt2D="false" dtr="false" t="normal">+P531-'[5]Приложение №1'!$P232</f>
        <v>#REF!</v>
      </c>
      <c r="AV531" s="9" t="e">
        <f aca="false" ca="false" dt2D="false" dtr="false" t="normal">+Q531-'[5]Приложение №1'!$Q232</f>
        <v>#REF!</v>
      </c>
      <c r="AW531" s="113" t="n">
        <f aca="false" ca="true" dt2D="false" dtr="false" t="normal">SUBTOTAL(9, AX531:BL531)</f>
        <v>5964947.023306755</v>
      </c>
      <c r="AX531" s="106" t="n"/>
      <c r="AY531" s="106" t="n"/>
      <c r="AZ531" s="106" t="n">
        <v>5837297.15700799</v>
      </c>
      <c r="BA531" s="106" t="n"/>
      <c r="BB531" s="106" t="n"/>
      <c r="BC531" s="106" t="n"/>
      <c r="BD531" s="106" t="n"/>
      <c r="BE531" s="106" t="n"/>
      <c r="BF531" s="106" t="n"/>
      <c r="BG531" s="106" t="n"/>
      <c r="BH531" s="106" t="n">
        <v>0</v>
      </c>
      <c r="BI531" s="106" t="n">
        <v>0</v>
      </c>
      <c r="BJ531" s="106" t="n"/>
      <c r="BK531" s="114" t="n"/>
      <c r="BL531" s="115" t="n">
        <v>127649.866298765</v>
      </c>
      <c r="BM531" s="113" t="n">
        <f aca="false" ca="true" dt2D="false" dtr="false" t="normal">SUBTOTAL(9, BN531:CB531)</f>
        <v>5964947.023306755</v>
      </c>
      <c r="BN531" s="106" t="n"/>
      <c r="BO531" s="106" t="n"/>
      <c r="BP531" s="106" t="n">
        <v>5837297.15700799</v>
      </c>
      <c r="BQ531" s="106" t="n"/>
      <c r="BR531" s="106" t="n"/>
      <c r="BS531" s="106" t="n"/>
      <c r="BT531" s="106" t="n"/>
      <c r="BU531" s="106" t="n"/>
      <c r="BV531" s="106" t="n"/>
      <c r="BW531" s="106" t="n"/>
      <c r="BX531" s="106" t="n">
        <v>0</v>
      </c>
      <c r="BY531" s="106" t="n">
        <v>0</v>
      </c>
      <c r="BZ531" s="106" t="n"/>
      <c r="CA531" s="114" t="n"/>
      <c r="CB531" s="115" t="n">
        <v>127649.866298765</v>
      </c>
      <c r="CD531" s="116" t="n">
        <f aca="false" ca="false" dt2D="false" dtr="false" t="normal">+CD530+1</f>
        <v>509</v>
      </c>
      <c r="CE531" s="117" t="n">
        <f aca="false" ca="false" dt2D="false" dtr="false" t="normal">+CE530+1</f>
        <v>50</v>
      </c>
      <c r="CF531" s="104" t="s">
        <v>78</v>
      </c>
      <c r="CG531" s="117" t="s">
        <v>88</v>
      </c>
      <c r="CH531" s="108" t="n">
        <f aca="false" ca="true" dt2D="false" dtr="false" t="normal">SUBTOTAL(9, CI531:CW531)</f>
        <v>5964947.03</v>
      </c>
      <c r="CI531" s="106" t="n"/>
      <c r="CJ531" s="114" t="n"/>
      <c r="CK531" s="114" t="n">
        <v>5837297.16</v>
      </c>
      <c r="CL531" s="114" t="n"/>
      <c r="CM531" s="114" t="n"/>
      <c r="CN531" s="114" t="n"/>
      <c r="CO531" s="106" t="n"/>
      <c r="CP531" s="114" t="n"/>
      <c r="CQ531" s="114" t="n"/>
      <c r="CR531" s="114" t="n"/>
      <c r="CS531" s="114" t="n">
        <v>0</v>
      </c>
      <c r="CT531" s="114" t="n">
        <v>0</v>
      </c>
      <c r="CU531" s="114" t="n"/>
      <c r="CV531" s="114" t="n"/>
      <c r="CW531" s="115" t="n">
        <v>127649.87</v>
      </c>
      <c r="CX531" s="3" t="n">
        <f aca="false" ca="false" dt2D="false" dtr="false" t="normal">+N531-CH531</f>
        <v>-68432.85000000056</v>
      </c>
      <c r="CZ531" s="117" t="s">
        <v>88</v>
      </c>
      <c r="DA531" s="113" t="n">
        <f aca="false" ca="true" dt2D="false" dtr="false" t="normal">SUBTOTAL(9, DB531:DP531)</f>
        <v>5896514.1790000005</v>
      </c>
      <c r="DB531" s="106" t="n"/>
      <c r="DC531" s="114" t="n"/>
      <c r="DD531" s="114" t="n">
        <v>5837297.16</v>
      </c>
      <c r="DE531" s="114" t="n"/>
      <c r="DF531" s="114" t="n"/>
      <c r="DG531" s="114" t="n"/>
      <c r="DH531" s="106" t="n"/>
      <c r="DI531" s="114" t="n"/>
      <c r="DJ531" s="114" t="n"/>
      <c r="DK531" s="114" t="n"/>
      <c r="DL531" s="114" t="n">
        <v>0</v>
      </c>
      <c r="DM531" s="114" t="n">
        <v>0</v>
      </c>
      <c r="DN531" s="114" t="n"/>
      <c r="DO531" s="114" t="n"/>
      <c r="DP531" s="115" t="n">
        <f aca="false" ca="false" dt2D="false" dtr="false" t="normal">51493.06*1.15</f>
        <v>59217.01899999999</v>
      </c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</row>
    <row customFormat="true" hidden="false" ht="15" outlineLevel="0" r="532" s="1">
      <c r="A532" s="183" t="n">
        <f aca="false" ca="false" dt2D="false" dtr="false" t="normal">+A531+1</f>
        <v>510</v>
      </c>
      <c r="B532" s="117" t="n">
        <f aca="false" ca="false" dt2D="false" dtr="false" t="normal">+B531+1</f>
        <v>51</v>
      </c>
      <c r="C532" s="104" t="s">
        <v>78</v>
      </c>
      <c r="D532" s="104" t="s">
        <v>89</v>
      </c>
      <c r="E532" s="105" t="n">
        <v>1990</v>
      </c>
      <c r="F532" s="105" t="n">
        <v>2017</v>
      </c>
      <c r="G532" s="105" t="s">
        <v>68</v>
      </c>
      <c r="H532" s="105" t="n">
        <v>9</v>
      </c>
      <c r="I532" s="105" t="n">
        <v>2</v>
      </c>
      <c r="J532" s="106" t="n">
        <v>9044.7</v>
      </c>
      <c r="K532" s="106" t="n">
        <v>7731.7</v>
      </c>
      <c r="L532" s="106" t="n">
        <v>0</v>
      </c>
      <c r="M532" s="107" t="n">
        <v>294</v>
      </c>
      <c r="N532" s="108" t="n">
        <f aca="false" ca="false" dt2D="false" dtr="false" t="normal">SUM(P532:T532)</f>
        <v>4030771.63</v>
      </c>
      <c r="O532" s="106" t="n"/>
      <c r="P532" s="114" t="n"/>
      <c r="Q532" s="114" t="n"/>
      <c r="R532" s="113" t="n">
        <v>4030771.63</v>
      </c>
      <c r="S532" s="114" t="n"/>
      <c r="T532" s="114" t="n"/>
      <c r="U532" s="106" t="n">
        <v>635.890939165021</v>
      </c>
      <c r="V532" s="106" t="n">
        <v>635.890939165021</v>
      </c>
      <c r="W532" s="110" t="n">
        <v>2024</v>
      </c>
      <c r="X532" s="9" t="e">
        <f aca="false" ca="false" dt2D="false" dtr="false" t="normal">+#REF!-'[9]Приложение №1'!$P1107</f>
        <v>#REF!</v>
      </c>
      <c r="Z532" s="113" t="n">
        <f aca="false" ca="false" dt2D="false" dtr="false" t="normal">SUM(AA532:AO532)</f>
        <v>55666319.91085491</v>
      </c>
      <c r="AA532" s="106" t="n">
        <v>18613451.927455</v>
      </c>
      <c r="AB532" s="106" t="n">
        <v>7447156.01496393</v>
      </c>
      <c r="AC532" s="106" t="n">
        <v>5500453.75635916</v>
      </c>
      <c r="AD532" s="106" t="n">
        <v>3515042.11386982</v>
      </c>
      <c r="AE532" s="106" t="n">
        <v>0</v>
      </c>
      <c r="AF532" s="106" t="n"/>
      <c r="AG532" s="106" t="n">
        <v>826969.68964449</v>
      </c>
      <c r="AH532" s="106" t="n">
        <v>0</v>
      </c>
      <c r="AI532" s="106" t="n">
        <v>0</v>
      </c>
      <c r="AJ532" s="106" t="n">
        <v>12942145.7927243</v>
      </c>
      <c r="AK532" s="106" t="n">
        <v>0</v>
      </c>
      <c r="AL532" s="106" t="n">
        <v>0</v>
      </c>
      <c r="AM532" s="106" t="n">
        <v>5196291.39903769</v>
      </c>
      <c r="AN532" s="114" t="n">
        <v>556663.199108549</v>
      </c>
      <c r="AO532" s="115" t="n">
        <v>1068146.01769197</v>
      </c>
      <c r="AP532" s="112" t="n">
        <f aca="false" ca="false" dt2D="false" dtr="false" t="normal">+N532-'Приложение №2'!E532</f>
        <v>0</v>
      </c>
      <c r="AQ532" s="1" t="n">
        <v>4614966.51</v>
      </c>
      <c r="AR532" s="3" t="n">
        <f aca="false" ca="false" dt2D="false" dtr="false" t="normal">+(K532*13.29+L532*22.52)*12*0.85</f>
        <v>1048093.7885999999</v>
      </c>
      <c r="AS532" s="3" t="n">
        <f aca="false" ca="false" dt2D="false" dtr="false" t="normal">+(K532*13.29+L532*22.52)*12*30</f>
        <v>36991545.48</v>
      </c>
      <c r="AT532" s="9" t="n">
        <f aca="false" ca="false" dt2D="false" dtr="false" t="normal">+S532-AS532</f>
        <v>-36991545.48</v>
      </c>
      <c r="AU532" s="9" t="e">
        <f aca="false" ca="false" dt2D="false" dtr="false" t="normal">+P532-'[5]Приложение №1'!$P233</f>
        <v>#REF!</v>
      </c>
      <c r="AV532" s="9" t="e">
        <f aca="false" ca="false" dt2D="false" dtr="false" t="normal">+Q532-'[5]Приложение №1'!$Q233</f>
        <v>#REF!</v>
      </c>
      <c r="AW532" s="113" t="n">
        <f aca="false" ca="true" dt2D="false" dtr="false" t="normal">SUBTOTAL(9, AX532:BL532)</f>
        <v>4916517.974342194</v>
      </c>
      <c r="AX532" s="106" t="n"/>
      <c r="AY532" s="106" t="n"/>
      <c r="AZ532" s="106" t="n"/>
      <c r="BA532" s="106" t="n"/>
      <c r="BB532" s="106" t="n">
        <v>0</v>
      </c>
      <c r="BC532" s="106" t="n"/>
      <c r="BD532" s="106" t="n"/>
      <c r="BE532" s="106" t="n">
        <v>0</v>
      </c>
      <c r="BF532" s="106" t="n">
        <v>0</v>
      </c>
      <c r="BG532" s="106" t="n">
        <v>3968655.74</v>
      </c>
      <c r="BH532" s="106" t="n">
        <v>0</v>
      </c>
      <c r="BI532" s="106" t="n">
        <v>0</v>
      </c>
      <c r="BJ532" s="106" t="n"/>
      <c r="BK532" s="114" t="n"/>
      <c r="BL532" s="115" t="n">
        <v>947862.234342194</v>
      </c>
      <c r="BM532" s="113" t="n">
        <f aca="false" ca="true" dt2D="false" dtr="false" t="normal">SUBTOTAL(9, BN532:CB532)</f>
        <v>4916517.974342194</v>
      </c>
      <c r="BN532" s="106" t="n"/>
      <c r="BO532" s="106" t="n"/>
      <c r="BP532" s="106" t="n"/>
      <c r="BQ532" s="106" t="n"/>
      <c r="BR532" s="106" t="n">
        <v>0</v>
      </c>
      <c r="BS532" s="106" t="n"/>
      <c r="BT532" s="106" t="n"/>
      <c r="BU532" s="106" t="n">
        <v>0</v>
      </c>
      <c r="BV532" s="106" t="n">
        <v>0</v>
      </c>
      <c r="BW532" s="106" t="n">
        <v>3968655.74</v>
      </c>
      <c r="BX532" s="106" t="n">
        <v>0</v>
      </c>
      <c r="BY532" s="106" t="n">
        <v>0</v>
      </c>
      <c r="BZ532" s="106" t="n"/>
      <c r="CA532" s="114" t="n"/>
      <c r="CB532" s="115" t="n">
        <v>947862.234342194</v>
      </c>
      <c r="CD532" s="116" t="n">
        <f aca="false" ca="false" dt2D="false" dtr="false" t="normal">+CD531+1</f>
        <v>510</v>
      </c>
      <c r="CE532" s="117" t="n">
        <f aca="false" ca="false" dt2D="false" dtr="false" t="normal">+CE531+1</f>
        <v>51</v>
      </c>
      <c r="CF532" s="104" t="s">
        <v>78</v>
      </c>
      <c r="CG532" s="117" t="s">
        <v>89</v>
      </c>
      <c r="CH532" s="108" t="n">
        <f aca="false" ca="true" dt2D="false" dtr="false" t="normal">SUBTOTAL(9, CI532:CW532)</f>
        <v>4916517.970000001</v>
      </c>
      <c r="CI532" s="106" t="n"/>
      <c r="CJ532" s="114" t="n"/>
      <c r="CK532" s="114" t="n"/>
      <c r="CL532" s="114" t="n"/>
      <c r="CM532" s="114" t="n">
        <v>0</v>
      </c>
      <c r="CN532" s="114" t="n"/>
      <c r="CO532" s="106" t="n"/>
      <c r="CP532" s="114" t="n">
        <v>0</v>
      </c>
      <c r="CQ532" s="114" t="n">
        <v>0</v>
      </c>
      <c r="CR532" s="114" t="n">
        <v>3968655.74</v>
      </c>
      <c r="CS532" s="114" t="n">
        <v>0</v>
      </c>
      <c r="CT532" s="114" t="n">
        <v>0</v>
      </c>
      <c r="CU532" s="114" t="n"/>
      <c r="CV532" s="114" t="n"/>
      <c r="CW532" s="115" t="n">
        <v>947862.23</v>
      </c>
      <c r="CX532" s="3" t="n">
        <f aca="false" ca="false" dt2D="false" dtr="false" t="normal">+N532-CH532</f>
        <v>-885746.3400000008</v>
      </c>
      <c r="CZ532" s="117" t="s">
        <v>89</v>
      </c>
      <c r="DA532" s="113" t="n">
        <f aca="false" ca="true" dt2D="false" dtr="false" t="normal">SUBTOTAL(9, DB532:DP532)</f>
        <v>4030771.6330000004</v>
      </c>
      <c r="DB532" s="106" t="n"/>
      <c r="DC532" s="114" t="n"/>
      <c r="DD532" s="114" t="n"/>
      <c r="DE532" s="114" t="n"/>
      <c r="DF532" s="114" t="n">
        <v>0</v>
      </c>
      <c r="DG532" s="114" t="n"/>
      <c r="DH532" s="106" t="n"/>
      <c r="DI532" s="114" t="n">
        <v>0</v>
      </c>
      <c r="DJ532" s="114" t="n">
        <v>0</v>
      </c>
      <c r="DK532" s="114" t="n">
        <v>3968655.74</v>
      </c>
      <c r="DL532" s="114" t="n">
        <v>0</v>
      </c>
      <c r="DM532" s="114" t="n">
        <v>0</v>
      </c>
      <c r="DN532" s="114" t="n"/>
      <c r="DO532" s="114" t="n"/>
      <c r="DP532" s="115" t="n">
        <f aca="false" ca="false" dt2D="false" dtr="false" t="normal">54013.82*1.15</f>
        <v>62115.893</v>
      </c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</row>
    <row customFormat="true" hidden="false" ht="15" outlineLevel="0" r="533" s="1">
      <c r="A533" s="183" t="n">
        <f aca="false" ca="false" dt2D="false" dtr="false" t="normal">+A532+1</f>
        <v>511</v>
      </c>
      <c r="B533" s="117" t="n">
        <f aca="false" ca="false" dt2D="false" dtr="false" t="normal">+B532+1</f>
        <v>52</v>
      </c>
      <c r="C533" s="104" t="s">
        <v>78</v>
      </c>
      <c r="D533" s="104" t="s">
        <v>92</v>
      </c>
      <c r="E533" s="105" t="n">
        <v>1990</v>
      </c>
      <c r="F533" s="105" t="n">
        <v>2017</v>
      </c>
      <c r="G533" s="105" t="s">
        <v>68</v>
      </c>
      <c r="H533" s="105" t="n">
        <v>10</v>
      </c>
      <c r="I533" s="105" t="n">
        <v>1</v>
      </c>
      <c r="J533" s="106" t="n">
        <v>3562.9</v>
      </c>
      <c r="K533" s="106" t="n">
        <v>3045.6</v>
      </c>
      <c r="L533" s="106" t="n">
        <v>0</v>
      </c>
      <c r="M533" s="107" t="n">
        <v>121</v>
      </c>
      <c r="N533" s="108" t="n">
        <f aca="false" ca="false" dt2D="false" dtr="false" t="normal">SUM(P533:T533)</f>
        <v>2181504.77</v>
      </c>
      <c r="O533" s="106" t="n"/>
      <c r="P533" s="114" t="n"/>
      <c r="Q533" s="114" t="n"/>
      <c r="R533" s="113" t="n">
        <v>111696.62</v>
      </c>
      <c r="S533" s="113" t="n">
        <v>2069808.15</v>
      </c>
      <c r="T533" s="114" t="n"/>
      <c r="U533" s="106" t="n">
        <v>723.822792115745</v>
      </c>
      <c r="V533" s="106" t="n">
        <v>723.822792115745</v>
      </c>
      <c r="W533" s="110" t="n">
        <v>2024</v>
      </c>
      <c r="X533" s="9" t="e">
        <f aca="false" ca="false" dt2D="false" dtr="false" t="normal">+#REF!-'[9]Приложение №1'!$P1198</f>
        <v>#REF!</v>
      </c>
      <c r="Z533" s="113" t="n">
        <f aca="false" ca="false" dt2D="false" dtr="false" t="normal">SUM(AA533:AO533)</f>
        <v>21832542.93186196</v>
      </c>
      <c r="AA533" s="106" t="n">
        <v>7300266.82142979</v>
      </c>
      <c r="AB533" s="106" t="n">
        <v>2920802.98603086</v>
      </c>
      <c r="AC533" s="106" t="n">
        <v>2157298.93718042</v>
      </c>
      <c r="AD533" s="106" t="n">
        <v>1378612.92036661</v>
      </c>
      <c r="AE533" s="106" t="n">
        <v>0</v>
      </c>
      <c r="AF533" s="106" t="n"/>
      <c r="AG533" s="106" t="n">
        <v>324340.665620168</v>
      </c>
      <c r="AH533" s="106" t="n">
        <v>0</v>
      </c>
      <c r="AI533" s="106" t="n">
        <v>0</v>
      </c>
      <c r="AJ533" s="106" t="n">
        <v>5075958.92996997</v>
      </c>
      <c r="AK533" s="106" t="n">
        <v>0</v>
      </c>
      <c r="AL533" s="106" t="n">
        <v>0</v>
      </c>
      <c r="AM533" s="106" t="n">
        <v>2038005.30082883</v>
      </c>
      <c r="AN533" s="114" t="n">
        <v>218325.42931862</v>
      </c>
      <c r="AO533" s="115" t="n">
        <v>418930.941116691</v>
      </c>
      <c r="AP533" s="112" t="n">
        <f aca="false" ca="false" dt2D="false" dtr="false" t="normal">+N533-'Приложение №2'!E533</f>
        <v>0</v>
      </c>
      <c r="AQ533" s="9" t="n">
        <f aca="false" ca="false" dt2D="false" dtr="false" t="normal">1845490.3-R39</f>
        <v>-301158.82262939983</v>
      </c>
      <c r="AR533" s="3" t="n">
        <f aca="false" ca="false" dt2D="false" dtr="false" t="normal">+(K533*13.29+L533*22.52)*12*0.85</f>
        <v>412855.44479999994</v>
      </c>
      <c r="AS533" s="3" t="n">
        <f aca="false" ca="false" dt2D="false" dtr="false" t="normal">+(K533*13.29+L533*22.52)*12*30-S39</f>
        <v>10523876.712629398</v>
      </c>
      <c r="AT533" s="9" t="n">
        <f aca="false" ca="false" dt2D="false" dtr="false" t="normal">+S533-AS533</f>
        <v>-8454068.562629398</v>
      </c>
      <c r="AU533" s="9" t="e">
        <f aca="false" ca="false" dt2D="false" dtr="false" t="normal">+P533-'[5]Приложение №1'!$P234</f>
        <v>#REF!</v>
      </c>
      <c r="AV533" s="9" t="e">
        <f aca="false" ca="false" dt2D="false" dtr="false" t="normal">+Q533-'[5]Приложение №1'!$Q234</f>
        <v>#REF!</v>
      </c>
      <c r="AW533" s="113" t="n">
        <f aca="false" ca="true" dt2D="false" dtr="false" t="normal">SUBTOTAL(9, AX533:BL533)</f>
        <v>2204474.6956677088</v>
      </c>
      <c r="AX533" s="106" t="n"/>
      <c r="AY533" s="106" t="n"/>
      <c r="AZ533" s="106" t="n">
        <v>2157298.93718042</v>
      </c>
      <c r="BA533" s="106" t="n"/>
      <c r="BB533" s="106" t="n">
        <v>0</v>
      </c>
      <c r="BC533" s="106" t="n"/>
      <c r="BD533" s="106" t="n"/>
      <c r="BE533" s="106" t="n">
        <v>0</v>
      </c>
      <c r="BF533" s="106" t="n">
        <v>0</v>
      </c>
      <c r="BG533" s="106" t="n"/>
      <c r="BH533" s="106" t="n">
        <v>0</v>
      </c>
      <c r="BI533" s="106" t="n">
        <v>0</v>
      </c>
      <c r="BJ533" s="106" t="n"/>
      <c r="BK533" s="114" t="n"/>
      <c r="BL533" s="115" t="n">
        <v>47175.758487289</v>
      </c>
      <c r="BM533" s="113" t="n">
        <f aca="false" ca="true" dt2D="false" dtr="false" t="normal">SUBTOTAL(9, BN533:CB533)</f>
        <v>2204474.6956677088</v>
      </c>
      <c r="BN533" s="106" t="n"/>
      <c r="BO533" s="106" t="n"/>
      <c r="BP533" s="106" t="n">
        <v>2157298.93718042</v>
      </c>
      <c r="BQ533" s="106" t="n"/>
      <c r="BR533" s="106" t="n">
        <v>0</v>
      </c>
      <c r="BS533" s="106" t="n"/>
      <c r="BT533" s="106" t="n"/>
      <c r="BU533" s="106" t="n">
        <v>0</v>
      </c>
      <c r="BV533" s="106" t="n">
        <v>0</v>
      </c>
      <c r="BW533" s="106" t="n"/>
      <c r="BX533" s="106" t="n">
        <v>0</v>
      </c>
      <c r="BY533" s="106" t="n">
        <v>0</v>
      </c>
      <c r="BZ533" s="106" t="n"/>
      <c r="CA533" s="114" t="n"/>
      <c r="CB533" s="115" t="n">
        <v>47175.758487289</v>
      </c>
      <c r="CD533" s="116" t="n">
        <f aca="false" ca="false" dt2D="false" dtr="false" t="normal">+CD532+1</f>
        <v>511</v>
      </c>
      <c r="CE533" s="117" t="n">
        <f aca="false" ca="false" dt2D="false" dtr="false" t="normal">+CE532+1</f>
        <v>52</v>
      </c>
      <c r="CF533" s="104" t="s">
        <v>78</v>
      </c>
      <c r="CG533" s="117" t="s">
        <v>92</v>
      </c>
      <c r="CH533" s="108" t="n">
        <f aca="false" ca="true" dt2D="false" dtr="false" t="normal">SUBTOTAL(9, CI533:CW533)</f>
        <v>2204474.6999999997</v>
      </c>
      <c r="CI533" s="106" t="n"/>
      <c r="CJ533" s="114" t="n"/>
      <c r="CK533" s="114" t="n">
        <v>2157298.94</v>
      </c>
      <c r="CL533" s="114" t="n"/>
      <c r="CM533" s="114" t="n">
        <v>0</v>
      </c>
      <c r="CN533" s="114" t="n"/>
      <c r="CO533" s="106" t="n"/>
      <c r="CP533" s="114" t="n">
        <v>0</v>
      </c>
      <c r="CQ533" s="114" t="n">
        <v>0</v>
      </c>
      <c r="CR533" s="114" t="n"/>
      <c r="CS533" s="114" t="n">
        <v>0</v>
      </c>
      <c r="CT533" s="114" t="n">
        <v>0</v>
      </c>
      <c r="CU533" s="114" t="n"/>
      <c r="CV533" s="114" t="n"/>
      <c r="CW533" s="115" t="n">
        <v>47175.76</v>
      </c>
      <c r="CX533" s="3" t="n">
        <f aca="false" ca="false" dt2D="false" dtr="false" t="normal">+N533-CH533</f>
        <v>-22969.929999999702</v>
      </c>
      <c r="CZ533" s="117" t="s">
        <v>92</v>
      </c>
      <c r="DA533" s="113" t="n">
        <f aca="false" ca="true" dt2D="false" dtr="false" t="normal">SUBTOTAL(9, DB533:DP533)</f>
        <v>2181504.7725</v>
      </c>
      <c r="DB533" s="106" t="n"/>
      <c r="DC533" s="114" t="n"/>
      <c r="DD533" s="114" t="n">
        <v>2157298.94</v>
      </c>
      <c r="DE533" s="114" t="n"/>
      <c r="DF533" s="114" t="n">
        <v>0</v>
      </c>
      <c r="DG533" s="114" t="n"/>
      <c r="DH533" s="106" t="n"/>
      <c r="DI533" s="114" t="n">
        <v>0</v>
      </c>
      <c r="DJ533" s="114" t="n">
        <v>0</v>
      </c>
      <c r="DK533" s="114" t="n"/>
      <c r="DL533" s="114" t="n">
        <v>0</v>
      </c>
      <c r="DM533" s="114" t="n">
        <v>0</v>
      </c>
      <c r="DN533" s="114" t="n"/>
      <c r="DO533" s="114" t="n"/>
      <c r="DP533" s="115" t="n">
        <f aca="false" ca="false" dt2D="false" dtr="false" t="normal">21048.55*1.15</f>
        <v>24205.832499999997</v>
      </c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</row>
    <row customFormat="true" hidden="false" ht="15" outlineLevel="0" r="534" s="1">
      <c r="A534" s="183" t="n">
        <f aca="false" ca="false" dt2D="false" dtr="false" t="normal">+A533+1</f>
        <v>512</v>
      </c>
      <c r="B534" s="117" t="n">
        <f aca="false" ca="false" dt2D="false" dtr="false" t="normal">+B533+1</f>
        <v>53</v>
      </c>
      <c r="C534" s="104" t="s">
        <v>78</v>
      </c>
      <c r="D534" s="104" t="s">
        <v>93</v>
      </c>
      <c r="E534" s="105" t="n">
        <v>1990</v>
      </c>
      <c r="F534" s="105" t="n">
        <v>2017</v>
      </c>
      <c r="G534" s="105" t="s">
        <v>68</v>
      </c>
      <c r="H534" s="105" t="n">
        <v>9</v>
      </c>
      <c r="I534" s="105" t="n">
        <v>1</v>
      </c>
      <c r="J534" s="106" t="n">
        <v>3197.5</v>
      </c>
      <c r="K534" s="106" t="n">
        <v>2621.1</v>
      </c>
      <c r="L534" s="106" t="n">
        <v>132.4</v>
      </c>
      <c r="M534" s="107" t="n">
        <v>94</v>
      </c>
      <c r="N534" s="108" t="n">
        <f aca="false" ca="false" dt2D="false" dtr="false" t="normal">SUM(P534:T534)</f>
        <v>1105696.1199999999</v>
      </c>
      <c r="O534" s="106" t="n"/>
      <c r="P534" s="114" t="n"/>
      <c r="Q534" s="114" t="n"/>
      <c r="R534" s="113" t="n">
        <v>311099.68</v>
      </c>
      <c r="S534" s="113" t="n">
        <v>794596.44</v>
      </c>
      <c r="T534" s="114" t="n"/>
      <c r="U534" s="106" t="n">
        <v>486.047836516851</v>
      </c>
      <c r="V534" s="106" t="n">
        <v>486.047836516851</v>
      </c>
      <c r="W534" s="110" t="n">
        <v>2024</v>
      </c>
      <c r="X534" s="9" t="e">
        <f aca="false" ca="false" dt2D="false" dtr="false" t="normal">+#REF!-'[9]Приложение №1'!$P1109</f>
        <v>#REF!</v>
      </c>
      <c r="Z534" s="113" t="n">
        <f aca="false" ca="false" dt2D="false" dtr="false" t="normal">SUM(AA534:AO534)</f>
        <v>19626786.772724852</v>
      </c>
      <c r="AA534" s="106" t="n">
        <v>6562716.06726577</v>
      </c>
      <c r="AB534" s="106" t="n">
        <v>2625712.34101665</v>
      </c>
      <c r="AC534" s="106" t="n">
        <v>1939345.60793991</v>
      </c>
      <c r="AD534" s="106" t="n">
        <v>1239330.75109961</v>
      </c>
      <c r="AE534" s="106" t="n">
        <v>0</v>
      </c>
      <c r="AF534" s="106" t="n"/>
      <c r="AG534" s="106" t="n">
        <v>291572.315039886</v>
      </c>
      <c r="AH534" s="106" t="n">
        <v>0</v>
      </c>
      <c r="AI534" s="106" t="n">
        <v>0</v>
      </c>
      <c r="AJ534" s="106" t="n">
        <v>4563131.46373064</v>
      </c>
      <c r="AK534" s="106" t="n">
        <v>0</v>
      </c>
      <c r="AL534" s="106" t="n">
        <v>0</v>
      </c>
      <c r="AM534" s="106" t="n">
        <v>1832104.28605987</v>
      </c>
      <c r="AN534" s="114" t="n">
        <v>196267.867727248</v>
      </c>
      <c r="AO534" s="115" t="n">
        <v>376606.072845267</v>
      </c>
      <c r="AP534" s="112" t="n">
        <f aca="false" ca="false" dt2D="false" dtr="false" t="normal">+N534-'Приложение №2'!E534</f>
        <v>0</v>
      </c>
      <c r="AQ534" s="1" t="n">
        <v>1678059.52</v>
      </c>
      <c r="AR534" s="3" t="n">
        <f aca="false" ca="false" dt2D="false" dtr="false" t="normal">+(K534*13.29+L534*22.52)*12*0.85</f>
        <v>385723.88339999993</v>
      </c>
      <c r="AS534" s="3" t="n">
        <f aca="false" ca="false" dt2D="false" dtr="false" t="normal">+(K534*13.29+L534*22.52)*12*30</f>
        <v>13613784.12</v>
      </c>
      <c r="AT534" s="9" t="n">
        <f aca="false" ca="false" dt2D="false" dtr="false" t="normal">+S534-AS534</f>
        <v>-12819187.68</v>
      </c>
      <c r="AU534" s="9" t="e">
        <f aca="false" ca="false" dt2D="false" dtr="false" t="normal">+P534-'[5]Приложение №1'!$P235</f>
        <v>#REF!</v>
      </c>
      <c r="AV534" s="9" t="e">
        <f aca="false" ca="false" dt2D="false" dtr="false" t="normal">+Q534-'[5]Приложение №1'!$Q235</f>
        <v>#REF!</v>
      </c>
      <c r="AW534" s="113" t="n">
        <f aca="false" ca="true" dt2D="false" dtr="false" t="normal">SUBTOTAL(9, AX534:BL534)</f>
        <v>1338332.7178491482</v>
      </c>
      <c r="AX534" s="106" t="n"/>
      <c r="AY534" s="106" t="n"/>
      <c r="AZ534" s="106" t="n"/>
      <c r="BA534" s="106" t="n"/>
      <c r="BB534" s="106" t="n"/>
      <c r="BC534" s="106" t="n"/>
      <c r="BD534" s="106" t="n"/>
      <c r="BE534" s="106" t="n">
        <v>0</v>
      </c>
      <c r="BF534" s="106" t="n">
        <v>0</v>
      </c>
      <c r="BG534" s="106" t="n">
        <v>1088656.87</v>
      </c>
      <c r="BH534" s="106" t="n">
        <v>0</v>
      </c>
      <c r="BI534" s="106" t="n">
        <v>0</v>
      </c>
      <c r="BJ534" s="106" t="n"/>
      <c r="BK534" s="114" t="n"/>
      <c r="BL534" s="115" t="n">
        <v>249675.847849148</v>
      </c>
      <c r="BM534" s="113" t="n">
        <f aca="false" ca="true" dt2D="false" dtr="false" t="normal">SUBTOTAL(9, BN534:CB534)</f>
        <v>1338332.7178491482</v>
      </c>
      <c r="BN534" s="106" t="n"/>
      <c r="BO534" s="106" t="n"/>
      <c r="BP534" s="106" t="n"/>
      <c r="BQ534" s="106" t="n"/>
      <c r="BR534" s="106" t="n"/>
      <c r="BS534" s="106" t="n"/>
      <c r="BT534" s="106" t="n"/>
      <c r="BU534" s="106" t="n">
        <v>0</v>
      </c>
      <c r="BV534" s="106" t="n">
        <v>0</v>
      </c>
      <c r="BW534" s="106" t="n">
        <v>1088656.87</v>
      </c>
      <c r="BX534" s="106" t="n">
        <v>0</v>
      </c>
      <c r="BY534" s="106" t="n">
        <v>0</v>
      </c>
      <c r="BZ534" s="106" t="n"/>
      <c r="CA534" s="114" t="n"/>
      <c r="CB534" s="115" t="n">
        <v>249675.847849148</v>
      </c>
      <c r="CD534" s="116" t="n">
        <f aca="false" ca="false" dt2D="false" dtr="false" t="normal">+CD533+1</f>
        <v>512</v>
      </c>
      <c r="CE534" s="117" t="n">
        <f aca="false" ca="false" dt2D="false" dtr="false" t="normal">+CE533+1</f>
        <v>53</v>
      </c>
      <c r="CF534" s="104" t="s">
        <v>78</v>
      </c>
      <c r="CG534" s="117" t="s">
        <v>93</v>
      </c>
      <c r="CH534" s="108" t="n">
        <f aca="false" ca="true" dt2D="false" dtr="false" t="normal">SUBTOTAL(9, CI534:CW534)</f>
        <v>1338332.7200000002</v>
      </c>
      <c r="CI534" s="106" t="n"/>
      <c r="CJ534" s="114" t="n"/>
      <c r="CK534" s="114" t="n"/>
      <c r="CL534" s="114" t="n"/>
      <c r="CM534" s="114" t="n"/>
      <c r="CN534" s="114" t="n"/>
      <c r="CO534" s="106" t="n"/>
      <c r="CP534" s="114" t="n">
        <v>0</v>
      </c>
      <c r="CQ534" s="114" t="n">
        <v>0</v>
      </c>
      <c r="CR534" s="114" t="n">
        <v>1088656.87</v>
      </c>
      <c r="CS534" s="114" t="n">
        <v>0</v>
      </c>
      <c r="CT534" s="114" t="n">
        <v>0</v>
      </c>
      <c r="CU534" s="114" t="n"/>
      <c r="CV534" s="114" t="n"/>
      <c r="CW534" s="115" t="n">
        <v>249675.85</v>
      </c>
      <c r="CX534" s="3" t="n">
        <f aca="false" ca="false" dt2D="false" dtr="false" t="normal">+N534-CH534</f>
        <v>-232636.60000000033</v>
      </c>
      <c r="CZ534" s="117" t="s">
        <v>93</v>
      </c>
      <c r="DA534" s="113" t="n">
        <f aca="false" ca="true" dt2D="false" dtr="false" t="normal">SUBTOTAL(9, DB534:DP534)</f>
        <v>1105696.121</v>
      </c>
      <c r="DB534" s="106" t="n"/>
      <c r="DC534" s="114" t="n"/>
      <c r="DD534" s="114" t="n"/>
      <c r="DE534" s="114" t="n"/>
      <c r="DF534" s="114" t="n"/>
      <c r="DG534" s="114" t="n"/>
      <c r="DH534" s="106" t="n"/>
      <c r="DI534" s="114" t="n">
        <v>0</v>
      </c>
      <c r="DJ534" s="114" t="n">
        <v>0</v>
      </c>
      <c r="DK534" s="114" t="n">
        <v>1088656.87</v>
      </c>
      <c r="DL534" s="114" t="n">
        <v>0</v>
      </c>
      <c r="DM534" s="114" t="n">
        <v>0</v>
      </c>
      <c r="DN534" s="114" t="n"/>
      <c r="DO534" s="114" t="n"/>
      <c r="DP534" s="115" t="n">
        <f aca="false" ca="false" dt2D="false" dtr="false" t="normal">14816.74*1.15</f>
        <v>17039.251</v>
      </c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</row>
    <row customFormat="true" hidden="false" ht="15" outlineLevel="0" r="535" s="1">
      <c r="A535" s="183" t="n">
        <f aca="false" ca="false" dt2D="false" dtr="false" t="normal">+A534+1</f>
        <v>513</v>
      </c>
      <c r="B535" s="117" t="n">
        <f aca="false" ca="false" dt2D="false" dtr="false" t="normal">+B534+1</f>
        <v>54</v>
      </c>
      <c r="C535" s="104" t="s">
        <v>78</v>
      </c>
      <c r="D535" s="104" t="s">
        <v>559</v>
      </c>
      <c r="E535" s="105" t="n">
        <v>1990</v>
      </c>
      <c r="F535" s="105" t="n">
        <v>2017</v>
      </c>
      <c r="G535" s="105" t="s">
        <v>68</v>
      </c>
      <c r="H535" s="105" t="n">
        <v>9</v>
      </c>
      <c r="I535" s="105" t="n">
        <v>1</v>
      </c>
      <c r="J535" s="106" t="n">
        <v>3238.8</v>
      </c>
      <c r="K535" s="106" t="n">
        <v>2708.3</v>
      </c>
      <c r="L535" s="106" t="n">
        <v>76.6</v>
      </c>
      <c r="M535" s="107" t="n">
        <v>79</v>
      </c>
      <c r="N535" s="108" t="n">
        <f aca="false" ca="false" dt2D="false" dtr="false" t="normal">SUM(P535:T535)</f>
        <v>1993214.7</v>
      </c>
      <c r="O535" s="106" t="n"/>
      <c r="P535" s="114" t="n"/>
      <c r="Q535" s="114" t="n"/>
      <c r="R535" s="113" t="n">
        <v>757569.22</v>
      </c>
      <c r="S535" s="113" t="n">
        <v>1235645.48</v>
      </c>
      <c r="T535" s="114" t="n"/>
      <c r="U535" s="106" t="n">
        <v>845.395630763798</v>
      </c>
      <c r="V535" s="106" t="n">
        <v>845.395630763798</v>
      </c>
      <c r="W535" s="110" t="n">
        <v>2024</v>
      </c>
      <c r="X535" s="9" t="e">
        <f aca="false" ca="false" dt2D="false" dtr="false" t="normal">+#REF!-'[9]Приложение №1'!$P950</f>
        <v>#REF!</v>
      </c>
      <c r="Z535" s="113" t="n">
        <f aca="false" ca="false" dt2D="false" dtr="false" t="normal">SUM(AA535:AO535)</f>
        <v>19952132.223097906</v>
      </c>
      <c r="AA535" s="106" t="n">
        <v>6671503.60540432</v>
      </c>
      <c r="AB535" s="106" t="n">
        <v>2669237.73180172</v>
      </c>
      <c r="AC535" s="106" t="n">
        <v>1971493.36995265</v>
      </c>
      <c r="AD535" s="106" t="n">
        <v>1259874.64481216</v>
      </c>
      <c r="AE535" s="106" t="n">
        <v>0</v>
      </c>
      <c r="AF535" s="106" t="n"/>
      <c r="AG535" s="106" t="n">
        <v>296405.593520538</v>
      </c>
      <c r="AH535" s="106" t="n">
        <v>0</v>
      </c>
      <c r="AI535" s="106" t="n">
        <v>0</v>
      </c>
      <c r="AJ535" s="106" t="n">
        <v>4638772.68194788</v>
      </c>
      <c r="AK535" s="106" t="n">
        <v>0</v>
      </c>
      <c r="AL535" s="106" t="n">
        <v>0</v>
      </c>
      <c r="AM535" s="106" t="n">
        <v>1862474.3512662</v>
      </c>
      <c r="AN535" s="114" t="n">
        <v>199521.322230979</v>
      </c>
      <c r="AO535" s="115" t="n">
        <v>382848.922161455</v>
      </c>
      <c r="AP535" s="112" t="n">
        <f aca="false" ca="false" dt2D="false" dtr="false" t="normal">+N535-'Приложение №2'!E535</f>
        <v>0</v>
      </c>
      <c r="AQ535" s="1" t="n">
        <f aca="false" ca="false" dt2D="false" dtr="false" t="normal">1684481.19-1311639.03</f>
        <v>372842.1599999999</v>
      </c>
      <c r="AR535" s="3" t="n">
        <f aca="false" ca="false" dt2D="false" dtr="false" t="normal">+(K535*13.29+L535*22.52)*12*0.85</f>
        <v>384727.05779999995</v>
      </c>
      <c r="AS535" s="3" t="n">
        <f aca="false" ca="false" dt2D="false" dtr="false" t="normal">+(K535*13.29+L535*22.52)*12*30-4612448.03</f>
        <v>8966154.009999998</v>
      </c>
      <c r="AT535" s="9" t="n">
        <f aca="false" ca="false" dt2D="false" dtr="false" t="normal">+S535-AS535</f>
        <v>-7730508.5299999975</v>
      </c>
      <c r="AU535" s="9" t="e">
        <f aca="false" ca="false" dt2D="false" dtr="false" t="normal">+P535-'[5]Приложение №1'!$P236</f>
        <v>#REF!</v>
      </c>
      <c r="AV535" s="9" t="e">
        <f aca="false" ca="false" dt2D="false" dtr="false" t="normal">+Q535-'[5]Приложение №1'!$Q236</f>
        <v>#REF!</v>
      </c>
      <c r="AW535" s="113" t="n">
        <f aca="false" ca="true" dt2D="false" dtr="false" t="normal">SUBTOTAL(9, AX535:BL535)</f>
        <v>2354342.292114105</v>
      </c>
      <c r="AX535" s="106" t="n"/>
      <c r="AY535" s="106" t="n"/>
      <c r="AZ535" s="106" t="n">
        <v>1971493.36995265</v>
      </c>
      <c r="BA535" s="106" t="n"/>
      <c r="BB535" s="106" t="n">
        <v>0</v>
      </c>
      <c r="BC535" s="106" t="n"/>
      <c r="BD535" s="106" t="n"/>
      <c r="BE535" s="106" t="n">
        <v>0</v>
      </c>
      <c r="BF535" s="106" t="n">
        <v>0</v>
      </c>
      <c r="BG535" s="106" t="n"/>
      <c r="BH535" s="106" t="n">
        <v>0</v>
      </c>
      <c r="BI535" s="106" t="n">
        <v>0</v>
      </c>
      <c r="BJ535" s="106" t="n"/>
      <c r="BK535" s="114" t="n"/>
      <c r="BL535" s="115" t="n">
        <v>382848.922161455</v>
      </c>
      <c r="BM535" s="113" t="n">
        <f aca="false" ca="true" dt2D="false" dtr="false" t="normal">SUBTOTAL(9, BN535:CB535)</f>
        <v>2354342.292114105</v>
      </c>
      <c r="BN535" s="106" t="n"/>
      <c r="BO535" s="106" t="n"/>
      <c r="BP535" s="106" t="n">
        <v>1971493.36995265</v>
      </c>
      <c r="BQ535" s="106" t="n"/>
      <c r="BR535" s="106" t="n">
        <v>0</v>
      </c>
      <c r="BS535" s="106" t="n"/>
      <c r="BT535" s="106" t="n"/>
      <c r="BU535" s="106" t="n">
        <v>0</v>
      </c>
      <c r="BV535" s="106" t="n">
        <v>0</v>
      </c>
      <c r="BW535" s="106" t="n"/>
      <c r="BX535" s="106" t="n">
        <v>0</v>
      </c>
      <c r="BY535" s="106" t="n">
        <v>0</v>
      </c>
      <c r="BZ535" s="106" t="n"/>
      <c r="CA535" s="114" t="n"/>
      <c r="CB535" s="115" t="n">
        <v>382848.922161455</v>
      </c>
      <c r="CD535" s="116" t="n">
        <f aca="false" ca="false" dt2D="false" dtr="false" t="normal">+CD534+1</f>
        <v>513</v>
      </c>
      <c r="CE535" s="117" t="n">
        <f aca="false" ca="false" dt2D="false" dtr="false" t="normal">+CE534+1</f>
        <v>54</v>
      </c>
      <c r="CF535" s="104" t="s">
        <v>78</v>
      </c>
      <c r="CG535" s="117" t="s">
        <v>559</v>
      </c>
      <c r="CH535" s="108" t="n">
        <f aca="false" ca="true" dt2D="false" dtr="false" t="normal">SUBTOTAL(9, CI535:CW535)</f>
        <v>2354342.29</v>
      </c>
      <c r="CI535" s="106" t="n"/>
      <c r="CJ535" s="114" t="n"/>
      <c r="CK535" s="114" t="n">
        <v>1971493.37</v>
      </c>
      <c r="CL535" s="114" t="n"/>
      <c r="CM535" s="114" t="n">
        <v>0</v>
      </c>
      <c r="CN535" s="114" t="n"/>
      <c r="CO535" s="106" t="n"/>
      <c r="CP535" s="114" t="n">
        <v>0</v>
      </c>
      <c r="CQ535" s="114" t="n">
        <v>0</v>
      </c>
      <c r="CR535" s="114" t="n"/>
      <c r="CS535" s="114" t="n">
        <v>0</v>
      </c>
      <c r="CT535" s="114" t="n">
        <v>0</v>
      </c>
      <c r="CU535" s="114" t="n"/>
      <c r="CV535" s="114" t="n"/>
      <c r="CW535" s="115" t="n">
        <v>382848.92</v>
      </c>
      <c r="CX535" s="3" t="n">
        <f aca="false" ca="false" dt2D="false" dtr="false" t="normal">+N535-CH535</f>
        <v>-361127.5900000001</v>
      </c>
      <c r="CZ535" s="117" t="s">
        <v>559</v>
      </c>
      <c r="DA535" s="113" t="n">
        <f aca="false" ca="true" dt2D="false" dtr="false" t="normal">SUBTOTAL(9, DB535:DP535)</f>
        <v>1993214.6965</v>
      </c>
      <c r="DB535" s="106" t="n"/>
      <c r="DC535" s="114" t="n"/>
      <c r="DD535" s="114" t="n">
        <v>1971493.37</v>
      </c>
      <c r="DE535" s="114" t="n"/>
      <c r="DF535" s="114" t="n">
        <v>0</v>
      </c>
      <c r="DG535" s="114" t="n"/>
      <c r="DH535" s="106" t="n"/>
      <c r="DI535" s="114" t="n">
        <v>0</v>
      </c>
      <c r="DJ535" s="114" t="n">
        <v>0</v>
      </c>
      <c r="DK535" s="114" t="n"/>
      <c r="DL535" s="114" t="n">
        <v>0</v>
      </c>
      <c r="DM535" s="114" t="n">
        <v>0</v>
      </c>
      <c r="DN535" s="114" t="n"/>
      <c r="DO535" s="114" t="n"/>
      <c r="DP535" s="115" t="n">
        <f aca="false" ca="false" dt2D="false" dtr="false" t="normal">18888.11*1.15</f>
        <v>21721.3265</v>
      </c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</row>
    <row customFormat="true" hidden="false" ht="15" outlineLevel="0" r="536" s="1">
      <c r="A536" s="183" t="n">
        <f aca="false" ca="false" dt2D="false" dtr="false" t="normal">+A535+1</f>
        <v>514</v>
      </c>
      <c r="B536" s="117" t="n">
        <f aca="false" ca="false" dt2D="false" dtr="false" t="normal">+B535+1</f>
        <v>55</v>
      </c>
      <c r="C536" s="104" t="s">
        <v>78</v>
      </c>
      <c r="D536" s="104" t="s">
        <v>560</v>
      </c>
      <c r="E536" s="105" t="n">
        <v>1988</v>
      </c>
      <c r="F536" s="105" t="n">
        <v>2016</v>
      </c>
      <c r="G536" s="105" t="s">
        <v>68</v>
      </c>
      <c r="H536" s="105" t="n">
        <v>5</v>
      </c>
      <c r="I536" s="105" t="n">
        <v>6</v>
      </c>
      <c r="J536" s="106" t="n">
        <v>5149.1</v>
      </c>
      <c r="K536" s="106" t="n">
        <v>4596.4</v>
      </c>
      <c r="L536" s="106" t="n">
        <v>0</v>
      </c>
      <c r="M536" s="107" t="n">
        <v>197</v>
      </c>
      <c r="N536" s="108" t="n">
        <f aca="false" ca="false" dt2D="false" dtr="false" t="normal">SUM(P536:T536)</f>
        <v>25328852.48</v>
      </c>
      <c r="O536" s="106" t="n"/>
      <c r="P536" s="113" t="n">
        <v>2733720.6</v>
      </c>
      <c r="Q536" s="114" t="n"/>
      <c r="R536" s="113" t="n">
        <v>3131243.51</v>
      </c>
      <c r="S536" s="113" t="n">
        <v>17374392</v>
      </c>
      <c r="T536" s="113" t="n">
        <v>2089496.37</v>
      </c>
      <c r="U536" s="114" t="n">
        <v>5631.09024192847</v>
      </c>
      <c r="V536" s="114" t="n">
        <v>1206.283020064</v>
      </c>
      <c r="W536" s="110" t="n">
        <v>2024</v>
      </c>
      <c r="X536" s="9" t="e">
        <f aca="false" ca="false" dt2D="false" dtr="false" t="normal">+#REF!-'[9]Приложение №1'!$P951</f>
        <v>#REF!</v>
      </c>
      <c r="Z536" s="113" t="n">
        <f aca="false" ca="false" dt2D="false" dtr="false" t="normal">SUM(AA536:AO536)</f>
        <v>22653297.028702125</v>
      </c>
      <c r="AA536" s="106" t="n">
        <v>0</v>
      </c>
      <c r="AB536" s="106" t="n">
        <v>0</v>
      </c>
      <c r="AC536" s="106" t="n">
        <v>0</v>
      </c>
      <c r="AD536" s="106" t="n">
        <v>0</v>
      </c>
      <c r="AE536" s="106" t="n">
        <v>0</v>
      </c>
      <c r="AF536" s="106" t="n"/>
      <c r="AG536" s="106" t="n">
        <v>0</v>
      </c>
      <c r="AH536" s="106" t="n">
        <v>0</v>
      </c>
      <c r="AI536" s="106" t="n">
        <v>0</v>
      </c>
      <c r="AJ536" s="106" t="n">
        <v>0</v>
      </c>
      <c r="AK536" s="106" t="n">
        <v>22006228.3840879</v>
      </c>
      <c r="AL536" s="106" t="n">
        <v>0</v>
      </c>
      <c r="AM536" s="106" t="n">
        <v>141837</v>
      </c>
      <c r="AN536" s="106" t="n">
        <v>24000</v>
      </c>
      <c r="AO536" s="115" t="n">
        <v>481231.644614224</v>
      </c>
      <c r="AP536" s="112" t="n">
        <f aca="false" ca="false" dt2D="false" dtr="false" t="normal">+N536-'Приложение №2'!E536</f>
        <v>0</v>
      </c>
      <c r="AQ536" s="121" t="n">
        <v>2638969.07</v>
      </c>
      <c r="AR536" s="3" t="n">
        <f aca="false" ca="false" dt2D="false" dtr="false" t="normal">+(K536*10.5+L536*21)*12*0.85</f>
        <v>492274.4399999999</v>
      </c>
      <c r="AS536" s="3" t="n">
        <f aca="false" ca="false" dt2D="false" dtr="false" t="normal">+(K536*10.5+L536*21)*12*30</f>
        <v>17374391.999999996</v>
      </c>
      <c r="AT536" s="9" t="n">
        <f aca="false" ca="false" dt2D="false" dtr="false" t="normal">+S536-AS536</f>
        <v>0</v>
      </c>
      <c r="AU536" s="9" t="e">
        <f aca="false" ca="false" dt2D="false" dtr="false" t="normal">+P536-'[5]Приложение №1'!$P491</f>
        <v>#REF!</v>
      </c>
      <c r="AV536" s="9" t="e">
        <f aca="false" ca="false" dt2D="false" dtr="false" t="normal">+Q536-'[5]Приложение №1'!$Q491</f>
        <v>#REF!</v>
      </c>
      <c r="AW536" s="186" t="n">
        <f aca="false" ca="true" dt2D="false" dtr="false" t="normal">SUBTOTAL(9, AX536:BL536)</f>
        <v>25882743.188</v>
      </c>
      <c r="AX536" s="106" t="n">
        <v>0</v>
      </c>
      <c r="AY536" s="106" t="n">
        <v>0</v>
      </c>
      <c r="AZ536" s="106" t="n">
        <v>0</v>
      </c>
      <c r="BA536" s="106" t="n">
        <v>0</v>
      </c>
      <c r="BB536" s="106" t="n">
        <v>0</v>
      </c>
      <c r="BC536" s="106" t="n"/>
      <c r="BD536" s="106" t="n"/>
      <c r="BE536" s="106" t="n">
        <v>0</v>
      </c>
      <c r="BF536" s="106" t="n">
        <v>0</v>
      </c>
      <c r="BG536" s="106" t="n">
        <v>0</v>
      </c>
      <c r="BH536" s="106" t="n">
        <v>25328852.4837768</v>
      </c>
      <c r="BI536" s="106" t="n">
        <v>0</v>
      </c>
      <c r="BJ536" s="106" t="n"/>
      <c r="BK536" s="106" t="n"/>
      <c r="BL536" s="115" t="n">
        <v>553890.7042232</v>
      </c>
      <c r="BM536" s="186" t="n">
        <f aca="false" ca="true" dt2D="false" dtr="false" t="normal">SUBTOTAL(9, BN536:CB536)</f>
        <v>25882743.188</v>
      </c>
      <c r="BN536" s="106" t="n">
        <v>0</v>
      </c>
      <c r="BO536" s="106" t="n">
        <v>0</v>
      </c>
      <c r="BP536" s="106" t="n">
        <v>0</v>
      </c>
      <c r="BQ536" s="106" t="n">
        <v>0</v>
      </c>
      <c r="BR536" s="106" t="n">
        <v>0</v>
      </c>
      <c r="BS536" s="106" t="n"/>
      <c r="BT536" s="106" t="n"/>
      <c r="BU536" s="106" t="n">
        <v>0</v>
      </c>
      <c r="BV536" s="106" t="n">
        <v>0</v>
      </c>
      <c r="BW536" s="106" t="n">
        <v>0</v>
      </c>
      <c r="BX536" s="106" t="n">
        <v>25328852.4837768</v>
      </c>
      <c r="BY536" s="106" t="n">
        <v>0</v>
      </c>
      <c r="BZ536" s="106" t="n"/>
      <c r="CA536" s="106" t="n"/>
      <c r="CB536" s="115" t="n">
        <v>553890.7042232</v>
      </c>
      <c r="CD536" s="116" t="n">
        <f aca="false" ca="false" dt2D="false" dtr="false" t="normal">+CD535+1</f>
        <v>514</v>
      </c>
      <c r="CE536" s="117" t="n">
        <f aca="false" ca="false" dt2D="false" dtr="false" t="normal">+CE535+1</f>
        <v>55</v>
      </c>
      <c r="CF536" s="104" t="s">
        <v>78</v>
      </c>
      <c r="CG536" s="117" t="s">
        <v>560</v>
      </c>
      <c r="CH536" s="108" t="n">
        <f aca="false" ca="true" dt2D="false" dtr="false" t="normal">SUBTOTAL(9, CI536:CW536)</f>
        <v>25328852.48</v>
      </c>
      <c r="CI536" s="106" t="n">
        <v>0</v>
      </c>
      <c r="CJ536" s="114" t="n">
        <v>0</v>
      </c>
      <c r="CK536" s="114" t="n">
        <v>0</v>
      </c>
      <c r="CL536" s="114" t="n">
        <v>0</v>
      </c>
      <c r="CM536" s="114" t="n">
        <v>0</v>
      </c>
      <c r="CN536" s="114" t="n"/>
      <c r="CO536" s="106" t="n"/>
      <c r="CP536" s="114" t="n">
        <v>0</v>
      </c>
      <c r="CQ536" s="114" t="n">
        <v>0</v>
      </c>
      <c r="CR536" s="114" t="n">
        <v>0</v>
      </c>
      <c r="CS536" s="114" t="n">
        <v>25328852.48</v>
      </c>
      <c r="CT536" s="114" t="n">
        <v>0</v>
      </c>
      <c r="CU536" s="114" t="n"/>
      <c r="CV536" s="114" t="n"/>
      <c r="CW536" s="115" t="n"/>
      <c r="CX536" s="3" t="n">
        <f aca="false" ca="false" dt2D="false" dtr="false" t="normal">+N536-CH536</f>
        <v>0</v>
      </c>
      <c r="CZ536" s="117" t="s">
        <v>560</v>
      </c>
      <c r="DA536" s="113" t="n">
        <f aca="false" ca="true" dt2D="false" dtr="false" t="normal">SUBTOTAL(9, DB536:DP536)</f>
        <v>25328852.48</v>
      </c>
      <c r="DB536" s="106" t="n">
        <v>0</v>
      </c>
      <c r="DC536" s="114" t="n">
        <v>0</v>
      </c>
      <c r="DD536" s="114" t="n">
        <v>0</v>
      </c>
      <c r="DE536" s="114" t="n">
        <v>0</v>
      </c>
      <c r="DF536" s="114" t="n">
        <v>0</v>
      </c>
      <c r="DG536" s="114" t="n"/>
      <c r="DH536" s="106" t="n"/>
      <c r="DI536" s="114" t="n">
        <v>0</v>
      </c>
      <c r="DJ536" s="114" t="n">
        <v>0</v>
      </c>
      <c r="DK536" s="114" t="n">
        <v>0</v>
      </c>
      <c r="DL536" s="114" t="n">
        <v>25328852.48</v>
      </c>
      <c r="DM536" s="114" t="n">
        <v>0</v>
      </c>
      <c r="DN536" s="114" t="n"/>
      <c r="DO536" s="114" t="n"/>
      <c r="DP536" s="240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</row>
    <row customFormat="true" hidden="false" ht="15" outlineLevel="0" r="537" s="1">
      <c r="A537" s="183" t="n">
        <f aca="false" ca="false" dt2D="false" dtr="false" t="normal">+A536+1</f>
        <v>515</v>
      </c>
      <c r="B537" s="117" t="n">
        <f aca="false" ca="false" dt2D="false" dtr="false" t="normal">+B536+1</f>
        <v>56</v>
      </c>
      <c r="C537" s="104" t="s">
        <v>78</v>
      </c>
      <c r="D537" s="104" t="s">
        <v>469</v>
      </c>
      <c r="E537" s="105" t="n">
        <v>1989</v>
      </c>
      <c r="F537" s="105" t="n">
        <v>2016</v>
      </c>
      <c r="G537" s="105" t="s">
        <v>68</v>
      </c>
      <c r="H537" s="105" t="n">
        <v>5</v>
      </c>
      <c r="I537" s="105" t="n">
        <v>4</v>
      </c>
      <c r="J537" s="106" t="n">
        <v>5827.1</v>
      </c>
      <c r="K537" s="106" t="n">
        <v>4877.5</v>
      </c>
      <c r="L537" s="106" t="n">
        <v>0</v>
      </c>
      <c r="M537" s="107" t="n">
        <v>218</v>
      </c>
      <c r="N537" s="108" t="n">
        <f aca="false" ca="false" dt2D="false" dtr="false" t="normal">SUM(P537:T537)</f>
        <v>12491452.99</v>
      </c>
      <c r="O537" s="106" t="n"/>
      <c r="P537" s="114" t="n"/>
      <c r="Q537" s="114" t="n"/>
      <c r="R537" s="114" t="n"/>
      <c r="S537" s="113" t="n">
        <v>11240653.64</v>
      </c>
      <c r="T537" s="113" t="n">
        <v>1250799.35</v>
      </c>
      <c r="U537" s="114" t="n">
        <v>2662.17214587269</v>
      </c>
      <c r="V537" s="114" t="n">
        <v>1209.283020064</v>
      </c>
      <c r="W537" s="110" t="n">
        <v>2024</v>
      </c>
      <c r="X537" s="9" t="e">
        <f aca="false" ca="false" dt2D="false" dtr="false" t="normal">+#REF!-'[9]Приложение №1'!$P573</f>
        <v>#REF!</v>
      </c>
      <c r="Z537" s="113" t="n">
        <f aca="false" ca="false" dt2D="false" dtr="false" t="normal">SUM(AA537:AO537)</f>
        <v>20671116.862985972</v>
      </c>
      <c r="AA537" s="106" t="n">
        <v>9672123.36632515</v>
      </c>
      <c r="AB537" s="106" t="n">
        <v>4139883.05943391</v>
      </c>
      <c r="AC537" s="106" t="n">
        <v>0</v>
      </c>
      <c r="AD537" s="106" t="n">
        <v>3903303.70147672</v>
      </c>
      <c r="AE537" s="106" t="n">
        <v>0</v>
      </c>
      <c r="AF537" s="106" t="n"/>
      <c r="AG537" s="106" t="n">
        <v>401573.357866824</v>
      </c>
      <c r="AH537" s="106" t="n">
        <v>0</v>
      </c>
      <c r="AI537" s="106" t="n">
        <v>0</v>
      </c>
      <c r="AJ537" s="106" t="n">
        <v>0</v>
      </c>
      <c r="AK537" s="106" t="n">
        <v>0</v>
      </c>
      <c r="AL537" s="106" t="n">
        <v>0</v>
      </c>
      <c r="AM537" s="106" t="n">
        <v>1951342.66032525</v>
      </c>
      <c r="AN537" s="114" t="n">
        <v>206711.16862986</v>
      </c>
      <c r="AO537" s="115" t="n">
        <v>396179.548928261</v>
      </c>
      <c r="AP537" s="112" t="n">
        <f aca="false" ca="false" dt2D="false" dtr="false" t="normal">+N537-'Приложение №2'!E537</f>
        <v>0</v>
      </c>
      <c r="AQ537" s="121" t="n">
        <f aca="false" ca="false" dt2D="false" dtr="false" t="normal">2848311.76-R389</f>
        <v>1397493.2599999998</v>
      </c>
      <c r="AR537" s="3" t="n">
        <f aca="false" ca="false" dt2D="false" dtr="false" t="normal">+(K537*10.5+L537*21)*12*0.85</f>
        <v>522380.25</v>
      </c>
      <c r="AS537" s="3" t="n">
        <f aca="false" ca="false" dt2D="false" dtr="false" t="normal">+(K537*10.5+L537*21)*12*30-S389</f>
        <v>16144441.91</v>
      </c>
      <c r="AT537" s="9" t="n">
        <f aca="false" ca="false" dt2D="false" dtr="false" t="normal">+S537-AS537</f>
        <v>-4903788.27</v>
      </c>
      <c r="AU537" s="9" t="e">
        <f aca="false" ca="false" dt2D="false" dtr="false" t="normal">+P537-'[5]Приложение №1'!$P494</f>
        <v>#REF!</v>
      </c>
      <c r="AV537" s="9" t="e">
        <f aca="false" ca="false" dt2D="false" dtr="false" t="normal">+Q537-'[5]Приложение №1'!$Q494</f>
        <v>#REF!</v>
      </c>
      <c r="AW537" s="186" t="n">
        <f aca="false" ca="true" dt2D="false" dtr="false" t="normal">SUBTOTAL(9, AX537:BL537)</f>
        <v>12984744.64149404</v>
      </c>
      <c r="AX537" s="106" t="n"/>
      <c r="AY537" s="106" t="n">
        <v>7852851.42133338</v>
      </c>
      <c r="AZ537" s="106" t="n">
        <v>0</v>
      </c>
      <c r="BA537" s="106" t="n">
        <v>4638601.5713898</v>
      </c>
      <c r="BB537" s="106" t="n">
        <v>0</v>
      </c>
      <c r="BC537" s="106" t="n"/>
      <c r="BD537" s="106" t="n"/>
      <c r="BE537" s="106" t="n">
        <v>0</v>
      </c>
      <c r="BF537" s="106" t="n">
        <v>0</v>
      </c>
      <c r="BG537" s="106" t="n">
        <v>0</v>
      </c>
      <c r="BH537" s="106" t="n">
        <v>0</v>
      </c>
      <c r="BI537" s="106" t="n">
        <v>0</v>
      </c>
      <c r="BJ537" s="106" t="n"/>
      <c r="BK537" s="114" t="n"/>
      <c r="BL537" s="115" t="n">
        <v>493291.648770859</v>
      </c>
      <c r="BM537" s="186" t="n">
        <f aca="false" ca="true" dt2D="false" dtr="false" t="normal">SUBTOTAL(9, BN537:CB537)</f>
        <v>12984744.64149404</v>
      </c>
      <c r="BN537" s="106" t="n"/>
      <c r="BO537" s="106" t="n">
        <v>7852851.42133338</v>
      </c>
      <c r="BP537" s="106" t="n">
        <v>0</v>
      </c>
      <c r="BQ537" s="106" t="n">
        <v>4638601.5713898</v>
      </c>
      <c r="BR537" s="106" t="n">
        <v>0</v>
      </c>
      <c r="BS537" s="106" t="n"/>
      <c r="BT537" s="106" t="n"/>
      <c r="BU537" s="106" t="n">
        <v>0</v>
      </c>
      <c r="BV537" s="106" t="n">
        <v>0</v>
      </c>
      <c r="BW537" s="106" t="n">
        <v>0</v>
      </c>
      <c r="BX537" s="106" t="n">
        <v>0</v>
      </c>
      <c r="BY537" s="106" t="n">
        <v>0</v>
      </c>
      <c r="BZ537" s="106" t="n"/>
      <c r="CA537" s="114" t="n"/>
      <c r="CB537" s="115" t="n">
        <v>493291.648770859</v>
      </c>
      <c r="CD537" s="116" t="n">
        <f aca="false" ca="false" dt2D="false" dtr="false" t="normal">+CD536+1</f>
        <v>515</v>
      </c>
      <c r="CE537" s="117" t="n">
        <f aca="false" ca="false" dt2D="false" dtr="false" t="normal">+CE536+1</f>
        <v>56</v>
      </c>
      <c r="CF537" s="104" t="s">
        <v>78</v>
      </c>
      <c r="CG537" s="117" t="s">
        <v>469</v>
      </c>
      <c r="CH537" s="108" t="n">
        <f aca="false" ca="true" dt2D="false" dtr="false" t="normal">SUBTOTAL(9, CI537:CW537)</f>
        <v>12984744.64</v>
      </c>
      <c r="CI537" s="106" t="n"/>
      <c r="CJ537" s="114" t="n">
        <v>7852851.42</v>
      </c>
      <c r="CK537" s="114" t="n">
        <v>0</v>
      </c>
      <c r="CL537" s="114" t="n">
        <v>4638601.57</v>
      </c>
      <c r="CM537" s="114" t="n">
        <v>0</v>
      </c>
      <c r="CN537" s="114" t="n"/>
      <c r="CO537" s="106" t="n"/>
      <c r="CP537" s="114" t="n">
        <v>0</v>
      </c>
      <c r="CQ537" s="114" t="n">
        <v>0</v>
      </c>
      <c r="CR537" s="114" t="n">
        <v>0</v>
      </c>
      <c r="CS537" s="114" t="n">
        <v>0</v>
      </c>
      <c r="CT537" s="114" t="n">
        <v>0</v>
      </c>
      <c r="CU537" s="114" t="n"/>
      <c r="CV537" s="114" t="n"/>
      <c r="CW537" s="115" t="n">
        <v>493291.65</v>
      </c>
      <c r="CX537" s="3" t="n">
        <f aca="false" ca="false" dt2D="false" dtr="false" t="normal">+N537-CH537</f>
        <v>-493291.6500000004</v>
      </c>
      <c r="CZ537" s="117" t="s">
        <v>469</v>
      </c>
      <c r="DA537" s="113" t="n">
        <f aca="false" ca="true" dt2D="false" dtr="false" t="normal">SUBTOTAL(9, DB537:DP537)</f>
        <v>12491452.99</v>
      </c>
      <c r="DB537" s="106" t="n"/>
      <c r="DC537" s="114" t="n">
        <v>7852851.42</v>
      </c>
      <c r="DD537" s="114" t="n">
        <v>0</v>
      </c>
      <c r="DE537" s="114" t="n">
        <v>4638601.57</v>
      </c>
      <c r="DF537" s="114" t="n">
        <v>0</v>
      </c>
      <c r="DG537" s="114" t="n"/>
      <c r="DH537" s="106" t="n"/>
      <c r="DI537" s="114" t="n">
        <v>0</v>
      </c>
      <c r="DJ537" s="114" t="n">
        <v>0</v>
      </c>
      <c r="DK537" s="114" t="n">
        <v>0</v>
      </c>
      <c r="DL537" s="114" t="n">
        <v>0</v>
      </c>
      <c r="DM537" s="114" t="n">
        <v>0</v>
      </c>
      <c r="DN537" s="114" t="n"/>
      <c r="DO537" s="114" t="n"/>
      <c r="DP537" s="240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</row>
    <row customFormat="true" hidden="false" ht="15" outlineLevel="0" r="538" s="1">
      <c r="A538" s="183" t="n">
        <f aca="false" ca="false" dt2D="false" dtr="false" t="normal">+A537+1</f>
        <v>516</v>
      </c>
      <c r="B538" s="117" t="n">
        <f aca="false" ca="false" dt2D="false" dtr="false" t="normal">+B537+1</f>
        <v>57</v>
      </c>
      <c r="C538" s="104" t="s">
        <v>561</v>
      </c>
      <c r="D538" s="104" t="s">
        <v>562</v>
      </c>
      <c r="E538" s="105" t="n">
        <v>1994</v>
      </c>
      <c r="F538" s="105" t="n">
        <v>1994</v>
      </c>
      <c r="G538" s="105" t="s">
        <v>68</v>
      </c>
      <c r="H538" s="105" t="n">
        <v>10</v>
      </c>
      <c r="I538" s="105" t="n">
        <v>1</v>
      </c>
      <c r="J538" s="106" t="n">
        <v>4860.7</v>
      </c>
      <c r="K538" s="106" t="n">
        <v>4172.4</v>
      </c>
      <c r="L538" s="106" t="n">
        <v>0</v>
      </c>
      <c r="M538" s="107" t="n">
        <v>162</v>
      </c>
      <c r="N538" s="108" t="n">
        <f aca="false" ca="false" dt2D="false" dtr="false" t="normal">SUM(P538:T538)</f>
        <v>2829176.43</v>
      </c>
      <c r="O538" s="106" t="n"/>
      <c r="P538" s="113" t="n"/>
      <c r="Q538" s="114" t="n"/>
      <c r="R538" s="244" t="n">
        <v>2829176.43</v>
      </c>
      <c r="T538" s="115" t="n"/>
      <c r="U538" s="114" t="n">
        <v>1023.64346658997</v>
      </c>
      <c r="V538" s="114" t="n">
        <v>1210.283020064</v>
      </c>
      <c r="W538" s="110" t="n">
        <v>2024</v>
      </c>
      <c r="X538" s="9" t="n"/>
      <c r="Z538" s="113" t="n"/>
      <c r="AA538" s="106" t="n"/>
      <c r="AB538" s="106" t="n"/>
      <c r="AC538" s="106" t="n"/>
      <c r="AD538" s="106" t="n"/>
      <c r="AE538" s="106" t="n"/>
      <c r="AF538" s="106" t="n"/>
      <c r="AG538" s="106" t="n"/>
      <c r="AH538" s="106" t="n"/>
      <c r="AI538" s="106" t="n"/>
      <c r="AJ538" s="106" t="n"/>
      <c r="AK538" s="106" t="n"/>
      <c r="AL538" s="106" t="n"/>
      <c r="AM538" s="106" t="n"/>
      <c r="AN538" s="114" t="n"/>
      <c r="AO538" s="115" t="n"/>
      <c r="AP538" s="112" t="n">
        <f aca="false" ca="false" dt2D="false" dtr="false" t="normal">+N538-'Приложение №2'!E538</f>
        <v>0</v>
      </c>
      <c r="AR538" s="3" t="n">
        <f aca="false" ca="false" dt2D="false" dtr="false" t="normal">+(K538*13.95+L538*23.65)*12*0.85</f>
        <v>593690.7959999999</v>
      </c>
      <c r="AS538" s="3" t="n">
        <f aca="false" ca="false" dt2D="false" dtr="false" t="normal">+(K538*13.95+L538*23.65)*12*30</f>
        <v>20953792.799999997</v>
      </c>
      <c r="AT538" s="9" t="n">
        <f aca="false" ca="false" dt2D="false" dtr="false" t="normal">+S538-AS538</f>
        <v>-20953792.799999997</v>
      </c>
      <c r="AU538" s="9" t="e">
        <f aca="false" ca="false" dt2D="false" dtr="false" t="normal">+P538-'[5]Приложение №1'!$P495</f>
        <v>#REF!</v>
      </c>
      <c r="AV538" s="9" t="e">
        <f aca="false" ca="false" dt2D="false" dtr="false" t="normal">+Q538-'[5]Приложение №1'!$Q495</f>
        <v>#REF!</v>
      </c>
      <c r="AW538" s="186" t="n">
        <f aca="false" ca="true" dt2D="false" dtr="false" t="normal">SUBTOTAL(9, AX538:BL538)</f>
        <v>4271050</v>
      </c>
      <c r="AX538" s="106" t="n"/>
      <c r="AY538" s="106" t="n"/>
      <c r="AZ538" s="106" t="n"/>
      <c r="BA538" s="106" t="n"/>
      <c r="BB538" s="106" t="n"/>
      <c r="BC538" s="106" t="n"/>
      <c r="BD538" s="106" t="n"/>
      <c r="BE538" s="106" t="n">
        <v>4012463.5488</v>
      </c>
      <c r="BF538" s="106" t="n"/>
      <c r="BG538" s="106" t="n"/>
      <c r="BH538" s="106" t="n"/>
      <c r="BI538" s="106" t="n"/>
      <c r="BJ538" s="106" t="n">
        <v>128131.5</v>
      </c>
      <c r="BK538" s="114" t="n">
        <v>42710.5</v>
      </c>
      <c r="BL538" s="115" t="n">
        <v>87744.4512</v>
      </c>
      <c r="BM538" s="186" t="n">
        <f aca="false" ca="true" dt2D="false" dtr="false" t="normal">SUBTOTAL(9, BN538:CB538)</f>
        <v>4271050</v>
      </c>
      <c r="BN538" s="106" t="n"/>
      <c r="BO538" s="106" t="n"/>
      <c r="BP538" s="106" t="n"/>
      <c r="BQ538" s="106" t="n"/>
      <c r="BR538" s="106" t="n"/>
      <c r="BS538" s="106" t="n"/>
      <c r="BT538" s="106" t="n"/>
      <c r="BU538" s="106" t="n">
        <v>4012463.5488</v>
      </c>
      <c r="BV538" s="106" t="n"/>
      <c r="BW538" s="106" t="n"/>
      <c r="BX538" s="106" t="n"/>
      <c r="BY538" s="106" t="n"/>
      <c r="BZ538" s="106" t="n">
        <v>128131.5</v>
      </c>
      <c r="CA538" s="114" t="n">
        <v>42710.5</v>
      </c>
      <c r="CB538" s="115" t="n">
        <v>87744.4512</v>
      </c>
      <c r="CD538" s="116" t="n">
        <f aca="false" ca="false" dt2D="false" dtr="false" t="normal">+CD537+1</f>
        <v>516</v>
      </c>
      <c r="CE538" s="117" t="n">
        <f aca="false" ca="false" dt2D="false" dtr="false" t="normal">+CE537+1</f>
        <v>57</v>
      </c>
      <c r="CF538" s="104" t="s">
        <v>81</v>
      </c>
      <c r="CG538" s="117" t="s">
        <v>562</v>
      </c>
      <c r="CH538" s="108" t="n">
        <f aca="false" ca="true" dt2D="false" dtr="false" t="normal">SUBTOTAL(9, CI538:CW538)</f>
        <v>2916920.8800000004</v>
      </c>
      <c r="CI538" s="106" t="n"/>
      <c r="CJ538" s="114" t="n"/>
      <c r="CK538" s="114" t="n"/>
      <c r="CL538" s="114" t="n"/>
      <c r="CM538" s="114" t="n"/>
      <c r="CN538" s="114" t="n"/>
      <c r="CO538" s="106" t="n"/>
      <c r="CP538" s="113" t="n">
        <v>2704312.41</v>
      </c>
      <c r="CQ538" s="114" t="n"/>
      <c r="CR538" s="114" t="n"/>
      <c r="CS538" s="114" t="n"/>
      <c r="CT538" s="114" t="n"/>
      <c r="CU538" s="113" t="n">
        <v>110716.57</v>
      </c>
      <c r="CV538" s="113" t="n">
        <v>14147.45</v>
      </c>
      <c r="CW538" s="115" t="n">
        <v>87744.45</v>
      </c>
      <c r="CX538" s="3" t="n">
        <f aca="false" ca="false" dt2D="false" dtr="false" t="normal">+N538-CH538</f>
        <v>-87744.45000000019</v>
      </c>
      <c r="CZ538" s="117" t="s">
        <v>562</v>
      </c>
      <c r="DA538" s="113" t="n">
        <f aca="false" ca="true" dt2D="false" dtr="false" t="normal">SUBTOTAL(9, DB538:DP538)</f>
        <v>2829176.43</v>
      </c>
      <c r="DB538" s="106" t="n"/>
      <c r="DC538" s="114" t="n"/>
      <c r="DD538" s="114" t="n"/>
      <c r="DE538" s="114" t="n"/>
      <c r="DF538" s="114" t="n"/>
      <c r="DG538" s="114" t="n"/>
      <c r="DH538" s="106" t="n"/>
      <c r="DI538" s="113" t="n">
        <v>2704312.41</v>
      </c>
      <c r="DJ538" s="114" t="n"/>
      <c r="DK538" s="114" t="n"/>
      <c r="DL538" s="114" t="n"/>
      <c r="DM538" s="114" t="n"/>
      <c r="DN538" s="113" t="n">
        <v>110716.57</v>
      </c>
      <c r="DO538" s="113" t="n">
        <v>14147.45</v>
      </c>
      <c r="DP538" s="240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</row>
    <row customFormat="true" hidden="false" ht="15" outlineLevel="0" r="539" s="1">
      <c r="A539" s="183" t="n">
        <f aca="false" ca="false" dt2D="false" dtr="false" t="normal">+A538+1</f>
        <v>517</v>
      </c>
      <c r="B539" s="117" t="n">
        <f aca="false" ca="false" dt2D="false" dtr="false" t="normal">+B538+1</f>
        <v>58</v>
      </c>
      <c r="C539" s="104" t="s">
        <v>78</v>
      </c>
      <c r="D539" s="104" t="s">
        <v>563</v>
      </c>
      <c r="E539" s="105" t="n">
        <v>1995</v>
      </c>
      <c r="F539" s="105" t="n">
        <v>1995</v>
      </c>
      <c r="G539" s="105" t="s">
        <v>68</v>
      </c>
      <c r="H539" s="105" t="n">
        <v>10</v>
      </c>
      <c r="I539" s="105" t="n">
        <v>1</v>
      </c>
      <c r="J539" s="106" t="n">
        <v>3279.6</v>
      </c>
      <c r="K539" s="106" t="n">
        <v>2806.4</v>
      </c>
      <c r="L539" s="106" t="n">
        <v>0</v>
      </c>
      <c r="M539" s="107" t="n">
        <v>105</v>
      </c>
      <c r="N539" s="108" t="n">
        <f aca="false" ca="false" dt2D="false" dtr="false" t="normal">SUM(P539:T539)</f>
        <v>19281360.68</v>
      </c>
      <c r="O539" s="106" t="n"/>
      <c r="P539" s="113" t="n"/>
      <c r="Q539" s="114" t="n"/>
      <c r="R539" s="113" t="n">
        <v>1023686.05</v>
      </c>
      <c r="S539" s="113" t="n">
        <v>7481735.52</v>
      </c>
      <c r="T539" s="113" t="n">
        <v>10775939.11</v>
      </c>
      <c r="U539" s="106" t="n">
        <v>7020.7400896081</v>
      </c>
      <c r="V539" s="106" t="n">
        <v>7020.7400896081</v>
      </c>
      <c r="W539" s="110" t="n">
        <v>2024</v>
      </c>
      <c r="X539" s="9" t="e">
        <f aca="false" ca="false" dt2D="false" dtr="false" t="normal">+#REF!-'[9]Приложение №1'!$P1340</f>
        <v>#REF!</v>
      </c>
      <c r="Z539" s="113" t="n">
        <f aca="false" ca="false" dt2D="false" dtr="false" t="normal">SUM(AA539:AO539)</f>
        <v>19818033.24747619</v>
      </c>
      <c r="AA539" s="106" t="n">
        <v>0</v>
      </c>
      <c r="AB539" s="106" t="n">
        <v>0</v>
      </c>
      <c r="AC539" s="106" t="n">
        <v>0</v>
      </c>
      <c r="AD539" s="106" t="n">
        <v>0</v>
      </c>
      <c r="AE539" s="106" t="n">
        <v>0</v>
      </c>
      <c r="AF539" s="106" t="n"/>
      <c r="AG539" s="106" t="n">
        <v>0</v>
      </c>
      <c r="AH539" s="106" t="n">
        <v>0</v>
      </c>
      <c r="AI539" s="106" t="n">
        <v>0</v>
      </c>
      <c r="AJ539" s="106" t="n">
        <v>0</v>
      </c>
      <c r="AK539" s="106" t="n">
        <v>19266518.5285522</v>
      </c>
      <c r="AL539" s="106" t="n">
        <v>0</v>
      </c>
      <c r="AM539" s="106" t="n">
        <v>106194.98</v>
      </c>
      <c r="AN539" s="106" t="n">
        <v>24000</v>
      </c>
      <c r="AO539" s="115" t="n">
        <v>421319.73892399</v>
      </c>
      <c r="AP539" s="112" t="n">
        <f aca="false" ca="false" dt2D="false" dtr="false" t="normal">+N539-'Приложение №2'!E539</f>
        <v>0</v>
      </c>
      <c r="AQ539" s="1" t="n">
        <f aca="false" ca="false" dt2D="false" dtr="false" t="normal">1651544.69-504144.3-504144.3144</f>
        <v>643256.0755999999</v>
      </c>
      <c r="AR539" s="3" t="n">
        <f aca="false" ca="false" dt2D="false" dtr="false" t="normal">+(K539*13.29+L539*22.52)*12*0.85</f>
        <v>380429.97119999997</v>
      </c>
      <c r="AS539" s="3" t="n">
        <f aca="false" ca="false" dt2D="false" dtr="false" t="normal">+(K539*13.29+L539*22.52)*12*30-3285777.08-2659427.56</f>
        <v>7481735.519999998</v>
      </c>
      <c r="AT539" s="9" t="n">
        <f aca="false" ca="false" dt2D="false" dtr="false" t="normal">+S539-AS539</f>
        <v>0</v>
      </c>
      <c r="AU539" s="9" t="e">
        <f aca="false" ca="false" dt2D="false" dtr="false" t="normal">+P539-'[5]Приложение №1'!$P253</f>
        <v>#REF!</v>
      </c>
      <c r="AV539" s="9" t="e">
        <f aca="false" ca="false" dt2D="false" dtr="false" t="normal">+Q539-'[5]Приложение №1'!$Q253</f>
        <v>#REF!</v>
      </c>
      <c r="AW539" s="113" t="n">
        <f aca="false" ca="true" dt2D="false" dtr="false" t="normal">SUBTOTAL(9, AX539:BL539)</f>
        <v>19703004.987476192</v>
      </c>
      <c r="AX539" s="106" t="n">
        <v>0</v>
      </c>
      <c r="AY539" s="106" t="n">
        <v>0</v>
      </c>
      <c r="AZ539" s="106" t="n">
        <v>0</v>
      </c>
      <c r="BA539" s="106" t="n">
        <v>0</v>
      </c>
      <c r="BB539" s="106" t="n">
        <v>0</v>
      </c>
      <c r="BC539" s="106" t="n"/>
      <c r="BD539" s="106" t="n"/>
      <c r="BE539" s="106" t="n">
        <v>0</v>
      </c>
      <c r="BF539" s="106" t="n">
        <v>0</v>
      </c>
      <c r="BG539" s="106" t="n">
        <v>0</v>
      </c>
      <c r="BH539" s="106" t="n">
        <v>19281360.6807442</v>
      </c>
      <c r="BI539" s="106" t="n">
        <v>0</v>
      </c>
      <c r="BJ539" s="106" t="n"/>
      <c r="BK539" s="106" t="n"/>
      <c r="BL539" s="115" t="n">
        <v>421644.30673199</v>
      </c>
      <c r="BM539" s="113" t="n">
        <f aca="false" ca="true" dt2D="false" dtr="false" t="normal">SUBTOTAL(9, BN539:CB539)</f>
        <v>19703004.987476192</v>
      </c>
      <c r="BN539" s="106" t="n">
        <v>0</v>
      </c>
      <c r="BO539" s="106" t="n">
        <v>0</v>
      </c>
      <c r="BP539" s="106" t="n">
        <v>0</v>
      </c>
      <c r="BQ539" s="106" t="n">
        <v>0</v>
      </c>
      <c r="BR539" s="106" t="n">
        <v>0</v>
      </c>
      <c r="BS539" s="106" t="n"/>
      <c r="BT539" s="106" t="n"/>
      <c r="BU539" s="106" t="n">
        <v>0</v>
      </c>
      <c r="BV539" s="106" t="n">
        <v>0</v>
      </c>
      <c r="BW539" s="106" t="n">
        <v>0</v>
      </c>
      <c r="BX539" s="106" t="n">
        <v>19281360.6807442</v>
      </c>
      <c r="BY539" s="106" t="n">
        <v>0</v>
      </c>
      <c r="BZ539" s="106" t="n"/>
      <c r="CA539" s="106" t="n"/>
      <c r="CB539" s="115" t="n">
        <v>421644.30673199</v>
      </c>
      <c r="CD539" s="116" t="n">
        <f aca="false" ca="false" dt2D="false" dtr="false" t="normal">+CD538+1</f>
        <v>517</v>
      </c>
      <c r="CE539" s="117" t="n">
        <f aca="false" ca="false" dt2D="false" dtr="false" t="normal">+CE538+1</f>
        <v>58</v>
      </c>
      <c r="CF539" s="104" t="s">
        <v>78</v>
      </c>
      <c r="CG539" s="117" t="s">
        <v>563</v>
      </c>
      <c r="CH539" s="108" t="n">
        <f aca="false" ca="true" dt2D="false" dtr="false" t="normal">SUBTOTAL(9, CI539:CW539)</f>
        <v>19281360.68</v>
      </c>
      <c r="CI539" s="106" t="n">
        <v>0</v>
      </c>
      <c r="CJ539" s="114" t="n">
        <v>0</v>
      </c>
      <c r="CK539" s="114" t="n">
        <v>0</v>
      </c>
      <c r="CL539" s="114" t="n">
        <v>0</v>
      </c>
      <c r="CM539" s="114" t="n">
        <v>0</v>
      </c>
      <c r="CN539" s="114" t="n"/>
      <c r="CO539" s="106" t="n"/>
      <c r="CP539" s="114" t="n">
        <v>0</v>
      </c>
      <c r="CQ539" s="114" t="n">
        <v>0</v>
      </c>
      <c r="CR539" s="114" t="n">
        <v>0</v>
      </c>
      <c r="CS539" s="114" t="n">
        <v>19281360.68</v>
      </c>
      <c r="CT539" s="114" t="n">
        <v>0</v>
      </c>
      <c r="CU539" s="114" t="n"/>
      <c r="CV539" s="114" t="n"/>
      <c r="CW539" s="115" t="n"/>
      <c r="CX539" s="3" t="n">
        <f aca="false" ca="false" dt2D="false" dtr="false" t="normal">+N539-CH539</f>
        <v>0</v>
      </c>
      <c r="CZ539" s="117" t="s">
        <v>563</v>
      </c>
      <c r="DA539" s="113" t="n">
        <f aca="false" ca="true" dt2D="false" dtr="false" t="normal">SUBTOTAL(9, DB539:DP539)</f>
        <v>19281360.68</v>
      </c>
      <c r="DB539" s="106" t="n">
        <v>0</v>
      </c>
      <c r="DC539" s="114" t="n">
        <v>0</v>
      </c>
      <c r="DD539" s="114" t="n">
        <v>0</v>
      </c>
      <c r="DE539" s="114" t="n">
        <v>0</v>
      </c>
      <c r="DF539" s="114" t="n">
        <v>0</v>
      </c>
      <c r="DG539" s="114" t="n"/>
      <c r="DH539" s="106" t="n"/>
      <c r="DI539" s="114" t="n">
        <v>0</v>
      </c>
      <c r="DJ539" s="114" t="n">
        <v>0</v>
      </c>
      <c r="DK539" s="114" t="n">
        <v>0</v>
      </c>
      <c r="DL539" s="114" t="n">
        <v>19281360.68</v>
      </c>
      <c r="DM539" s="114" t="n">
        <v>0</v>
      </c>
      <c r="DN539" s="114" t="n"/>
      <c r="DO539" s="114" t="n"/>
      <c r="DP539" s="240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</row>
    <row customFormat="true" hidden="false" ht="15" outlineLevel="0" r="540" s="1">
      <c r="A540" s="183" t="n">
        <f aca="false" ca="false" dt2D="false" dtr="false" t="normal">+A539+1</f>
        <v>518</v>
      </c>
      <c r="B540" s="117" t="n">
        <f aca="false" ca="false" dt2D="false" dtr="false" t="normal">+B539+1</f>
        <v>59</v>
      </c>
      <c r="C540" s="104" t="s">
        <v>78</v>
      </c>
      <c r="D540" s="104" t="s">
        <v>564</v>
      </c>
      <c r="E540" s="105" t="n">
        <v>1995</v>
      </c>
      <c r="F540" s="105" t="n">
        <v>2010</v>
      </c>
      <c r="G540" s="105" t="s">
        <v>68</v>
      </c>
      <c r="H540" s="105" t="n">
        <v>9</v>
      </c>
      <c r="I540" s="105" t="n">
        <v>1</v>
      </c>
      <c r="J540" s="106" t="n">
        <v>2996.5</v>
      </c>
      <c r="K540" s="106" t="n">
        <v>2550.1</v>
      </c>
      <c r="L540" s="106" t="n">
        <v>76.6</v>
      </c>
      <c r="M540" s="107" t="n">
        <v>83</v>
      </c>
      <c r="N540" s="108" t="n">
        <f aca="false" ca="false" dt2D="false" dtr="false" t="normal">SUM(P540:T540)</f>
        <v>22242188.689999998</v>
      </c>
      <c r="O540" s="106" t="n"/>
      <c r="P540" s="113" t="n">
        <v>10264771.58</v>
      </c>
      <c r="Q540" s="114" t="n"/>
      <c r="R540" s="113" t="n">
        <v>1149182.45</v>
      </c>
      <c r="S540" s="113" t="n">
        <v>10828234.66</v>
      </c>
      <c r="T540" s="114" t="n"/>
      <c r="U540" s="114" t="n">
        <v>2660.39647579012</v>
      </c>
      <c r="V540" s="114" t="n">
        <v>1212.283020064</v>
      </c>
      <c r="W540" s="110" t="n">
        <v>2024</v>
      </c>
      <c r="X540" s="9" t="e">
        <f aca="false" ca="false" dt2D="false" dtr="false" t="normal">+#REF!-'[9]Приложение №1'!$P1320</f>
        <v>#REF!</v>
      </c>
      <c r="Z540" s="113" t="n">
        <f aca="false" ca="false" dt2D="false" dtr="false" t="normal">SUM(AA540:AO540)</f>
        <v>13446173.90552567</v>
      </c>
      <c r="AA540" s="106" t="n">
        <v>6133316.79778497</v>
      </c>
      <c r="AB540" s="106" t="n">
        <v>2453911.67959187</v>
      </c>
      <c r="AC540" s="106" t="n">
        <v>1812454.00105265</v>
      </c>
      <c r="AD540" s="106" t="n">
        <v>1158241.19706242</v>
      </c>
      <c r="AE540" s="106" t="n">
        <v>0</v>
      </c>
      <c r="AF540" s="106" t="n"/>
      <c r="AG540" s="106" t="n">
        <v>272494.704825505</v>
      </c>
      <c r="AH540" s="106" t="n">
        <v>0</v>
      </c>
      <c r="AI540" s="106" t="n">
        <v>0</v>
      </c>
      <c r="AJ540" s="106" t="n">
        <v>0</v>
      </c>
      <c r="AK540" s="106" t="n">
        <v>0</v>
      </c>
      <c r="AL540" s="106" t="n">
        <v>0</v>
      </c>
      <c r="AM540" s="106" t="n">
        <v>1222586.49682253</v>
      </c>
      <c r="AN540" s="114" t="n">
        <v>134461.739055257</v>
      </c>
      <c r="AO540" s="115" t="n">
        <v>258707.289330465</v>
      </c>
      <c r="AP540" s="112" t="n">
        <f aca="false" ca="false" dt2D="false" dtr="false" t="normal">+N540-'Приложение №2'!E540</f>
        <v>0</v>
      </c>
      <c r="AQ540" s="9" t="e">
        <f aca="false" ca="false" dt2D="false" dtr="false" t="normal">1796182.34-#REF!</f>
        <v>#REF!</v>
      </c>
      <c r="AR540" s="3" t="n">
        <f aca="false" ca="false" dt2D="false" dtr="false" t="normal">+(K540*13.95+L540*23.65)*12*0.85</f>
        <v>381331.9469999999</v>
      </c>
      <c r="AS540" s="3" t="e">
        <f aca="false" ca="false" dt2D="false" dtr="false" t="normal">+(K540*13.95+L540*23.65)*12*30-#REF!</f>
        <v>#REF!</v>
      </c>
      <c r="AT540" s="9" t="e">
        <f aca="false" ca="false" dt2D="false" dtr="false" t="normal">+S540-AS540</f>
        <v>#REF!</v>
      </c>
      <c r="AU540" s="9" t="e">
        <f aca="false" ca="false" dt2D="false" dtr="false" t="normal">+P540-'[5]Приложение №1'!$P497</f>
        <v>#REF!</v>
      </c>
      <c r="AV540" s="9" t="e">
        <f aca="false" ca="false" dt2D="false" dtr="false" t="normal">+Q540-'[5]Приложение №1'!$Q497</f>
        <v>#REF!</v>
      </c>
      <c r="AW540" s="186" t="n">
        <f aca="false" ca="true" dt2D="false" dtr="false" t="normal">SUBTOTAL(9, AX540:BL540)</f>
        <v>6784277.052912375</v>
      </c>
      <c r="AX540" s="106" t="n"/>
      <c r="AY540" s="106" t="n">
        <v>2994835.80439326</v>
      </c>
      <c r="AZ540" s="106" t="n">
        <v>1812454.00105265</v>
      </c>
      <c r="BA540" s="106" t="n">
        <v>1413556.25629638</v>
      </c>
      <c r="BB540" s="106" t="n">
        <v>0</v>
      </c>
      <c r="BC540" s="106" t="n"/>
      <c r="BD540" s="106" t="n"/>
      <c r="BE540" s="106" t="n">
        <v>0</v>
      </c>
      <c r="BF540" s="106" t="n">
        <v>0</v>
      </c>
      <c r="BG540" s="106" t="n">
        <v>0</v>
      </c>
      <c r="BH540" s="106" t="n"/>
      <c r="BI540" s="106" t="n">
        <v>0</v>
      </c>
      <c r="BJ540" s="106" t="n"/>
      <c r="BK540" s="114" t="n"/>
      <c r="BL540" s="115" t="n">
        <v>563430.991170086</v>
      </c>
      <c r="BM540" s="186" t="n">
        <f aca="false" ca="true" dt2D="false" dtr="false" t="normal">SUBTOTAL(9, BN540:CB540)</f>
        <v>6784277.052912375</v>
      </c>
      <c r="BN540" s="106" t="n"/>
      <c r="BO540" s="106" t="n">
        <v>2994835.80439326</v>
      </c>
      <c r="BP540" s="106" t="n">
        <v>1812454.00105265</v>
      </c>
      <c r="BQ540" s="106" t="n">
        <v>1413556.25629638</v>
      </c>
      <c r="BR540" s="106" t="n">
        <v>0</v>
      </c>
      <c r="BS540" s="106" t="n"/>
      <c r="BT540" s="106" t="n"/>
      <c r="BU540" s="106" t="n">
        <v>0</v>
      </c>
      <c r="BV540" s="106" t="n">
        <v>0</v>
      </c>
      <c r="BW540" s="106" t="n">
        <v>0</v>
      </c>
      <c r="BX540" s="106" t="n"/>
      <c r="BY540" s="106" t="n">
        <v>0</v>
      </c>
      <c r="BZ540" s="106" t="n"/>
      <c r="CA540" s="114" t="n"/>
      <c r="CB540" s="115" t="n">
        <v>563430.991170086</v>
      </c>
      <c r="CD540" s="116" t="n">
        <f aca="false" ca="false" dt2D="false" dtr="false" t="normal">+CD539+1</f>
        <v>518</v>
      </c>
      <c r="CE540" s="117" t="n">
        <f aca="false" ca="false" dt2D="false" dtr="false" t="normal">+CE539+1</f>
        <v>59</v>
      </c>
      <c r="CF540" s="104" t="s">
        <v>78</v>
      </c>
      <c r="CG540" s="117" t="s">
        <v>564</v>
      </c>
      <c r="CH540" s="108" t="n">
        <f aca="false" ca="true" dt2D="false" dtr="false" t="normal">SUBTOTAL(9, CI540:CW540)</f>
        <v>22576257.52</v>
      </c>
      <c r="CI540" s="106" t="n">
        <v>3221801.59</v>
      </c>
      <c r="CJ540" s="114" t="n">
        <v>2994835.8</v>
      </c>
      <c r="CK540" s="114" t="n">
        <v>1812454</v>
      </c>
      <c r="CL540" s="114" t="n">
        <v>1563879.48</v>
      </c>
      <c r="CM540" s="114" t="n">
        <v>0</v>
      </c>
      <c r="CN540" s="114" t="n"/>
      <c r="CO540" s="106" t="n"/>
      <c r="CP540" s="114" t="n">
        <v>0</v>
      </c>
      <c r="CQ540" s="114" t="n">
        <v>0</v>
      </c>
      <c r="CR540" s="114" t="n">
        <v>0</v>
      </c>
      <c r="CS540" s="243" t="n">
        <v>12419855.66</v>
      </c>
      <c r="CT540" s="114" t="n">
        <v>0</v>
      </c>
      <c r="CU540" s="114" t="n"/>
      <c r="CV540" s="114" t="n"/>
      <c r="CW540" s="115" t="n">
        <v>563430.99</v>
      </c>
      <c r="CX540" s="3" t="n">
        <f aca="false" ca="false" dt2D="false" dtr="false" t="normal">+N540-CH540</f>
        <v>-334068.83000000194</v>
      </c>
      <c r="CZ540" s="117" t="s">
        <v>564</v>
      </c>
      <c r="DA540" s="113" t="n">
        <f aca="false" ca="true" dt2D="false" dtr="false" t="normal">SUBTOTAL(9, DB540:DP540)</f>
        <v>22242188.694000002</v>
      </c>
      <c r="DB540" s="106" t="n">
        <v>3221801.59</v>
      </c>
      <c r="DC540" s="114" t="n">
        <v>2994835.8</v>
      </c>
      <c r="DD540" s="114" t="n">
        <v>1812454</v>
      </c>
      <c r="DE540" s="114" t="n">
        <v>1563879.48</v>
      </c>
      <c r="DF540" s="114" t="n">
        <v>0</v>
      </c>
      <c r="DG540" s="114" t="n"/>
      <c r="DH540" s="106" t="n"/>
      <c r="DI540" s="114" t="n">
        <v>0</v>
      </c>
      <c r="DJ540" s="114" t="n">
        <v>0</v>
      </c>
      <c r="DK540" s="114" t="n">
        <v>0</v>
      </c>
      <c r="DL540" s="243" t="n">
        <v>12419855.66</v>
      </c>
      <c r="DM540" s="114" t="n">
        <v>0</v>
      </c>
      <c r="DN540" s="114" t="n"/>
      <c r="DO540" s="114" t="n"/>
      <c r="DP540" s="115" t="n">
        <f aca="false" ca="false" dt2D="false" dtr="false" t="normal">(34789.12+146014.13+18642.11)*1.15</f>
        <v>229362.16399999996</v>
      </c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</row>
    <row customFormat="true" hidden="false" ht="15" outlineLevel="0" r="541" s="1">
      <c r="A541" s="183" t="n">
        <f aca="false" ca="false" dt2D="false" dtr="false" t="normal">+A540+1</f>
        <v>519</v>
      </c>
      <c r="B541" s="117" t="n">
        <f aca="false" ca="false" dt2D="false" dtr="false" t="normal">+B540+1</f>
        <v>60</v>
      </c>
      <c r="C541" s="104" t="s">
        <v>78</v>
      </c>
      <c r="D541" s="104" t="s">
        <v>565</v>
      </c>
      <c r="E541" s="105" t="n">
        <v>1994</v>
      </c>
      <c r="F541" s="105" t="n">
        <v>1994</v>
      </c>
      <c r="G541" s="105" t="s">
        <v>68</v>
      </c>
      <c r="H541" s="105" t="n">
        <v>10</v>
      </c>
      <c r="I541" s="105" t="n">
        <v>1</v>
      </c>
      <c r="J541" s="106" t="n">
        <v>3166.2</v>
      </c>
      <c r="K541" s="106" t="n">
        <v>2444.1</v>
      </c>
      <c r="L541" s="106" t="n">
        <v>336.1</v>
      </c>
      <c r="M541" s="107" t="n">
        <v>81</v>
      </c>
      <c r="N541" s="108" t="n">
        <f aca="false" ca="false" dt2D="false" dtr="false" t="normal">SUM(P541:T541)</f>
        <v>7922733.569999999</v>
      </c>
      <c r="O541" s="106" t="n"/>
      <c r="P541" s="114" t="n"/>
      <c r="Q541" s="114" t="n"/>
      <c r="R541" s="113" t="n">
        <v>1286488.47</v>
      </c>
      <c r="S541" s="113" t="n">
        <v>6636245.1</v>
      </c>
      <c r="T541" s="114" t="n"/>
      <c r="U541" s="114" t="n">
        <v>3460.30631218071</v>
      </c>
      <c r="V541" s="114" t="n">
        <v>1213.283020064</v>
      </c>
      <c r="W541" s="110" t="n">
        <v>2024</v>
      </c>
      <c r="X541" s="9" t="e">
        <f aca="false" ca="false" dt2D="false" dtr="false" t="normal">+#REF!-'[9]Приложение №1'!$P576</f>
        <v>#REF!</v>
      </c>
      <c r="Z541" s="113" t="n">
        <f aca="false" ca="false" dt2D="false" dtr="false" t="normal">SUM(AA541:AO541)</f>
        <v>9992018.83810217</v>
      </c>
      <c r="AA541" s="106" t="n">
        <v>6623579.57979263</v>
      </c>
      <c r="AB541" s="106" t="n">
        <v>0</v>
      </c>
      <c r="AC541" s="106" t="n">
        <v>1957331.36025541</v>
      </c>
      <c r="AD541" s="106" t="n">
        <v>0</v>
      </c>
      <c r="AE541" s="106" t="n">
        <v>0</v>
      </c>
      <c r="AF541" s="106" t="n"/>
      <c r="AG541" s="106" t="n">
        <v>294276.395951969</v>
      </c>
      <c r="AH541" s="106" t="n">
        <v>0</v>
      </c>
      <c r="AI541" s="106" t="n">
        <v>0</v>
      </c>
      <c r="AJ541" s="106" t="n">
        <v>0</v>
      </c>
      <c r="AK541" s="106" t="n">
        <v>0</v>
      </c>
      <c r="AL541" s="106" t="n">
        <v>0</v>
      </c>
      <c r="AM541" s="106" t="n">
        <v>822828.941975379</v>
      </c>
      <c r="AN541" s="114" t="n">
        <v>99920.1883810216</v>
      </c>
      <c r="AO541" s="115" t="n">
        <v>194082.371745759</v>
      </c>
      <c r="AP541" s="112" t="n">
        <f aca="false" ca="false" dt2D="false" dtr="false" t="normal">+N541-'Приложение №2'!E541</f>
        <v>0</v>
      </c>
      <c r="AQ541" s="1" t="n">
        <f aca="false" ca="false" dt2D="false" dtr="false" t="normal">2294994.9-363720.72-1073634.1</f>
        <v>857640.0799999998</v>
      </c>
      <c r="AR541" s="3" t="n">
        <f aca="false" ca="false" dt2D="false" dtr="false" t="normal">+(K541*13.95+L541*23.65)*12*0.85</f>
        <v>428848.392</v>
      </c>
      <c r="AS541" s="3" t="n">
        <f aca="false" ca="false" dt2D="false" dtr="false" t="normal">+(K541*13.95+L541*23.65)*12*30-166487.48-2093121.55</f>
        <v>12876216.57</v>
      </c>
      <c r="AT541" s="9" t="n">
        <f aca="false" ca="false" dt2D="false" dtr="false" t="normal">+S541-AS541</f>
        <v>-6239971.470000001</v>
      </c>
      <c r="AU541" s="9" t="e">
        <f aca="false" ca="false" dt2D="false" dtr="false" t="normal">+P541-'[5]Приложение №1'!$P498</f>
        <v>#REF!</v>
      </c>
      <c r="AV541" s="9" t="e">
        <f aca="false" ca="false" dt2D="false" dtr="false" t="normal">+Q541-'[5]Приложение №1'!$Q498</f>
        <v>#REF!</v>
      </c>
      <c r="AW541" s="186" t="n">
        <f aca="false" ca="true" dt2D="false" dtr="false" t="normal">SUBTOTAL(9, AX541:BL541)</f>
        <v>8457334.657600876</v>
      </c>
      <c r="AX541" s="106" t="n">
        <v>7922733.56666695</v>
      </c>
      <c r="AY541" s="106" t="n">
        <v>0</v>
      </c>
      <c r="AZ541" s="106" t="n">
        <v>0</v>
      </c>
      <c r="BA541" s="106" t="n">
        <v>0</v>
      </c>
      <c r="BB541" s="106" t="n">
        <v>0</v>
      </c>
      <c r="BC541" s="106" t="n"/>
      <c r="BD541" s="106" t="n">
        <v>353614.129261267</v>
      </c>
      <c r="BE541" s="106" t="n">
        <v>0</v>
      </c>
      <c r="BF541" s="106" t="n">
        <v>0</v>
      </c>
      <c r="BG541" s="106" t="n">
        <v>0</v>
      </c>
      <c r="BH541" s="106" t="n">
        <v>0</v>
      </c>
      <c r="BI541" s="106" t="n">
        <v>0</v>
      </c>
      <c r="BJ541" s="106" t="n"/>
      <c r="BK541" s="114" t="n"/>
      <c r="BL541" s="115" t="n">
        <v>180986.961672659</v>
      </c>
      <c r="BM541" s="186" t="n">
        <f aca="false" ca="true" dt2D="false" dtr="false" t="normal">SUBTOTAL(9, BN541:CB541)</f>
        <v>8457334.657600876</v>
      </c>
      <c r="BN541" s="106" t="n">
        <v>7922733.56666695</v>
      </c>
      <c r="BO541" s="106" t="n">
        <v>0</v>
      </c>
      <c r="BP541" s="106" t="n">
        <v>0</v>
      </c>
      <c r="BQ541" s="106" t="n">
        <v>0</v>
      </c>
      <c r="BR541" s="106" t="n">
        <v>0</v>
      </c>
      <c r="BS541" s="106" t="n"/>
      <c r="BT541" s="106" t="n">
        <v>353614.129261267</v>
      </c>
      <c r="BU541" s="106" t="n">
        <v>0</v>
      </c>
      <c r="BV541" s="106" t="n">
        <v>0</v>
      </c>
      <c r="BW541" s="106" t="n">
        <v>0</v>
      </c>
      <c r="BX541" s="106" t="n">
        <v>0</v>
      </c>
      <c r="BY541" s="106" t="n">
        <v>0</v>
      </c>
      <c r="BZ541" s="106" t="n"/>
      <c r="CA541" s="114" t="n"/>
      <c r="CB541" s="115" t="n">
        <v>180986.961672659</v>
      </c>
      <c r="CD541" s="116" t="n">
        <f aca="false" ca="false" dt2D="false" dtr="false" t="normal">+CD540+1</f>
        <v>519</v>
      </c>
      <c r="CE541" s="117" t="n">
        <f aca="false" ca="false" dt2D="false" dtr="false" t="normal">+CE540+1</f>
        <v>60</v>
      </c>
      <c r="CF541" s="104" t="s">
        <v>78</v>
      </c>
      <c r="CG541" s="117" t="s">
        <v>565</v>
      </c>
      <c r="CH541" s="108" t="n">
        <f aca="false" ca="true" dt2D="false" dtr="false" t="normal">SUBTOTAL(9, CI541:CW541)</f>
        <v>8103720.53</v>
      </c>
      <c r="CI541" s="106" t="n">
        <v>7922733.57</v>
      </c>
      <c r="CJ541" s="114" t="n">
        <v>0</v>
      </c>
      <c r="CK541" s="114" t="n">
        <v>0</v>
      </c>
      <c r="CL541" s="114" t="n">
        <v>0</v>
      </c>
      <c r="CM541" s="114" t="n">
        <v>0</v>
      </c>
      <c r="CN541" s="114" t="n"/>
      <c r="CO541" s="106" t="n"/>
      <c r="CP541" s="114" t="n">
        <v>0</v>
      </c>
      <c r="CQ541" s="114" t="n">
        <v>0</v>
      </c>
      <c r="CR541" s="114" t="n">
        <v>0</v>
      </c>
      <c r="CS541" s="114" t="n">
        <v>0</v>
      </c>
      <c r="CT541" s="114" t="n">
        <v>0</v>
      </c>
      <c r="CU541" s="114" t="n"/>
      <c r="CV541" s="114" t="n"/>
      <c r="CW541" s="115" t="n">
        <v>180986.96</v>
      </c>
      <c r="CX541" s="3" t="n">
        <f aca="false" ca="false" dt2D="false" dtr="false" t="normal">+N541-CH541</f>
        <v>-180986.9600000009</v>
      </c>
      <c r="CZ541" s="117" t="s">
        <v>565</v>
      </c>
      <c r="DA541" s="113" t="n">
        <f aca="false" ca="true" dt2D="false" dtr="false" t="normal">SUBTOTAL(9, DB541:DP541)</f>
        <v>7922733.57</v>
      </c>
      <c r="DB541" s="106" t="n">
        <v>7922733.57</v>
      </c>
      <c r="DC541" s="114" t="n">
        <v>0</v>
      </c>
      <c r="DD541" s="114" t="n">
        <v>0</v>
      </c>
      <c r="DE541" s="114" t="n">
        <v>0</v>
      </c>
      <c r="DF541" s="114" t="n">
        <v>0</v>
      </c>
      <c r="DG541" s="114" t="n"/>
      <c r="DH541" s="106" t="n"/>
      <c r="DI541" s="114" t="n">
        <v>0</v>
      </c>
      <c r="DJ541" s="114" t="n">
        <v>0</v>
      </c>
      <c r="DK541" s="114" t="n">
        <v>0</v>
      </c>
      <c r="DL541" s="114" t="n">
        <v>0</v>
      </c>
      <c r="DM541" s="114" t="n">
        <v>0</v>
      </c>
      <c r="DN541" s="114" t="n"/>
      <c r="DO541" s="114" t="n"/>
      <c r="DP541" s="240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</row>
    <row customFormat="true" hidden="false" ht="15" outlineLevel="0" r="542" s="1">
      <c r="A542" s="183" t="n">
        <f aca="false" ca="false" dt2D="false" dtr="false" t="normal">+A541+1</f>
        <v>520</v>
      </c>
      <c r="B542" s="117" t="n">
        <f aca="false" ca="false" dt2D="false" dtr="false" t="normal">+B541+1</f>
        <v>61</v>
      </c>
      <c r="C542" s="104" t="s">
        <v>78</v>
      </c>
      <c r="D542" s="104" t="s">
        <v>97</v>
      </c>
      <c r="E542" s="105" t="n">
        <v>1990</v>
      </c>
      <c r="F542" s="105" t="n">
        <v>1990</v>
      </c>
      <c r="G542" s="105" t="s">
        <v>68</v>
      </c>
      <c r="H542" s="105" t="n">
        <v>5</v>
      </c>
      <c r="I542" s="105" t="n">
        <v>8</v>
      </c>
      <c r="J542" s="106" t="n">
        <v>7467.3</v>
      </c>
      <c r="K542" s="106" t="n">
        <v>6603.4</v>
      </c>
      <c r="L542" s="106" t="n">
        <v>0</v>
      </c>
      <c r="M542" s="107" t="n">
        <v>290</v>
      </c>
      <c r="N542" s="108" t="n">
        <f aca="false" ca="false" dt2D="false" dtr="false" t="normal">SUM(P542:T542)</f>
        <v>1009279.69</v>
      </c>
      <c r="O542" s="106" t="n"/>
      <c r="P542" s="113" t="n"/>
      <c r="Q542" s="114" t="n"/>
      <c r="R542" s="113" t="n">
        <v>707224.14</v>
      </c>
      <c r="S542" s="113" t="n">
        <v>302055.55</v>
      </c>
      <c r="T542" s="113" t="n">
        <v>0</v>
      </c>
      <c r="U542" s="114" t="n">
        <v>1004.74319164001</v>
      </c>
      <c r="V542" s="114" t="n">
        <v>1214.283020064</v>
      </c>
      <c r="W542" s="110" t="n">
        <v>2024</v>
      </c>
      <c r="X542" s="9" t="e">
        <f aca="false" ca="false" dt2D="false" dtr="false" t="normal">+#REF!-'[9]Приложение №1'!$P367</f>
        <v>#REF!</v>
      </c>
      <c r="Z542" s="113" t="n">
        <f aca="false" ca="false" dt2D="false" dtr="false" t="normal">SUM(AA542:AO542)</f>
        <v>55317447.93847713</v>
      </c>
      <c r="AA542" s="106" t="n">
        <v>0</v>
      </c>
      <c r="AB542" s="106" t="n">
        <v>0</v>
      </c>
      <c r="AC542" s="106" t="n">
        <v>5006928.96142492</v>
      </c>
      <c r="AD542" s="106" t="n">
        <v>0</v>
      </c>
      <c r="AE542" s="106" t="n">
        <v>0</v>
      </c>
      <c r="AF542" s="106" t="n"/>
      <c r="AG542" s="106" t="n">
        <v>0</v>
      </c>
      <c r="AH542" s="106" t="n">
        <v>0</v>
      </c>
      <c r="AI542" s="106" t="n">
        <v>0</v>
      </c>
      <c r="AJ542" s="106" t="n">
        <v>0</v>
      </c>
      <c r="AK542" s="106" t="n">
        <v>43172023.5903835</v>
      </c>
      <c r="AL542" s="106" t="n">
        <v>0</v>
      </c>
      <c r="AM542" s="106" t="n">
        <v>5531744.79384771</v>
      </c>
      <c r="AN542" s="114" t="n">
        <v>553174.479384771</v>
      </c>
      <c r="AO542" s="115" t="n">
        <v>1053576.11343623</v>
      </c>
      <c r="AP542" s="112" t="n">
        <f aca="false" ca="false" dt2D="false" dtr="false" t="normal">+N542-'Приложение №2'!E542</f>
        <v>0</v>
      </c>
      <c r="AQ542" s="9" t="n">
        <f aca="false" ca="false" dt2D="false" dtr="false" t="normal">3981912.4-R44</f>
        <v>214049.3700000001</v>
      </c>
      <c r="AR542" s="3" t="n">
        <f aca="false" ca="false" dt2D="false" dtr="false" t="normal">+(K542*10.5+L542*21)*12*0.85</f>
        <v>707224.1399999999</v>
      </c>
      <c r="AS542" s="3" t="n">
        <f aca="false" ca="false" dt2D="false" dtr="false" t="normal">+(K542*10.5+L542*21)*12*30-S44</f>
        <v>20223950.009999998</v>
      </c>
      <c r="AT542" s="9" t="n">
        <f aca="false" ca="false" dt2D="false" dtr="false" t="normal">+S542-AS542</f>
        <v>-19921894.459999997</v>
      </c>
      <c r="AU542" s="9" t="e">
        <f aca="false" ca="false" dt2D="false" dtr="false" t="normal">+P542-'[5]Приложение №1'!$P499</f>
        <v>#REF!</v>
      </c>
      <c r="AV542" s="9" t="e">
        <f aca="false" ca="false" dt2D="false" dtr="false" t="normal">+Q542-'[5]Приложение №1'!$Q499</f>
        <v>#REF!</v>
      </c>
      <c r="AW542" s="186" t="n">
        <f aca="false" ca="true" dt2D="false" dtr="false" t="normal">SUBTOTAL(9, AX542:BL542)</f>
        <v>6634721.191675618</v>
      </c>
      <c r="AX542" s="106" t="n">
        <v>0</v>
      </c>
      <c r="AY542" s="106" t="n">
        <v>0</v>
      </c>
      <c r="AZ542" s="106" t="n">
        <v>6492738.15817376</v>
      </c>
      <c r="BA542" s="106" t="n">
        <v>0</v>
      </c>
      <c r="BB542" s="106" t="n">
        <v>0</v>
      </c>
      <c r="BC542" s="106" t="n"/>
      <c r="BD542" s="106" t="n"/>
      <c r="BE542" s="106" t="n">
        <v>0</v>
      </c>
      <c r="BF542" s="106" t="n">
        <v>0</v>
      </c>
      <c r="BG542" s="106" t="n">
        <v>0</v>
      </c>
      <c r="BH542" s="106" t="n"/>
      <c r="BI542" s="106" t="n">
        <v>0</v>
      </c>
      <c r="BJ542" s="106" t="n"/>
      <c r="BK542" s="114" t="n"/>
      <c r="BL542" s="115" t="n">
        <v>141983.033501858</v>
      </c>
      <c r="BM542" s="186" t="n">
        <f aca="false" ca="true" dt2D="false" dtr="false" t="normal">SUBTOTAL(9, BN542:CB542)</f>
        <v>6634721.191675618</v>
      </c>
      <c r="BN542" s="106" t="n">
        <v>0</v>
      </c>
      <c r="BO542" s="106" t="n">
        <v>0</v>
      </c>
      <c r="BP542" s="106" t="n">
        <v>6492738.15817376</v>
      </c>
      <c r="BQ542" s="106" t="n">
        <v>0</v>
      </c>
      <c r="BR542" s="106" t="n">
        <v>0</v>
      </c>
      <c r="BS542" s="106" t="n"/>
      <c r="BT542" s="106" t="n"/>
      <c r="BU542" s="106" t="n">
        <v>0</v>
      </c>
      <c r="BV542" s="106" t="n">
        <v>0</v>
      </c>
      <c r="BW542" s="106" t="n">
        <v>0</v>
      </c>
      <c r="BX542" s="106" t="n"/>
      <c r="BY542" s="106" t="n">
        <v>0</v>
      </c>
      <c r="BZ542" s="106" t="n"/>
      <c r="CA542" s="114" t="n"/>
      <c r="CB542" s="115" t="n">
        <v>141983.033501858</v>
      </c>
      <c r="CD542" s="116" t="n">
        <f aca="false" ca="false" dt2D="false" dtr="false" t="normal">+CD541+1</f>
        <v>520</v>
      </c>
      <c r="CE542" s="117" t="n">
        <f aca="false" ca="false" dt2D="false" dtr="false" t="normal">+CE541+1</f>
        <v>61</v>
      </c>
      <c r="CF542" s="104" t="s">
        <v>78</v>
      </c>
      <c r="CG542" s="117" t="s">
        <v>97</v>
      </c>
      <c r="CH542" s="108" t="n">
        <f aca="false" ca="true" dt2D="false" dtr="false" t="normal">SUBTOTAL(9, CI542:CW542)</f>
        <v>1009279.69</v>
      </c>
      <c r="CI542" s="106" t="n">
        <v>0</v>
      </c>
      <c r="CJ542" s="114" t="n">
        <v>0</v>
      </c>
      <c r="CK542" s="114" t="n">
        <v>1009279.69</v>
      </c>
      <c r="CL542" s="114" t="n">
        <v>0</v>
      </c>
      <c r="CM542" s="114" t="n">
        <v>0</v>
      </c>
      <c r="CN542" s="114" t="n"/>
      <c r="CO542" s="106" t="n"/>
      <c r="CP542" s="114" t="n">
        <v>0</v>
      </c>
      <c r="CQ542" s="114" t="n">
        <v>0</v>
      </c>
      <c r="CR542" s="114" t="n">
        <v>0</v>
      </c>
      <c r="CS542" s="114" t="n"/>
      <c r="CT542" s="114" t="n">
        <v>0</v>
      </c>
      <c r="CU542" s="114" t="n"/>
      <c r="CV542" s="114" t="n"/>
      <c r="CW542" s="115" t="n"/>
      <c r="CX542" s="3" t="n">
        <f aca="false" ca="false" dt2D="false" dtr="false" t="normal">+N542-CH542</f>
        <v>0</v>
      </c>
      <c r="CZ542" s="117" t="s">
        <v>97</v>
      </c>
      <c r="DA542" s="113" t="n">
        <f aca="false" ca="true" dt2D="false" dtr="false" t="normal">SUBTOTAL(9, DB542:DP542)</f>
        <v>1009279.69</v>
      </c>
      <c r="DB542" s="106" t="n">
        <v>0</v>
      </c>
      <c r="DC542" s="114" t="n">
        <v>0</v>
      </c>
      <c r="DD542" s="114" t="n">
        <v>1009279.69</v>
      </c>
      <c r="DE542" s="114" t="n">
        <v>0</v>
      </c>
      <c r="DF542" s="114" t="n">
        <v>0</v>
      </c>
      <c r="DG542" s="114" t="n"/>
      <c r="DH542" s="106" t="n"/>
      <c r="DI542" s="114" t="n">
        <v>0</v>
      </c>
      <c r="DJ542" s="114" t="n">
        <v>0</v>
      </c>
      <c r="DK542" s="114" t="n">
        <v>0</v>
      </c>
      <c r="DL542" s="114" t="n"/>
      <c r="DM542" s="114" t="n">
        <v>0</v>
      </c>
      <c r="DN542" s="114" t="n"/>
      <c r="DO542" s="114" t="n"/>
      <c r="DP542" s="245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</row>
    <row customFormat="true" hidden="false" ht="15" outlineLevel="0" r="543" s="1">
      <c r="A543" s="183" t="n">
        <f aca="false" ca="false" dt2D="false" dtr="false" t="normal">+A542+1</f>
        <v>521</v>
      </c>
      <c r="B543" s="117" t="n">
        <f aca="false" ca="false" dt2D="false" dtr="false" t="normal">+B542+1</f>
        <v>62</v>
      </c>
      <c r="C543" s="104" t="s">
        <v>81</v>
      </c>
      <c r="D543" s="104" t="s">
        <v>566</v>
      </c>
      <c r="E543" s="105" t="n">
        <v>1994</v>
      </c>
      <c r="F543" s="105" t="n">
        <v>2005</v>
      </c>
      <c r="G543" s="105" t="s">
        <v>68</v>
      </c>
      <c r="H543" s="105" t="n">
        <v>10</v>
      </c>
      <c r="I543" s="105" t="n">
        <v>1</v>
      </c>
      <c r="J543" s="106" t="n">
        <v>3221.8</v>
      </c>
      <c r="K543" s="106" t="n">
        <v>2772.9</v>
      </c>
      <c r="L543" s="106" t="n">
        <v>0</v>
      </c>
      <c r="M543" s="107" t="n">
        <v>100</v>
      </c>
      <c r="N543" s="108" t="n">
        <f aca="false" ca="false" dt2D="false" dtr="false" t="normal">SUM(P543:T543)</f>
        <v>3517263.77</v>
      </c>
      <c r="O543" s="106" t="n"/>
      <c r="P543" s="113" t="n"/>
      <c r="Q543" s="114" t="n"/>
      <c r="R543" s="113" t="n">
        <v>1683337.51</v>
      </c>
      <c r="S543" s="114" t="n">
        <v>0</v>
      </c>
      <c r="T543" s="113" t="n">
        <v>1833926.26</v>
      </c>
      <c r="U543" s="114" t="n">
        <v>1295.16390782214</v>
      </c>
      <c r="V543" s="114" t="n">
        <v>1215.283020064</v>
      </c>
      <c r="W543" s="110" t="n">
        <v>2024</v>
      </c>
      <c r="X543" s="9" t="e">
        <f aca="false" ca="false" dt2D="false" dtr="false" t="normal">+#REF!-'[9]Приложение №1'!$P187</f>
        <v>#REF!</v>
      </c>
      <c r="Z543" s="113" t="n">
        <f aca="false" ca="false" dt2D="false" dtr="false" t="normal">SUM(AA543:AO543)</f>
        <v>12312273.314337615</v>
      </c>
      <c r="AA543" s="106" t="n">
        <v>6644426.53093372</v>
      </c>
      <c r="AB543" s="106" t="n">
        <v>2658404.31955786</v>
      </c>
      <c r="AC543" s="106" t="n">
        <v>0</v>
      </c>
      <c r="AD543" s="106" t="n">
        <v>1254761.29681762</v>
      </c>
      <c r="AE543" s="106" t="n">
        <v>0</v>
      </c>
      <c r="AF543" s="106" t="n"/>
      <c r="AG543" s="106" t="n">
        <v>295202.596894297</v>
      </c>
      <c r="AH543" s="106" t="n">
        <v>0</v>
      </c>
      <c r="AI543" s="106" t="n">
        <v>0</v>
      </c>
      <c r="AJ543" s="106" t="n">
        <v>0</v>
      </c>
      <c r="AK543" s="106" t="n">
        <v>0</v>
      </c>
      <c r="AL543" s="106" t="n">
        <v>0</v>
      </c>
      <c r="AM543" s="106" t="n">
        <v>1099027.19655956</v>
      </c>
      <c r="AN543" s="114" t="n">
        <v>123122.733143376</v>
      </c>
      <c r="AO543" s="115" t="n">
        <v>237328.640431182</v>
      </c>
      <c r="AP543" s="112" t="n">
        <f aca="false" ca="false" dt2D="false" dtr="false" t="normal">+N543-'Приложение №2'!E543</f>
        <v>0</v>
      </c>
      <c r="AR543" s="3" t="n">
        <f aca="false" ca="false" dt2D="false" dtr="false" t="normal">+(K543*13.95+L543*23.65)*12*0.85</f>
        <v>394555.941</v>
      </c>
      <c r="AS543" s="3" t="n"/>
      <c r="AT543" s="9" t="n">
        <f aca="false" ca="false" dt2D="false" dtr="false" t="normal">+S543-AS543</f>
        <v>0</v>
      </c>
      <c r="AU543" s="9" t="e">
        <f aca="false" ca="false" dt2D="false" dtr="false" t="normal">+P543-'[5]Приложение №1'!$P500</f>
        <v>#REF!</v>
      </c>
      <c r="AV543" s="9" t="e">
        <f aca="false" ca="false" dt2D="false" dtr="false" t="normal">+Q543-'[5]Приложение №1'!$Q500</f>
        <v>#REF!</v>
      </c>
      <c r="AW543" s="186" t="n">
        <f aca="false" ca="true" dt2D="false" dtr="false" t="normal">SUBTOTAL(9, AX543:BL543)</f>
        <v>3591360.0000000023</v>
      </c>
      <c r="AX543" s="106" t="n"/>
      <c r="AY543" s="106" t="n"/>
      <c r="AZ543" s="106" t="n"/>
      <c r="BA543" s="106" t="n"/>
      <c r="BB543" s="106" t="n"/>
      <c r="BC543" s="106" t="n"/>
      <c r="BD543" s="106" t="n"/>
      <c r="BE543" s="106" t="n">
        <v>3388344.64606988</v>
      </c>
      <c r="BF543" s="106" t="n"/>
      <c r="BG543" s="106" t="n"/>
      <c r="BH543" s="106" t="n"/>
      <c r="BI543" s="106" t="n"/>
      <c r="BJ543" s="106" t="n">
        <v>104919.1190784</v>
      </c>
      <c r="BK543" s="114" t="n">
        <v>24000</v>
      </c>
      <c r="BL543" s="115" t="n">
        <v>74096.2348517222</v>
      </c>
      <c r="BM543" s="186" t="n">
        <f aca="false" ca="true" dt2D="false" dtr="false" t="normal">SUBTOTAL(9, BN543:CB543)</f>
        <v>3591360.0000000023</v>
      </c>
      <c r="BN543" s="106" t="n"/>
      <c r="BO543" s="106" t="n"/>
      <c r="BP543" s="106" t="n"/>
      <c r="BQ543" s="106" t="n"/>
      <c r="BR543" s="106" t="n"/>
      <c r="BS543" s="106" t="n"/>
      <c r="BT543" s="106" t="n"/>
      <c r="BU543" s="106" t="n">
        <v>3388344.64606988</v>
      </c>
      <c r="BV543" s="106" t="n"/>
      <c r="BW543" s="106" t="n"/>
      <c r="BX543" s="106" t="n"/>
      <c r="BY543" s="106" t="n"/>
      <c r="BZ543" s="106" t="n">
        <v>104919.1190784</v>
      </c>
      <c r="CA543" s="114" t="n">
        <v>24000</v>
      </c>
      <c r="CB543" s="115" t="n">
        <v>74096.2348517222</v>
      </c>
      <c r="CD543" s="116" t="n">
        <f aca="false" ca="false" dt2D="false" dtr="false" t="normal">+CD542+1</f>
        <v>521</v>
      </c>
      <c r="CE543" s="117" t="n">
        <f aca="false" ca="false" dt2D="false" dtr="false" t="normal">+CE542+1</f>
        <v>62</v>
      </c>
      <c r="CF543" s="104" t="s">
        <v>81</v>
      </c>
      <c r="CG543" s="117" t="s">
        <v>566</v>
      </c>
      <c r="CH543" s="108" t="n">
        <f aca="false" ca="true" dt2D="false" dtr="false" t="normal">SUBTOTAL(9, CI543:CW543)</f>
        <v>3591360</v>
      </c>
      <c r="CI543" s="106" t="n"/>
      <c r="CJ543" s="114" t="n"/>
      <c r="CK543" s="114" t="n"/>
      <c r="CL543" s="114" t="n"/>
      <c r="CM543" s="114" t="n"/>
      <c r="CN543" s="114" t="n"/>
      <c r="CO543" s="106" t="n"/>
      <c r="CP543" s="114" t="n">
        <v>3388344.65</v>
      </c>
      <c r="CQ543" s="114" t="n"/>
      <c r="CR543" s="114" t="n"/>
      <c r="CS543" s="114" t="n"/>
      <c r="CT543" s="114" t="n"/>
      <c r="CU543" s="114" t="n">
        <v>104919.12</v>
      </c>
      <c r="CV543" s="114" t="n">
        <v>24000</v>
      </c>
      <c r="CW543" s="115" t="n">
        <v>74096.23</v>
      </c>
      <c r="CX543" s="3" t="n">
        <f aca="false" ca="false" dt2D="false" dtr="false" t="normal">+N543-CH543</f>
        <v>-74096.22999999998</v>
      </c>
      <c r="CZ543" s="117" t="s">
        <v>566</v>
      </c>
      <c r="DA543" s="113" t="n">
        <f aca="false" ca="true" dt2D="false" dtr="false" t="normal">SUBTOTAL(9, DB543:DP543)</f>
        <v>3517263.77</v>
      </c>
      <c r="DB543" s="106" t="n"/>
      <c r="DC543" s="114" t="n"/>
      <c r="DD543" s="114" t="n"/>
      <c r="DE543" s="114" t="n"/>
      <c r="DF543" s="114" t="n"/>
      <c r="DG543" s="114" t="n"/>
      <c r="DH543" s="106" t="n"/>
      <c r="DI543" s="114" t="n">
        <v>3388344.65</v>
      </c>
      <c r="DJ543" s="114" t="n"/>
      <c r="DK543" s="114" t="n"/>
      <c r="DL543" s="114" t="n"/>
      <c r="DM543" s="114" t="n"/>
      <c r="DN543" s="114" t="n">
        <v>104919.12</v>
      </c>
      <c r="DO543" s="114" t="n">
        <v>24000</v>
      </c>
      <c r="DP543" s="240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</row>
    <row customFormat="true" hidden="false" ht="15" outlineLevel="0" r="544" s="1">
      <c r="A544" s="183" t="n">
        <f aca="false" ca="false" dt2D="false" dtr="false" t="normal">+A543+1</f>
        <v>522</v>
      </c>
      <c r="B544" s="117" t="n">
        <f aca="false" ca="false" dt2D="false" dtr="false" t="normal">+B543+1</f>
        <v>63</v>
      </c>
      <c r="C544" s="104" t="s">
        <v>78</v>
      </c>
      <c r="D544" s="104" t="s">
        <v>567</v>
      </c>
      <c r="E544" s="105" t="n">
        <v>1996</v>
      </c>
      <c r="F544" s="105" t="n">
        <v>1996</v>
      </c>
      <c r="G544" s="105" t="s">
        <v>68</v>
      </c>
      <c r="H544" s="105" t="n">
        <v>3</v>
      </c>
      <c r="I544" s="105" t="n">
        <v>3</v>
      </c>
      <c r="J544" s="106" t="n">
        <v>2048.3</v>
      </c>
      <c r="K544" s="106" t="n">
        <v>1683.6</v>
      </c>
      <c r="L544" s="106" t="n">
        <v>86.8</v>
      </c>
      <c r="M544" s="107" t="n">
        <v>51</v>
      </c>
      <c r="N544" s="108" t="n">
        <f aca="false" ca="false" dt2D="false" dtr="false" t="normal">SUM(P544:T544)</f>
        <v>5076863.41</v>
      </c>
      <c r="O544" s="106" t="n"/>
      <c r="P544" s="113" t="n">
        <v>1188980.41</v>
      </c>
      <c r="Q544" s="114" t="n"/>
      <c r="R544" s="113" t="n">
        <v>1214400.67</v>
      </c>
      <c r="S544" s="113" t="n">
        <v>2673482.33</v>
      </c>
      <c r="T544" s="113" t="n"/>
      <c r="U544" s="114" t="n">
        <v>7766.94020109064</v>
      </c>
      <c r="V544" s="114" t="n">
        <v>1219.283020064</v>
      </c>
      <c r="W544" s="110" t="n">
        <v>2024</v>
      </c>
      <c r="X544" s="9" t="e">
        <f aca="false" ca="false" dt2D="false" dtr="false" t="normal">+#REF!-'[9]Приложение №1'!$P588</f>
        <v>#REF!</v>
      </c>
      <c r="Z544" s="113" t="n">
        <f aca="false" ca="false" dt2D="false" dtr="false" t="normal">SUM(AA544:AO544)</f>
        <v>33805835.96630428</v>
      </c>
      <c r="AA544" s="106" t="n">
        <v>6700361.08933857</v>
      </c>
      <c r="AB544" s="106" t="n">
        <v>3490874.73169034</v>
      </c>
      <c r="AC544" s="106" t="n">
        <v>1444478.38668783</v>
      </c>
      <c r="AD544" s="106" t="n">
        <v>0</v>
      </c>
      <c r="AE544" s="106" t="n">
        <v>0</v>
      </c>
      <c r="AF544" s="106" t="n"/>
      <c r="AG544" s="106" t="n">
        <v>547643.040826102</v>
      </c>
      <c r="AH544" s="106" t="n">
        <v>0</v>
      </c>
      <c r="AI544" s="106" t="n">
        <v>0</v>
      </c>
      <c r="AJ544" s="106" t="n">
        <v>0</v>
      </c>
      <c r="AK544" s="106" t="n">
        <v>17457525.2415832</v>
      </c>
      <c r="AL544" s="106" t="n">
        <v>0</v>
      </c>
      <c r="AM544" s="106" t="n">
        <v>3178709.04939002</v>
      </c>
      <c r="AN544" s="114" t="n">
        <v>338058.359663042</v>
      </c>
      <c r="AO544" s="115" t="n">
        <v>648186.067125175</v>
      </c>
      <c r="AP544" s="112" t="n">
        <f aca="false" ca="false" dt2D="false" dtr="false" t="normal">+N544-'Приложение №2'!E544</f>
        <v>0</v>
      </c>
      <c r="AQ544" s="121" t="n">
        <v>1050911.19</v>
      </c>
      <c r="AR544" s="3" t="n">
        <f aca="false" ca="false" dt2D="false" dtr="false" t="normal">+(K544*10.5+L544*21)*12*0.85</f>
        <v>198906.11999999997</v>
      </c>
      <c r="AS544" s="3" t="n">
        <f aca="false" ca="false" dt2D="false" dtr="false" t="normal">+(K544*10.5+L544*21)*12*30</f>
        <v>7020215.999999999</v>
      </c>
      <c r="AT544" s="9" t="n">
        <f aca="false" ca="false" dt2D="false" dtr="false" t="normal">+S544-AS544</f>
        <v>-4346733.669999999</v>
      </c>
      <c r="AU544" s="9" t="e">
        <f aca="false" ca="false" dt2D="false" dtr="false" t="normal">+P544-'[5]Приложение №1'!$P504</f>
        <v>#REF!</v>
      </c>
      <c r="AV544" s="9" t="e">
        <f aca="false" ca="false" dt2D="false" dtr="false" t="normal">+Q544-'[5]Приложение №1'!$Q504</f>
        <v>#REF!</v>
      </c>
      <c r="AW544" s="186" t="n">
        <f aca="false" ca="true" dt2D="false" dtr="false" t="normal">SUBTOTAL(9, AX544:BL544)</f>
        <v>13076420.52255621</v>
      </c>
      <c r="AX544" s="106" t="n">
        <v>7984235.79780001</v>
      </c>
      <c r="AY544" s="106" t="n">
        <v>4159770.88798194</v>
      </c>
      <c r="AZ544" s="106" t="n">
        <v>0</v>
      </c>
      <c r="BA544" s="106" t="n">
        <v>0</v>
      </c>
      <c r="BB544" s="106" t="n">
        <v>0</v>
      </c>
      <c r="BC544" s="106" t="n"/>
      <c r="BD544" s="106" t="n">
        <v>652578.437591556</v>
      </c>
      <c r="BE544" s="106" t="n">
        <v>0</v>
      </c>
      <c r="BF544" s="106" t="n"/>
      <c r="BG544" s="106" t="n"/>
      <c r="BH544" s="106" t="n"/>
      <c r="BI544" s="106" t="n">
        <v>0</v>
      </c>
      <c r="BJ544" s="106" t="n"/>
      <c r="BK544" s="114" t="n"/>
      <c r="BL544" s="115" t="n">
        <v>279835.399182703</v>
      </c>
      <c r="BM544" s="186" t="n">
        <f aca="false" ca="true" dt2D="false" dtr="false" t="normal">SUBTOTAL(9, BN544:CB544)</f>
        <v>13076420.52255621</v>
      </c>
      <c r="BN544" s="106" t="n">
        <v>7984235.79780001</v>
      </c>
      <c r="BO544" s="106" t="n">
        <v>4159770.88798194</v>
      </c>
      <c r="BP544" s="106" t="n">
        <v>0</v>
      </c>
      <c r="BQ544" s="106" t="n">
        <v>0</v>
      </c>
      <c r="BR544" s="106" t="n">
        <v>0</v>
      </c>
      <c r="BS544" s="106" t="n"/>
      <c r="BT544" s="106" t="n">
        <v>652578.437591556</v>
      </c>
      <c r="BU544" s="106" t="n">
        <v>0</v>
      </c>
      <c r="BV544" s="106" t="n"/>
      <c r="BW544" s="106" t="n"/>
      <c r="BX544" s="106" t="n"/>
      <c r="BY544" s="106" t="n">
        <v>0</v>
      </c>
      <c r="BZ544" s="106" t="n"/>
      <c r="CA544" s="114" t="n"/>
      <c r="CB544" s="115" t="n">
        <v>279835.399182703</v>
      </c>
      <c r="CD544" s="116" t="n">
        <f aca="false" ca="false" dt2D="false" dtr="false" t="normal">+CD543+1</f>
        <v>522</v>
      </c>
      <c r="CE544" s="117" t="n">
        <f aca="false" ca="false" dt2D="false" dtr="false" t="normal">+CE543+1</f>
        <v>63</v>
      </c>
      <c r="CF544" s="104" t="s">
        <v>78</v>
      </c>
      <c r="CG544" s="117" t="s">
        <v>567</v>
      </c>
      <c r="CH544" s="108" t="n">
        <f aca="false" ca="true" dt2D="false" dtr="false" t="normal">SUBTOTAL(9, CI544:CW544)</f>
        <v>5076863.41</v>
      </c>
      <c r="CI544" s="106" t="n">
        <v>2801220.05</v>
      </c>
      <c r="CJ544" s="114" t="n">
        <v>2275643.36</v>
      </c>
      <c r="CK544" s="114" t="n">
        <v>0</v>
      </c>
      <c r="CL544" s="114" t="n">
        <v>0</v>
      </c>
      <c r="CM544" s="114" t="n">
        <v>0</v>
      </c>
      <c r="CN544" s="114" t="n"/>
      <c r="CO544" s="106" t="n"/>
      <c r="CP544" s="114" t="n">
        <v>0</v>
      </c>
      <c r="CQ544" s="114" t="n"/>
      <c r="CR544" s="114" t="n"/>
      <c r="CS544" s="114" t="n"/>
      <c r="CT544" s="114" t="n">
        <v>0</v>
      </c>
      <c r="CU544" s="114" t="n"/>
      <c r="CV544" s="114" t="n"/>
      <c r="CW544" s="115" t="n"/>
      <c r="CX544" s="3" t="n">
        <f aca="false" ca="false" dt2D="false" dtr="false" t="normal">+N544-CH544</f>
        <v>0</v>
      </c>
      <c r="CZ544" s="117" t="s">
        <v>567</v>
      </c>
      <c r="DA544" s="113" t="n">
        <f aca="false" ca="true" dt2D="false" dtr="false" t="normal">SUBTOTAL(9, DB544:DP544)</f>
        <v>5076863.41</v>
      </c>
      <c r="DB544" s="106" t="n">
        <v>2801220.05</v>
      </c>
      <c r="DC544" s="114" t="n">
        <v>2275643.36</v>
      </c>
      <c r="DD544" s="114" t="n">
        <v>0</v>
      </c>
      <c r="DE544" s="114" t="n">
        <v>0</v>
      </c>
      <c r="DF544" s="114" t="n">
        <v>0</v>
      </c>
      <c r="DG544" s="114" t="n"/>
      <c r="DH544" s="106" t="n"/>
      <c r="DI544" s="114" t="n">
        <v>0</v>
      </c>
      <c r="DJ544" s="114" t="n"/>
      <c r="DK544" s="114" t="n"/>
      <c r="DL544" s="114" t="n"/>
      <c r="DM544" s="114" t="n">
        <v>0</v>
      </c>
      <c r="DN544" s="114" t="n"/>
      <c r="DO544" s="114" t="n"/>
      <c r="DP544" s="240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</row>
    <row customFormat="true" hidden="false" ht="15" outlineLevel="0" r="545" s="1">
      <c r="A545" s="183" t="n">
        <f aca="false" ca="false" dt2D="false" dtr="false" t="normal">+A544+1</f>
        <v>523</v>
      </c>
      <c r="B545" s="117" t="n">
        <f aca="false" ca="false" dt2D="false" dtr="false" t="normal">+B544+1</f>
        <v>64</v>
      </c>
      <c r="C545" s="104" t="s">
        <v>78</v>
      </c>
      <c r="D545" s="104" t="s">
        <v>568</v>
      </c>
      <c r="E545" s="105" t="n">
        <v>1986</v>
      </c>
      <c r="F545" s="105" t="n">
        <v>2016</v>
      </c>
      <c r="G545" s="105" t="s">
        <v>68</v>
      </c>
      <c r="H545" s="105" t="n">
        <v>5</v>
      </c>
      <c r="I545" s="105" t="n">
        <v>4</v>
      </c>
      <c r="J545" s="106" t="n">
        <v>3396.9</v>
      </c>
      <c r="K545" s="106" t="n">
        <v>3059.2</v>
      </c>
      <c r="L545" s="106" t="n">
        <v>0</v>
      </c>
      <c r="M545" s="107" t="n">
        <v>122</v>
      </c>
      <c r="N545" s="108" t="n">
        <f aca="false" ca="false" dt2D="false" dtr="false" t="normal">SUM(P545:T545)</f>
        <v>14253153.2</v>
      </c>
      <c r="O545" s="106" t="n"/>
      <c r="P545" s="114" t="n"/>
      <c r="Q545" s="114" t="n"/>
      <c r="R545" s="113" t="n">
        <v>2179656.32</v>
      </c>
      <c r="S545" s="113" t="n">
        <v>10767242.69</v>
      </c>
      <c r="T545" s="113" t="n">
        <v>1306254.19</v>
      </c>
      <c r="U545" s="114" t="n">
        <v>5861.05648931689</v>
      </c>
      <c r="V545" s="114" t="n">
        <v>1220.283020064</v>
      </c>
      <c r="W545" s="110" t="n">
        <v>2024</v>
      </c>
      <c r="X545" s="9" t="e">
        <f aca="false" ca="false" dt2D="false" dtr="false" t="normal">+#REF!-'[9]Приложение №1'!$P589</f>
        <v>#REF!</v>
      </c>
      <c r="Z545" s="113" t="n">
        <f aca="false" ca="false" dt2D="false" dtr="false" t="normal">SUM(AA545:AO545)</f>
        <v>12428415.84886137</v>
      </c>
      <c r="AA545" s="106" t="n">
        <v>6061746.85827483</v>
      </c>
      <c r="AB545" s="106" t="n">
        <v>2605155.66</v>
      </c>
      <c r="AC545" s="106" t="n">
        <v>2187734.91</v>
      </c>
      <c r="AD545" s="106" t="n">
        <v>0</v>
      </c>
      <c r="AE545" s="106" t="n">
        <v>0</v>
      </c>
      <c r="AF545" s="106" t="n"/>
      <c r="AG545" s="106" t="n">
        <v>251675.454108787</v>
      </c>
      <c r="AH545" s="106" t="n">
        <v>0</v>
      </c>
      <c r="AI545" s="106" t="n">
        <v>0</v>
      </c>
      <c r="AJ545" s="106" t="n">
        <v>0</v>
      </c>
      <c r="AK545" s="106" t="n">
        <v>0</v>
      </c>
      <c r="AL545" s="106" t="n">
        <v>0</v>
      </c>
      <c r="AM545" s="106" t="n">
        <v>1074948.60078494</v>
      </c>
      <c r="AN545" s="114" t="n">
        <v>77360.2219424137</v>
      </c>
      <c r="AO545" s="115" t="n">
        <v>169794.1437504</v>
      </c>
      <c r="AP545" s="112" t="n">
        <f aca="false" ca="false" dt2D="false" dtr="false" t="normal">+N545-'Приложение №2'!E545</f>
        <v>0</v>
      </c>
      <c r="AQ545" s="121" t="n">
        <v>1852016</v>
      </c>
      <c r="AR545" s="3" t="n">
        <f aca="false" ca="false" dt2D="false" dtr="false" t="normal">+(K545*10.5+L545*21)*12*0.85</f>
        <v>327640.31999999995</v>
      </c>
      <c r="AS545" s="3" t="n">
        <f aca="false" ca="false" dt2D="false" dtr="false" t="normal">+(K545*10.5+L545*21)*12*30</f>
        <v>11563775.999999998</v>
      </c>
      <c r="AT545" s="9" t="n">
        <f aca="false" ca="false" dt2D="false" dtr="false" t="normal">+S545-AS545</f>
        <v>-796533.3099999987</v>
      </c>
      <c r="AU545" s="9" t="e">
        <f aca="false" ca="false" dt2D="false" dtr="false" t="normal">+P545-'[5]Приложение №1'!$P505</f>
        <v>#REF!</v>
      </c>
      <c r="AV545" s="9" t="e">
        <f aca="false" ca="false" dt2D="false" dtr="false" t="normal">+Q545-'[5]Приложение №1'!$Q505</f>
        <v>#REF!</v>
      </c>
      <c r="AW545" s="186" t="n">
        <f aca="false" ca="true" dt2D="false" dtr="false" t="normal">SUBTOTAL(9, AX545:BL545)</f>
        <v>17930144.01211818</v>
      </c>
      <c r="AX545" s="106" t="n">
        <v>10224281.5891629</v>
      </c>
      <c r="AY545" s="106" t="n">
        <v>4925359.93196168</v>
      </c>
      <c r="AZ545" s="106" t="n">
        <v>2187734.91</v>
      </c>
      <c r="BA545" s="106" t="n">
        <v>0</v>
      </c>
      <c r="BB545" s="106" t="n">
        <v>0</v>
      </c>
      <c r="BC545" s="106" t="n"/>
      <c r="BD545" s="106" t="n">
        <v>330229.417163119</v>
      </c>
      <c r="BE545" s="106" t="n">
        <v>0</v>
      </c>
      <c r="BF545" s="106" t="n">
        <v>0</v>
      </c>
      <c r="BG545" s="106" t="n">
        <v>0</v>
      </c>
      <c r="BH545" s="106" t="n">
        <v>0</v>
      </c>
      <c r="BI545" s="106" t="n">
        <v>0</v>
      </c>
      <c r="BJ545" s="106" t="n"/>
      <c r="BK545" s="114" t="n"/>
      <c r="BL545" s="115" t="n">
        <v>262538.163830482</v>
      </c>
      <c r="BM545" s="186" t="n">
        <f aca="false" ca="true" dt2D="false" dtr="false" t="normal">SUBTOTAL(9, BN545:CB545)</f>
        <v>17930144.01211818</v>
      </c>
      <c r="BN545" s="106" t="n">
        <v>10224281.5891629</v>
      </c>
      <c r="BO545" s="106" t="n">
        <v>4925359.93196168</v>
      </c>
      <c r="BP545" s="106" t="n">
        <v>2187734.91</v>
      </c>
      <c r="BQ545" s="106" t="n">
        <v>0</v>
      </c>
      <c r="BR545" s="106" t="n">
        <v>0</v>
      </c>
      <c r="BS545" s="106" t="n"/>
      <c r="BT545" s="106" t="n">
        <v>330229.417163119</v>
      </c>
      <c r="BU545" s="106" t="n">
        <v>0</v>
      </c>
      <c r="BV545" s="106" t="n">
        <v>0</v>
      </c>
      <c r="BW545" s="106" t="n">
        <v>0</v>
      </c>
      <c r="BX545" s="106" t="n">
        <v>0</v>
      </c>
      <c r="BY545" s="106" t="n">
        <v>0</v>
      </c>
      <c r="BZ545" s="106" t="n"/>
      <c r="CA545" s="114" t="n"/>
      <c r="CB545" s="115" t="n">
        <v>262538.163830482</v>
      </c>
      <c r="CD545" s="116" t="n">
        <f aca="false" ca="false" dt2D="false" dtr="false" t="normal">+CD544+1</f>
        <v>523</v>
      </c>
      <c r="CE545" s="117" t="n">
        <f aca="false" ca="false" dt2D="false" dtr="false" t="normal">+CE544+1</f>
        <v>64</v>
      </c>
      <c r="CF545" s="104" t="s">
        <v>78</v>
      </c>
      <c r="CG545" s="117" t="s">
        <v>568</v>
      </c>
      <c r="CH545" s="108" t="n">
        <f aca="false" ca="true" dt2D="false" dtr="false" t="normal">SUBTOTAL(9, CI545:CW545)</f>
        <v>13159961.08</v>
      </c>
      <c r="CI545" s="106" t="n">
        <v>5784328.08</v>
      </c>
      <c r="CJ545" s="114" t="n">
        <v>4925359.93</v>
      </c>
      <c r="CK545" s="114" t="n">
        <v>2187734.91</v>
      </c>
      <c r="CL545" s="114" t="n">
        <v>0</v>
      </c>
      <c r="CM545" s="114" t="n">
        <v>0</v>
      </c>
      <c r="CN545" s="114" t="n"/>
      <c r="CO545" s="106" t="n"/>
      <c r="CP545" s="114" t="n">
        <v>0</v>
      </c>
      <c r="CQ545" s="114" t="n">
        <v>0</v>
      </c>
      <c r="CR545" s="114" t="n">
        <v>0</v>
      </c>
      <c r="CS545" s="114" t="n">
        <v>0</v>
      </c>
      <c r="CT545" s="114" t="n">
        <v>0</v>
      </c>
      <c r="CU545" s="114" t="n"/>
      <c r="CV545" s="114" t="n"/>
      <c r="CW545" s="115" t="n">
        <v>262538.16</v>
      </c>
      <c r="CX545" s="3" t="n">
        <f aca="false" ca="false" dt2D="false" dtr="false" t="normal">+N545-CH545</f>
        <v>1093192.1199999992</v>
      </c>
      <c r="CZ545" s="117" t="s">
        <v>568</v>
      </c>
      <c r="DA545" s="113" t="n">
        <f aca="false" ca="true" dt2D="false" dtr="false" t="normal">SUBTOTAL(9, DB545:DP545)</f>
        <v>12946899.0135</v>
      </c>
      <c r="DB545" s="106" t="n">
        <v>5784328.08</v>
      </c>
      <c r="DC545" s="114" t="n">
        <v>4925359.93</v>
      </c>
      <c r="DD545" s="114" t="n">
        <v>2187734.91</v>
      </c>
      <c r="DE545" s="114" t="n">
        <v>0</v>
      </c>
      <c r="DF545" s="114" t="n">
        <v>0</v>
      </c>
      <c r="DG545" s="114" t="n"/>
      <c r="DH545" s="106" t="n"/>
      <c r="DI545" s="114" t="n">
        <v>0</v>
      </c>
      <c r="DJ545" s="114" t="n">
        <v>0</v>
      </c>
      <c r="DK545" s="114" t="n">
        <v>0</v>
      </c>
      <c r="DL545" s="114" t="n">
        <v>0</v>
      </c>
      <c r="DM545" s="114" t="n">
        <v>0</v>
      </c>
      <c r="DN545" s="114" t="n"/>
      <c r="DO545" s="114" t="n"/>
      <c r="DP545" s="115" t="n">
        <f aca="false" ca="false" dt2D="false" dtr="false" t="normal">(29239.33+13783.36)*1.15</f>
        <v>49476.093499999995</v>
      </c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</row>
    <row customFormat="true" hidden="false" ht="15" outlineLevel="0" r="546" s="1">
      <c r="A546" s="183" t="n">
        <f aca="false" ca="false" dt2D="false" dtr="false" t="normal">+A545+1</f>
        <v>524</v>
      </c>
      <c r="B546" s="117" t="n">
        <f aca="false" ca="false" dt2D="false" dtr="false" t="normal">+B545+1</f>
        <v>65</v>
      </c>
      <c r="C546" s="104" t="s">
        <v>78</v>
      </c>
      <c r="D546" s="104" t="s">
        <v>569</v>
      </c>
      <c r="E546" s="105" t="n">
        <v>1985</v>
      </c>
      <c r="F546" s="105" t="n">
        <v>2009</v>
      </c>
      <c r="G546" s="105" t="s">
        <v>68</v>
      </c>
      <c r="H546" s="105" t="n">
        <v>5</v>
      </c>
      <c r="I546" s="105" t="n">
        <v>4</v>
      </c>
      <c r="J546" s="106" t="n">
        <v>5739.1</v>
      </c>
      <c r="K546" s="106" t="n">
        <v>4751.1</v>
      </c>
      <c r="L546" s="106" t="n">
        <v>96</v>
      </c>
      <c r="M546" s="107" t="n">
        <v>191</v>
      </c>
      <c r="N546" s="108" t="n">
        <f aca="false" ca="false" dt2D="false" dtr="false" t="normal">SUM(P546:T546)</f>
        <v>4765870.78</v>
      </c>
      <c r="O546" s="106" t="n"/>
      <c r="P546" s="114" t="n"/>
      <c r="Q546" s="114" t="n"/>
      <c r="R546" s="113" t="n">
        <v>2669241.48</v>
      </c>
      <c r="S546" s="113" t="n">
        <v>2096629.3</v>
      </c>
      <c r="T546" s="114" t="n">
        <v>0</v>
      </c>
      <c r="U546" s="114" t="n">
        <v>1025.04487891189</v>
      </c>
      <c r="V546" s="114" t="n">
        <v>1216.283020064</v>
      </c>
      <c r="W546" s="110" t="n">
        <v>2024</v>
      </c>
      <c r="X546" s="9" t="e">
        <f aca="false" ca="false" dt2D="false" dtr="false" t="normal">+S546-'[9]Приложение №1'!$P579</f>
        <v>#REF!</v>
      </c>
      <c r="Z546" s="113" t="n">
        <f aca="false" ca="false" dt2D="false" dtr="false" t="normal">SUM(AA546:AO546)</f>
        <v>4184215.5831091194</v>
      </c>
      <c r="AA546" s="106" t="n">
        <v>0</v>
      </c>
      <c r="AB546" s="106" t="n">
        <v>0</v>
      </c>
      <c r="AC546" s="106" t="n">
        <v>3644259.29897122</v>
      </c>
      <c r="AD546" s="106" t="n">
        <v>0</v>
      </c>
      <c r="AE546" s="106" t="n">
        <v>0</v>
      </c>
      <c r="AF546" s="106" t="n"/>
      <c r="AG546" s="106" t="n">
        <v>0</v>
      </c>
      <c r="AH546" s="106" t="n">
        <v>0</v>
      </c>
      <c r="AI546" s="106" t="n">
        <v>0</v>
      </c>
      <c r="AJ546" s="106" t="n">
        <v>0</v>
      </c>
      <c r="AK546" s="106" t="n">
        <v>0</v>
      </c>
      <c r="AL546" s="106" t="n">
        <v>0</v>
      </c>
      <c r="AM546" s="106" t="n">
        <v>418421.558310912</v>
      </c>
      <c r="AN546" s="114" t="n">
        <v>41842.1558310912</v>
      </c>
      <c r="AO546" s="115" t="n">
        <v>79692.5699958963</v>
      </c>
      <c r="AP546" s="112" t="n">
        <f aca="false" ca="false" dt2D="false" dtr="false" t="normal">+N546-'Приложение №2'!E546</f>
        <v>0</v>
      </c>
      <c r="AQ546" s="1" t="n">
        <f aca="false" ca="false" dt2D="false" dtr="false" t="normal">2850620.51-710785.04</f>
        <v>2139835.4699999997</v>
      </c>
      <c r="AR546" s="3" t="n">
        <f aca="false" ca="false" dt2D="false" dtr="false" t="normal">+(K546*10.5+L546*21)*12*0.85</f>
        <v>529406.01</v>
      </c>
      <c r="AS546" s="3" t="n">
        <f aca="false" ca="false" dt2D="false" dtr="false" t="normal">+(K546*10.5+L546*21)*12*30-979982.96</f>
        <v>17704935.040000003</v>
      </c>
      <c r="AT546" s="9" t="n">
        <f aca="false" ca="false" dt2D="false" dtr="false" t="normal">+S546-AS546</f>
        <v>-15608305.740000002</v>
      </c>
      <c r="AU546" s="9" t="e">
        <f aca="false" ca="false" dt2D="false" dtr="false" t="normal">+P546-'[5]Приложение №1'!$P501</f>
        <v>#REF!</v>
      </c>
      <c r="AV546" s="9" t="e">
        <f aca="false" ca="false" dt2D="false" dtr="false" t="normal">+Q546-'[5]Приложение №1'!$Q501</f>
        <v>#REF!</v>
      </c>
      <c r="AW546" s="186" t="n">
        <f aca="false" ca="true" dt2D="false" dtr="false" t="normal">SUBTOTAL(9, AX546:BL546)</f>
        <v>4870090.724198272</v>
      </c>
      <c r="AX546" s="106" t="n">
        <v>0</v>
      </c>
      <c r="AY546" s="106" t="n">
        <v>0</v>
      </c>
      <c r="AZ546" s="106" t="n">
        <v>4765870.78270043</v>
      </c>
      <c r="BA546" s="106" t="n">
        <v>0</v>
      </c>
      <c r="BB546" s="106" t="n">
        <v>0</v>
      </c>
      <c r="BC546" s="106" t="n"/>
      <c r="BD546" s="106" t="n"/>
      <c r="BE546" s="106" t="n">
        <v>0</v>
      </c>
      <c r="BF546" s="106" t="n">
        <v>0</v>
      </c>
      <c r="BG546" s="106" t="n">
        <v>0</v>
      </c>
      <c r="BH546" s="106" t="n">
        <v>0</v>
      </c>
      <c r="BI546" s="106" t="n">
        <v>0</v>
      </c>
      <c r="BJ546" s="106" t="n"/>
      <c r="BK546" s="114" t="n"/>
      <c r="BL546" s="115" t="n">
        <v>104219.941497843</v>
      </c>
      <c r="BM546" s="186" t="n">
        <f aca="false" ca="true" dt2D="false" dtr="false" t="normal">SUBTOTAL(9, BN546:CB546)</f>
        <v>4870090.724198272</v>
      </c>
      <c r="BN546" s="106" t="n">
        <v>0</v>
      </c>
      <c r="BO546" s="106" t="n">
        <v>0</v>
      </c>
      <c r="BP546" s="106" t="n">
        <v>4765870.78270043</v>
      </c>
      <c r="BQ546" s="106" t="n">
        <v>0</v>
      </c>
      <c r="BR546" s="106" t="n">
        <v>0</v>
      </c>
      <c r="BS546" s="106" t="n"/>
      <c r="BT546" s="106" t="n"/>
      <c r="BU546" s="106" t="n">
        <v>0</v>
      </c>
      <c r="BV546" s="106" t="n">
        <v>0</v>
      </c>
      <c r="BW546" s="106" t="n">
        <v>0</v>
      </c>
      <c r="BX546" s="106" t="n">
        <v>0</v>
      </c>
      <c r="BY546" s="106" t="n">
        <v>0</v>
      </c>
      <c r="BZ546" s="106" t="n"/>
      <c r="CA546" s="114" t="n"/>
      <c r="CB546" s="115" t="n">
        <v>104219.941497843</v>
      </c>
      <c r="CD546" s="116" t="n">
        <f aca="false" ca="false" dt2D="false" dtr="false" t="normal">+CD545+1</f>
        <v>524</v>
      </c>
      <c r="CE546" s="117" t="n">
        <f aca="false" ca="false" dt2D="false" dtr="false" t="normal">+CE545+1</f>
        <v>65</v>
      </c>
      <c r="CF546" s="104" t="s">
        <v>78</v>
      </c>
      <c r="CG546" s="117" t="s">
        <v>569</v>
      </c>
      <c r="CH546" s="108" t="n">
        <f aca="false" ca="true" dt2D="false" dtr="false" t="normal">SUBTOTAL(9, CI546:CW546)</f>
        <v>4765870.78</v>
      </c>
      <c r="CI546" s="106" t="n">
        <v>0</v>
      </c>
      <c r="CJ546" s="114" t="n">
        <v>0</v>
      </c>
      <c r="CK546" s="114" t="n">
        <v>4765870.78</v>
      </c>
      <c r="CL546" s="114" t="n">
        <v>0</v>
      </c>
      <c r="CM546" s="114" t="n">
        <v>0</v>
      </c>
      <c r="CN546" s="114" t="n"/>
      <c r="CO546" s="106" t="n"/>
      <c r="CP546" s="114" t="n">
        <v>0</v>
      </c>
      <c r="CQ546" s="114" t="n">
        <v>0</v>
      </c>
      <c r="CR546" s="114" t="n">
        <v>0</v>
      </c>
      <c r="CS546" s="114" t="n">
        <v>0</v>
      </c>
      <c r="CT546" s="114" t="n">
        <v>0</v>
      </c>
      <c r="CU546" s="114" t="n"/>
      <c r="CV546" s="114" t="n"/>
      <c r="CW546" s="115" t="n"/>
      <c r="CX546" s="3" t="n">
        <f aca="false" ca="false" dt2D="false" dtr="false" t="normal">+N546-CH546</f>
        <v>0</v>
      </c>
      <c r="CZ546" s="117" t="s">
        <v>569</v>
      </c>
      <c r="DA546" s="113" t="n">
        <f aca="false" ca="true" dt2D="false" dtr="false" t="normal">SUBTOTAL(9, DB546:DP546)</f>
        <v>4765870.78</v>
      </c>
      <c r="DB546" s="106" t="n">
        <v>0</v>
      </c>
      <c r="DC546" s="114" t="n">
        <v>0</v>
      </c>
      <c r="DD546" s="114" t="n">
        <v>4765870.78</v>
      </c>
      <c r="DE546" s="114" t="n">
        <v>0</v>
      </c>
      <c r="DF546" s="114" t="n">
        <v>0</v>
      </c>
      <c r="DG546" s="114" t="n"/>
      <c r="DH546" s="106" t="n"/>
      <c r="DI546" s="114" t="n">
        <v>0</v>
      </c>
      <c r="DJ546" s="114" t="n">
        <v>0</v>
      </c>
      <c r="DK546" s="114" t="n">
        <v>0</v>
      </c>
      <c r="DL546" s="114" t="n">
        <v>0</v>
      </c>
      <c r="DM546" s="114" t="n">
        <v>0</v>
      </c>
      <c r="DN546" s="114" t="n"/>
      <c r="DO546" s="114" t="n"/>
      <c r="DP546" s="240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</row>
    <row customFormat="true" hidden="false" ht="15" outlineLevel="0" r="547" s="1">
      <c r="A547" s="183" t="n">
        <f aca="false" ca="false" dt2D="false" dtr="false" t="normal">+A546+1</f>
        <v>525</v>
      </c>
      <c r="B547" s="117" t="n">
        <f aca="false" ca="false" dt2D="false" dtr="false" t="normal">+B546+1</f>
        <v>66</v>
      </c>
      <c r="C547" s="104" t="s">
        <v>78</v>
      </c>
      <c r="D547" s="104" t="s">
        <v>570</v>
      </c>
      <c r="E547" s="105" t="n">
        <v>1986</v>
      </c>
      <c r="F547" s="105" t="n">
        <v>2016</v>
      </c>
      <c r="G547" s="105" t="s">
        <v>68</v>
      </c>
      <c r="H547" s="105" t="n">
        <v>5</v>
      </c>
      <c r="I547" s="105" t="n">
        <v>3</v>
      </c>
      <c r="J547" s="106" t="n">
        <v>4418.7</v>
      </c>
      <c r="K547" s="106" t="n">
        <v>3551.6</v>
      </c>
      <c r="L547" s="106" t="n">
        <v>167.4</v>
      </c>
      <c r="M547" s="107" t="n">
        <v>164</v>
      </c>
      <c r="N547" s="108" t="n">
        <f aca="false" ca="false" dt2D="false" dtr="false" t="normal">SUM(P547:T547)</f>
        <v>7475531.77</v>
      </c>
      <c r="O547" s="106" t="n"/>
      <c r="P547" s="114" t="n"/>
      <c r="Q547" s="114" t="n"/>
      <c r="R547" s="113" t="n">
        <v>2552454.02</v>
      </c>
      <c r="S547" s="113" t="n">
        <v>4923077.75</v>
      </c>
      <c r="T547" s="114" t="n"/>
      <c r="U547" s="114" t="n">
        <v>2150.86341622238</v>
      </c>
      <c r="V547" s="114" t="n">
        <v>1217.283020064</v>
      </c>
      <c r="W547" s="110" t="n">
        <v>2024</v>
      </c>
      <c r="X547" s="9" t="e">
        <f aca="false" ca="false" dt2D="false" dtr="false" t="normal">+#REF!-'[9]Приложение №1'!$P580</f>
        <v>#REF!</v>
      </c>
      <c r="Z547" s="113" t="n">
        <f aca="false" ca="false" dt2D="false" dtr="false" t="normal">SUM(AA547:AO547)</f>
        <v>6409594.905999996</v>
      </c>
      <c r="AA547" s="106" t="n">
        <v>0</v>
      </c>
      <c r="AB547" s="106" t="n">
        <v>0</v>
      </c>
      <c r="AC547" s="106" t="n">
        <v>0</v>
      </c>
      <c r="AD547" s="106" t="n">
        <v>0</v>
      </c>
      <c r="AE547" s="106" t="n">
        <v>0</v>
      </c>
      <c r="AF547" s="106" t="n"/>
      <c r="AG547" s="106" t="n">
        <v>0</v>
      </c>
      <c r="AH547" s="106" t="n">
        <v>0</v>
      </c>
      <c r="AI547" s="106" t="n">
        <v>0</v>
      </c>
      <c r="AJ547" s="106" t="n">
        <v>5582462.32176032</v>
      </c>
      <c r="AK547" s="106" t="n">
        <v>0</v>
      </c>
      <c r="AL547" s="106" t="n">
        <v>0</v>
      </c>
      <c r="AM547" s="106" t="n">
        <v>640959.4906</v>
      </c>
      <c r="AN547" s="114" t="n">
        <v>64095.94906</v>
      </c>
      <c r="AO547" s="115" t="n">
        <v>122077.144579676</v>
      </c>
      <c r="AP547" s="112" t="n">
        <f aca="false" ca="false" dt2D="false" dtr="false" t="normal">+N547-'Приложение №2'!E547</f>
        <v>0</v>
      </c>
      <c r="AQ547" s="1" t="n">
        <v>2136220.58</v>
      </c>
      <c r="AR547" s="3" t="n">
        <f aca="false" ca="false" dt2D="false" dtr="false" t="normal">+(K547*10.5+L547*21)*12*0.85</f>
        <v>416233.43999999994</v>
      </c>
      <c r="AS547" s="3" t="n">
        <f aca="false" ca="false" dt2D="false" dtr="false" t="normal">+(K547*10.5+L547*21)*12*30</f>
        <v>14690591.999999998</v>
      </c>
      <c r="AT547" s="9" t="n">
        <f aca="false" ca="false" dt2D="false" dtr="false" t="normal">+S547-AS547</f>
        <v>-9767514.249999998</v>
      </c>
      <c r="AU547" s="9" t="e">
        <f aca="false" ca="false" dt2D="false" dtr="false" t="normal">+P547-'[5]Приложение №1'!$P502</f>
        <v>#REF!</v>
      </c>
      <c r="AV547" s="9" t="e">
        <f aca="false" ca="false" dt2D="false" dtr="false" t="normal">+Q547-'[5]Приложение №1'!$Q502</f>
        <v>#REF!</v>
      </c>
      <c r="AW547" s="186" t="n">
        <f aca="false" ca="true" dt2D="false" dtr="false" t="normal">SUBTOTAL(9, AX547:BL547)</f>
        <v>7639006.509055396</v>
      </c>
      <c r="AX547" s="106" t="n">
        <v>0</v>
      </c>
      <c r="AY547" s="106" t="n">
        <v>0</v>
      </c>
      <c r="AZ547" s="106" t="n">
        <v>0</v>
      </c>
      <c r="BA547" s="106" t="n">
        <v>0</v>
      </c>
      <c r="BB547" s="106" t="n">
        <v>0</v>
      </c>
      <c r="BC547" s="106" t="n"/>
      <c r="BD547" s="106" t="n"/>
      <c r="BE547" s="106" t="n">
        <v>0</v>
      </c>
      <c r="BF547" s="106" t="n">
        <v>0</v>
      </c>
      <c r="BG547" s="106" t="n">
        <v>7475531.76976161</v>
      </c>
      <c r="BH547" s="106" t="n">
        <v>0</v>
      </c>
      <c r="BI547" s="106" t="n">
        <v>0</v>
      </c>
      <c r="BJ547" s="106" t="n"/>
      <c r="BK547" s="114" t="n"/>
      <c r="BL547" s="115" t="n">
        <v>163474.739293786</v>
      </c>
      <c r="BM547" s="186" t="n">
        <f aca="false" ca="true" dt2D="false" dtr="false" t="normal">SUBTOTAL(9, BN547:CB547)</f>
        <v>7639006.509055396</v>
      </c>
      <c r="BN547" s="106" t="n">
        <v>0</v>
      </c>
      <c r="BO547" s="106" t="n">
        <v>0</v>
      </c>
      <c r="BP547" s="106" t="n">
        <v>0</v>
      </c>
      <c r="BQ547" s="106" t="n">
        <v>0</v>
      </c>
      <c r="BR547" s="106" t="n">
        <v>0</v>
      </c>
      <c r="BS547" s="106" t="n"/>
      <c r="BT547" s="106" t="n"/>
      <c r="BU547" s="106" t="n">
        <v>0</v>
      </c>
      <c r="BV547" s="106" t="n">
        <v>0</v>
      </c>
      <c r="BW547" s="106" t="n">
        <v>7475531.76976161</v>
      </c>
      <c r="BX547" s="106" t="n">
        <v>0</v>
      </c>
      <c r="BY547" s="106" t="n">
        <v>0</v>
      </c>
      <c r="BZ547" s="106" t="n"/>
      <c r="CA547" s="114" t="n"/>
      <c r="CB547" s="115" t="n">
        <v>163474.739293786</v>
      </c>
      <c r="CD547" s="116" t="n">
        <f aca="false" ca="false" dt2D="false" dtr="false" t="normal">+CD546+1</f>
        <v>525</v>
      </c>
      <c r="CE547" s="117" t="n">
        <f aca="false" ca="false" dt2D="false" dtr="false" t="normal">+CE546+1</f>
        <v>66</v>
      </c>
      <c r="CF547" s="104" t="s">
        <v>78</v>
      </c>
      <c r="CG547" s="117" t="s">
        <v>570</v>
      </c>
      <c r="CH547" s="108" t="n">
        <f aca="false" ca="true" dt2D="false" dtr="false" t="normal">SUBTOTAL(9, CI547:CW547)</f>
        <v>7639006.51</v>
      </c>
      <c r="CI547" s="106" t="n">
        <v>0</v>
      </c>
      <c r="CJ547" s="114" t="n">
        <v>0</v>
      </c>
      <c r="CK547" s="114" t="n">
        <v>0</v>
      </c>
      <c r="CL547" s="114" t="n">
        <v>0</v>
      </c>
      <c r="CM547" s="114" t="n">
        <v>0</v>
      </c>
      <c r="CN547" s="114" t="n"/>
      <c r="CO547" s="106" t="n"/>
      <c r="CP547" s="114" t="n">
        <v>0</v>
      </c>
      <c r="CQ547" s="114" t="n">
        <v>0</v>
      </c>
      <c r="CR547" s="114" t="n">
        <v>7475531.77</v>
      </c>
      <c r="CS547" s="114" t="n">
        <v>0</v>
      </c>
      <c r="CT547" s="114" t="n">
        <v>0</v>
      </c>
      <c r="CU547" s="114" t="n"/>
      <c r="CV547" s="114" t="n"/>
      <c r="CW547" s="115" t="n">
        <v>163474.74</v>
      </c>
      <c r="CX547" s="3" t="n">
        <f aca="false" ca="false" dt2D="false" dtr="false" t="normal">+N547-CH547</f>
        <v>-163474.74000000022</v>
      </c>
      <c r="CZ547" s="117" t="s">
        <v>570</v>
      </c>
      <c r="DA547" s="113" t="n">
        <f aca="false" ca="true" dt2D="false" dtr="false" t="normal">SUBTOTAL(9, DB547:DP547)</f>
        <v>7475531.77</v>
      </c>
      <c r="DB547" s="106" t="n">
        <v>0</v>
      </c>
      <c r="DC547" s="114" t="n">
        <v>0</v>
      </c>
      <c r="DD547" s="114" t="n">
        <v>0</v>
      </c>
      <c r="DE547" s="114" t="n">
        <v>0</v>
      </c>
      <c r="DF547" s="114" t="n">
        <v>0</v>
      </c>
      <c r="DG547" s="114" t="n"/>
      <c r="DH547" s="106" t="n"/>
      <c r="DI547" s="114" t="n">
        <v>0</v>
      </c>
      <c r="DJ547" s="114" t="n">
        <v>0</v>
      </c>
      <c r="DK547" s="114" t="n">
        <v>7475531.77</v>
      </c>
      <c r="DL547" s="114" t="n">
        <v>0</v>
      </c>
      <c r="DM547" s="114" t="n">
        <v>0</v>
      </c>
      <c r="DN547" s="114" t="n"/>
      <c r="DO547" s="114" t="n"/>
      <c r="DP547" s="240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</row>
    <row customFormat="true" hidden="false" ht="15" outlineLevel="0" r="548" s="1">
      <c r="A548" s="183" t="n">
        <f aca="false" ca="false" dt2D="false" dtr="false" t="normal">+A547+1</f>
        <v>526</v>
      </c>
      <c r="B548" s="117" t="n">
        <f aca="false" ca="false" dt2D="false" dtr="false" t="normal">+B547+1</f>
        <v>67</v>
      </c>
      <c r="C548" s="104" t="s">
        <v>78</v>
      </c>
      <c r="D548" s="104" t="s">
        <v>571</v>
      </c>
      <c r="E548" s="105" t="n">
        <v>1985</v>
      </c>
      <c r="F548" s="105" t="n">
        <v>2015</v>
      </c>
      <c r="G548" s="105" t="s">
        <v>68</v>
      </c>
      <c r="H548" s="105" t="n">
        <v>5</v>
      </c>
      <c r="I548" s="105" t="n">
        <v>3</v>
      </c>
      <c r="J548" s="106" t="n">
        <v>6741.3</v>
      </c>
      <c r="K548" s="106" t="n">
        <v>3901.9</v>
      </c>
      <c r="L548" s="106" t="n">
        <v>698.1</v>
      </c>
      <c r="M548" s="107" t="n">
        <v>305</v>
      </c>
      <c r="N548" s="108" t="n">
        <f aca="false" ca="false" dt2D="false" dtr="false" t="normal">SUM(P548:T548)</f>
        <v>9246422.73</v>
      </c>
      <c r="O548" s="106" t="n"/>
      <c r="P548" s="114" t="n"/>
      <c r="Q548" s="114" t="n"/>
      <c r="R548" s="113" t="n">
        <v>2678224.97</v>
      </c>
      <c r="S548" s="113" t="n">
        <v>6568197.76</v>
      </c>
      <c r="T548" s="114" t="n"/>
      <c r="U548" s="114" t="n">
        <v>2421.54418876474</v>
      </c>
      <c r="V548" s="114" t="n">
        <v>1218.283020064</v>
      </c>
      <c r="W548" s="110" t="n">
        <v>2024</v>
      </c>
      <c r="X548" s="9" t="e">
        <f aca="false" ca="false" dt2D="false" dtr="false" t="normal">+#REF!-'[9]Приложение №1'!$P583</f>
        <v>#REF!</v>
      </c>
      <c r="Z548" s="113" t="n">
        <f aca="false" ca="false" dt2D="false" dtr="false" t="normal">SUM(AA548:AO548)</f>
        <v>8492822.832000002</v>
      </c>
      <c r="AA548" s="106" t="n">
        <v>0</v>
      </c>
      <c r="AB548" s="106" t="n">
        <v>0</v>
      </c>
      <c r="AC548" s="106" t="n">
        <v>0</v>
      </c>
      <c r="AD548" s="106" t="n">
        <v>0</v>
      </c>
      <c r="AE548" s="106" t="n">
        <v>0</v>
      </c>
      <c r="AF548" s="106" t="n"/>
      <c r="AG548" s="106" t="n">
        <v>0</v>
      </c>
      <c r="AH548" s="106" t="n">
        <v>0</v>
      </c>
      <c r="AI548" s="106" t="n">
        <v>0</v>
      </c>
      <c r="AJ548" s="106" t="n">
        <v>7396858.01682173</v>
      </c>
      <c r="AK548" s="106" t="n">
        <v>0</v>
      </c>
      <c r="AL548" s="106" t="n">
        <v>0</v>
      </c>
      <c r="AM548" s="106" t="n">
        <v>849282.2832</v>
      </c>
      <c r="AN548" s="114" t="n">
        <v>84928.22832</v>
      </c>
      <c r="AO548" s="115" t="n">
        <v>161754.303658272</v>
      </c>
      <c r="AP548" s="112" t="n">
        <f aca="false" ca="false" dt2D="false" dtr="false" t="normal">+N548-'Приложение №2'!E548</f>
        <v>0</v>
      </c>
      <c r="AQ548" s="1" t="n">
        <f aca="false" ca="false" dt2D="false" dtr="false" t="normal">2863169.63-752371.17</f>
        <v>2110798.46</v>
      </c>
      <c r="AR548" s="3" t="n">
        <f aca="false" ca="false" dt2D="false" dtr="false" t="normal">+(K548*10.5+L548*21)*12*0.85</f>
        <v>567426.51</v>
      </c>
      <c r="AS548" s="3" t="n">
        <f aca="false" ca="false" dt2D="false" dtr="false" t="normal">+(K548*10.5+L548*21)*12*30-895524.57</f>
        <v>19131293.430000003</v>
      </c>
      <c r="AT548" s="9" t="n">
        <f aca="false" ca="false" dt2D="false" dtr="false" t="normal">+S548-AS548</f>
        <v>-12563095.670000004</v>
      </c>
      <c r="AU548" s="9" t="e">
        <f aca="false" ca="false" dt2D="false" dtr="false" t="normal">+P548-'[5]Приложение №1'!$P503</f>
        <v>#REF!</v>
      </c>
      <c r="AV548" s="9" t="e">
        <f aca="false" ca="false" dt2D="false" dtr="false" t="normal">+Q548-'[5]Приложение №1'!$Q503</f>
        <v>#REF!</v>
      </c>
      <c r="AW548" s="186" t="n">
        <f aca="false" ca="true" dt2D="false" dtr="false" t="normal">SUBTOTAL(9, AX548:BL548)</f>
        <v>9448623.270141121</v>
      </c>
      <c r="AX548" s="106" t="n">
        <v>0</v>
      </c>
      <c r="AY548" s="106" t="n">
        <v>0</v>
      </c>
      <c r="AZ548" s="106" t="n">
        <v>0</v>
      </c>
      <c r="BA548" s="106" t="n">
        <v>0</v>
      </c>
      <c r="BB548" s="106" t="n">
        <v>0</v>
      </c>
      <c r="BC548" s="106" t="n"/>
      <c r="BD548" s="106" t="n"/>
      <c r="BE548" s="106" t="n">
        <v>0</v>
      </c>
      <c r="BF548" s="106" t="n">
        <v>0</v>
      </c>
      <c r="BG548" s="106" t="n">
        <v>9246422.7321601</v>
      </c>
      <c r="BH548" s="106" t="n">
        <v>0</v>
      </c>
      <c r="BI548" s="106" t="n">
        <v>0</v>
      </c>
      <c r="BJ548" s="106" t="n"/>
      <c r="BK548" s="114" t="n"/>
      <c r="BL548" s="115" t="n">
        <v>202200.53798102</v>
      </c>
      <c r="BM548" s="186" t="n">
        <f aca="false" ca="true" dt2D="false" dtr="false" t="normal">SUBTOTAL(9, BN548:CB548)</f>
        <v>9448623.270141121</v>
      </c>
      <c r="BN548" s="106" t="n">
        <v>0</v>
      </c>
      <c r="BO548" s="106" t="n">
        <v>0</v>
      </c>
      <c r="BP548" s="106" t="n">
        <v>0</v>
      </c>
      <c r="BQ548" s="106" t="n">
        <v>0</v>
      </c>
      <c r="BR548" s="106" t="n">
        <v>0</v>
      </c>
      <c r="BS548" s="106" t="n"/>
      <c r="BT548" s="106" t="n"/>
      <c r="BU548" s="106" t="n">
        <v>0</v>
      </c>
      <c r="BV548" s="106" t="n">
        <v>0</v>
      </c>
      <c r="BW548" s="106" t="n">
        <v>9246422.7321601</v>
      </c>
      <c r="BX548" s="106" t="n">
        <v>0</v>
      </c>
      <c r="BY548" s="106" t="n">
        <v>0</v>
      </c>
      <c r="BZ548" s="106" t="n"/>
      <c r="CA548" s="114" t="n"/>
      <c r="CB548" s="115" t="n">
        <v>202200.53798102</v>
      </c>
      <c r="CD548" s="116" t="n">
        <f aca="false" ca="false" dt2D="false" dtr="false" t="normal">+CD547+1</f>
        <v>526</v>
      </c>
      <c r="CE548" s="117" t="n">
        <f aca="false" ca="false" dt2D="false" dtr="false" t="normal">+CE547+1</f>
        <v>67</v>
      </c>
      <c r="CF548" s="104" t="s">
        <v>78</v>
      </c>
      <c r="CG548" s="117" t="s">
        <v>571</v>
      </c>
      <c r="CH548" s="108" t="n">
        <f aca="false" ca="true" dt2D="false" dtr="false" t="normal">SUBTOTAL(9, CI548:CW548)</f>
        <v>9448623.27</v>
      </c>
      <c r="CI548" s="106" t="n">
        <v>0</v>
      </c>
      <c r="CJ548" s="114" t="n">
        <v>0</v>
      </c>
      <c r="CK548" s="114" t="n">
        <v>0</v>
      </c>
      <c r="CL548" s="114" t="n">
        <v>0</v>
      </c>
      <c r="CM548" s="114" t="n">
        <v>0</v>
      </c>
      <c r="CN548" s="114" t="n"/>
      <c r="CO548" s="106" t="n"/>
      <c r="CP548" s="114" t="n">
        <v>0</v>
      </c>
      <c r="CQ548" s="114" t="n">
        <v>0</v>
      </c>
      <c r="CR548" s="114" t="n">
        <v>9246422.73</v>
      </c>
      <c r="CS548" s="114" t="n">
        <v>0</v>
      </c>
      <c r="CT548" s="114" t="n">
        <v>0</v>
      </c>
      <c r="CU548" s="114" t="n"/>
      <c r="CV548" s="114" t="n"/>
      <c r="CW548" s="115" t="n">
        <v>202200.54</v>
      </c>
      <c r="CX548" s="3" t="n">
        <f aca="false" ca="false" dt2D="false" dtr="false" t="normal">+N548-CH548</f>
        <v>-202200.5399999991</v>
      </c>
      <c r="CZ548" s="117" t="s">
        <v>571</v>
      </c>
      <c r="DA548" s="113" t="n">
        <f aca="false" ca="true" dt2D="false" dtr="false" t="normal">SUBTOTAL(9, DB548:DP548)</f>
        <v>9246422.73</v>
      </c>
      <c r="DB548" s="106" t="n">
        <v>0</v>
      </c>
      <c r="DC548" s="114" t="n">
        <v>0</v>
      </c>
      <c r="DD548" s="114" t="n">
        <v>0</v>
      </c>
      <c r="DE548" s="114" t="n">
        <v>0</v>
      </c>
      <c r="DF548" s="114" t="n">
        <v>0</v>
      </c>
      <c r="DG548" s="114" t="n"/>
      <c r="DH548" s="106" t="n"/>
      <c r="DI548" s="114" t="n">
        <v>0</v>
      </c>
      <c r="DJ548" s="114" t="n">
        <v>0</v>
      </c>
      <c r="DK548" s="114" t="n">
        <v>9246422.73</v>
      </c>
      <c r="DL548" s="114" t="n">
        <v>0</v>
      </c>
      <c r="DM548" s="114" t="n">
        <v>0</v>
      </c>
      <c r="DN548" s="114" t="n"/>
      <c r="DO548" s="114" t="n"/>
      <c r="DP548" s="240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</row>
    <row customFormat="true" hidden="false" ht="15" outlineLevel="0" r="549" s="1">
      <c r="A549" s="183" t="n">
        <f aca="false" ca="false" dt2D="false" dtr="false" t="normal">+A548+1</f>
        <v>527</v>
      </c>
      <c r="B549" s="117" t="n">
        <f aca="false" ca="false" dt2D="false" dtr="false" t="normal">+B548+1</f>
        <v>68</v>
      </c>
      <c r="C549" s="104" t="s">
        <v>78</v>
      </c>
      <c r="D549" s="104" t="s">
        <v>572</v>
      </c>
      <c r="E549" s="105" t="n">
        <v>1995</v>
      </c>
      <c r="F549" s="105" t="n">
        <v>2002</v>
      </c>
      <c r="G549" s="105" t="s">
        <v>68</v>
      </c>
      <c r="H549" s="105" t="n">
        <v>10</v>
      </c>
      <c r="I549" s="105" t="n">
        <v>1</v>
      </c>
      <c r="J549" s="106" t="n">
        <v>3274.9</v>
      </c>
      <c r="K549" s="106" t="n">
        <v>3274.9</v>
      </c>
      <c r="L549" s="106" t="n">
        <v>0</v>
      </c>
      <c r="M549" s="107" t="n">
        <v>107</v>
      </c>
      <c r="N549" s="108" t="n">
        <f aca="false" ca="false" dt2D="false" dtr="false" t="normal">SUM(P549:T549)</f>
        <v>8435024.63</v>
      </c>
      <c r="O549" s="106" t="n"/>
      <c r="P549" s="114" t="n"/>
      <c r="Q549" s="114" t="n"/>
      <c r="R549" s="113" t="n">
        <v>1883122.06</v>
      </c>
      <c r="S549" s="113" t="n">
        <v>6551902.57</v>
      </c>
      <c r="T549" s="114" t="n"/>
      <c r="U549" s="106" t="n">
        <v>2458.6706249324</v>
      </c>
      <c r="V549" s="106" t="n">
        <v>2458.6706249324</v>
      </c>
      <c r="W549" s="110" t="n">
        <v>2024</v>
      </c>
      <c r="X549" s="9" t="e">
        <f aca="false" ca="false" dt2D="false" dtr="false" t="normal">+#REF!-'[9]Приложение №1'!$P1348</f>
        <v>#REF!</v>
      </c>
      <c r="Z549" s="113" t="n">
        <f aca="false" ca="false" dt2D="false" dtr="false" t="normal">SUM(AA549:AO549)</f>
        <v>13763058.555082267</v>
      </c>
      <c r="AA549" s="106" t="n">
        <v>6414391.20799757</v>
      </c>
      <c r="AB549" s="106" t="n">
        <v>0</v>
      </c>
      <c r="AC549" s="106" t="n">
        <v>0</v>
      </c>
      <c r="AD549" s="106" t="n">
        <v>1211320.4642977</v>
      </c>
      <c r="AE549" s="106" t="n">
        <v>0</v>
      </c>
      <c r="AF549" s="106" t="n"/>
      <c r="AG549" s="106" t="n">
        <v>0</v>
      </c>
      <c r="AH549" s="106" t="n">
        <v>0</v>
      </c>
      <c r="AI549" s="106" t="n">
        <v>0</v>
      </c>
      <c r="AJ549" s="106" t="n">
        <v>4459999.49439921</v>
      </c>
      <c r="AK549" s="106" t="n">
        <v>0</v>
      </c>
      <c r="AL549" s="106" t="n">
        <v>0</v>
      </c>
      <c r="AM549" s="106" t="n">
        <v>1275426.77732372</v>
      </c>
      <c r="AN549" s="114" t="n">
        <v>137630.585550823</v>
      </c>
      <c r="AO549" s="115" t="n">
        <v>264290.025513245</v>
      </c>
      <c r="AP549" s="112" t="n">
        <f aca="false" ca="false" dt2D="false" dtr="false" t="normal">+N549-'Приложение №2'!E549</f>
        <v>0</v>
      </c>
      <c r="AQ549" s="1" t="n">
        <f aca="false" ca="false" dt2D="false" dtr="false" t="normal">2154157.37-126729.3148-588244.8956</f>
        <v>1439183.1596</v>
      </c>
      <c r="AR549" s="3" t="n">
        <f aca="false" ca="false" dt2D="false" dtr="false" t="normal">+(K549*13.29+L549*22.52)*12*0.85</f>
        <v>443938.8941999999</v>
      </c>
      <c r="AS549" s="3" t="n">
        <f aca="false" ca="false" dt2D="false" dtr="false" t="normal">+(K549*13.29+L549*22.52)*12*30-1139379.7452-2540032.37</f>
        <v>11989019.444799997</v>
      </c>
      <c r="AT549" s="9" t="n">
        <f aca="false" ca="false" dt2D="false" dtr="false" t="normal">+S549-AS549</f>
        <v>-5437116.874799997</v>
      </c>
      <c r="AU549" s="9" t="e">
        <f aca="false" ca="false" dt2D="false" dtr="false" t="normal">+P549-'[5]Приложение №1'!$P254</f>
        <v>#REF!</v>
      </c>
      <c r="AV549" s="9" t="e">
        <f aca="false" ca="false" dt2D="false" dtr="false" t="normal">+Q549-'[5]Приложение №1'!$Q254</f>
        <v>#REF!</v>
      </c>
      <c r="AW549" s="113" t="n">
        <f aca="false" ca="true" dt2D="false" dtr="false" t="normal">SUBTOTAL(9, AX549:BL549)</f>
        <v>8051900.429591123</v>
      </c>
      <c r="AX549" s="106" t="n">
        <v>6588114.69702158</v>
      </c>
      <c r="AY549" s="106" t="n">
        <v>0</v>
      </c>
      <c r="AZ549" s="106" t="n">
        <v>0</v>
      </c>
      <c r="BA549" s="106" t="n">
        <v>1196031.07419615</v>
      </c>
      <c r="BB549" s="106" t="n">
        <v>0</v>
      </c>
      <c r="BC549" s="106" t="n"/>
      <c r="BD549" s="106" t="n"/>
      <c r="BE549" s="106" t="n">
        <v>0</v>
      </c>
      <c r="BF549" s="106" t="n">
        <v>0</v>
      </c>
      <c r="BG549" s="106" t="n"/>
      <c r="BH549" s="106" t="n">
        <v>0</v>
      </c>
      <c r="BI549" s="106" t="n">
        <v>0</v>
      </c>
      <c r="BJ549" s="106" t="n"/>
      <c r="BK549" s="114" t="n"/>
      <c r="BL549" s="115" t="n">
        <v>267754.658373393</v>
      </c>
      <c r="BM549" s="113" t="n">
        <f aca="false" ca="true" dt2D="false" dtr="false" t="normal">SUBTOTAL(9, BN549:CB549)</f>
        <v>8051900.429591123</v>
      </c>
      <c r="BN549" s="106" t="n">
        <v>6588114.69702158</v>
      </c>
      <c r="BO549" s="106" t="n">
        <v>0</v>
      </c>
      <c r="BP549" s="106" t="n">
        <v>0</v>
      </c>
      <c r="BQ549" s="106" t="n">
        <v>1196031.07419615</v>
      </c>
      <c r="BR549" s="106" t="n">
        <v>0</v>
      </c>
      <c r="BS549" s="106" t="n"/>
      <c r="BT549" s="106" t="n"/>
      <c r="BU549" s="106" t="n">
        <v>0</v>
      </c>
      <c r="BV549" s="106" t="n">
        <v>0</v>
      </c>
      <c r="BW549" s="106" t="n"/>
      <c r="BX549" s="106" t="n">
        <v>0</v>
      </c>
      <c r="BY549" s="106" t="n">
        <v>0</v>
      </c>
      <c r="BZ549" s="106" t="n"/>
      <c r="CA549" s="114" t="n"/>
      <c r="CB549" s="115" t="n">
        <v>267754.658373393</v>
      </c>
      <c r="CD549" s="116" t="n">
        <f aca="false" ca="false" dt2D="false" dtr="false" t="normal">+CD548+1</f>
        <v>527</v>
      </c>
      <c r="CE549" s="117" t="n">
        <f aca="false" ca="false" dt2D="false" dtr="false" t="normal">+CE548+1</f>
        <v>68</v>
      </c>
      <c r="CF549" s="104" t="s">
        <v>78</v>
      </c>
      <c r="CG549" s="117" t="s">
        <v>572</v>
      </c>
      <c r="CH549" s="108" t="n">
        <f aca="false" ca="true" dt2D="false" dtr="false" t="normal">SUBTOTAL(9, CI549:CW549)</f>
        <v>8653558.65</v>
      </c>
      <c r="CI549" s="106" t="n">
        <v>6588114.7</v>
      </c>
      <c r="CJ549" s="114" t="n">
        <v>0</v>
      </c>
      <c r="CK549" s="114" t="n">
        <v>0</v>
      </c>
      <c r="CL549" s="114" t="n">
        <v>1797689.29</v>
      </c>
      <c r="CM549" s="114" t="n">
        <v>0</v>
      </c>
      <c r="CN549" s="114" t="n"/>
      <c r="CO549" s="106" t="n"/>
      <c r="CP549" s="114" t="n">
        <v>0</v>
      </c>
      <c r="CQ549" s="114" t="n">
        <v>0</v>
      </c>
      <c r="CR549" s="114" t="n"/>
      <c r="CS549" s="114" t="n">
        <v>0</v>
      </c>
      <c r="CT549" s="114" t="n">
        <v>0</v>
      </c>
      <c r="CU549" s="114" t="n"/>
      <c r="CV549" s="114" t="n"/>
      <c r="CW549" s="115" t="n">
        <v>267754.66</v>
      </c>
      <c r="CX549" s="3" t="n">
        <f aca="false" ca="false" dt2D="false" dtr="false" t="normal">+N549-CH549</f>
        <v>-218534.01999999955</v>
      </c>
      <c r="CZ549" s="117" t="s">
        <v>572</v>
      </c>
      <c r="DA549" s="113" t="n">
        <f aca="false" ca="true" dt2D="false" dtr="false" t="normal">SUBTOTAL(9, DB549:DP549)</f>
        <v>8435024.634</v>
      </c>
      <c r="DB549" s="106" t="n">
        <v>6588114.7</v>
      </c>
      <c r="DC549" s="114" t="n">
        <v>0</v>
      </c>
      <c r="DD549" s="114" t="n">
        <v>0</v>
      </c>
      <c r="DE549" s="114" t="n">
        <v>1797689.29</v>
      </c>
      <c r="DF549" s="114" t="n">
        <v>0</v>
      </c>
      <c r="DG549" s="114" t="n"/>
      <c r="DH549" s="106" t="n"/>
      <c r="DI549" s="114" t="n">
        <v>0</v>
      </c>
      <c r="DJ549" s="114" t="n">
        <v>0</v>
      </c>
      <c r="DK549" s="114" t="n"/>
      <c r="DL549" s="114" t="n">
        <v>0</v>
      </c>
      <c r="DM549" s="114" t="n">
        <v>0</v>
      </c>
      <c r="DN549" s="114" t="n"/>
      <c r="DO549" s="114" t="n"/>
      <c r="DP549" s="115" t="n">
        <f aca="false" ca="false" dt2D="false" dtr="false" t="normal">(32379.62+10420.94)*1.15</f>
        <v>49220.64399999999</v>
      </c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</row>
    <row customFormat="true" hidden="false" ht="15" outlineLevel="0" r="550" s="1">
      <c r="A550" s="183" t="n">
        <f aca="false" ca="false" dt2D="false" dtr="false" t="normal">+A549+1</f>
        <v>528</v>
      </c>
      <c r="B550" s="117" t="n">
        <f aca="false" ca="false" dt2D="false" dtr="false" t="normal">+B549+1</f>
        <v>69</v>
      </c>
      <c r="C550" s="104" t="s">
        <v>78</v>
      </c>
      <c r="D550" s="104" t="s">
        <v>106</v>
      </c>
      <c r="E550" s="105" t="n">
        <v>1983</v>
      </c>
      <c r="F550" s="105" t="n">
        <v>2008</v>
      </c>
      <c r="G550" s="105" t="s">
        <v>68</v>
      </c>
      <c r="H550" s="105" t="n">
        <v>5</v>
      </c>
      <c r="I550" s="105" t="n">
        <v>3</v>
      </c>
      <c r="J550" s="106" t="n">
        <v>5132.1</v>
      </c>
      <c r="K550" s="106" t="n">
        <v>4364.6</v>
      </c>
      <c r="L550" s="106" t="n">
        <v>0</v>
      </c>
      <c r="M550" s="107" t="n">
        <v>197</v>
      </c>
      <c r="N550" s="108" t="n">
        <f aca="false" ca="false" dt2D="false" dtr="false" t="normal">SUM(P550:T550)</f>
        <v>3312551.38</v>
      </c>
      <c r="O550" s="106" t="n"/>
      <c r="P550" s="113" t="n">
        <v>822035.25</v>
      </c>
      <c r="Q550" s="114" t="n"/>
      <c r="R550" s="114" t="n"/>
      <c r="S550" s="113" t="n">
        <v>2490516.13</v>
      </c>
      <c r="T550" s="114" t="n"/>
      <c r="U550" s="114" t="n">
        <v>766.943596844025</v>
      </c>
      <c r="V550" s="114" t="n">
        <v>1222.283020064</v>
      </c>
      <c r="W550" s="110" t="n">
        <v>2024</v>
      </c>
      <c r="X550" s="9" t="e">
        <f aca="false" ca="false" dt2D="false" dtr="false" t="normal">+#REF!-'[9]Приложение №1'!$P1205</f>
        <v>#REF!</v>
      </c>
      <c r="Z550" s="113" t="n">
        <f aca="false" ca="false" dt2D="false" dtr="false" t="normal">SUM(AA550:AO550)</f>
        <v>38187844.38963488</v>
      </c>
      <c r="AA550" s="106" t="n">
        <v>8573356.20182795</v>
      </c>
      <c r="AB550" s="106" t="n">
        <v>3669586.37293781</v>
      </c>
      <c r="AC550" s="106" t="n">
        <v>3275767.61949783</v>
      </c>
      <c r="AD550" s="106" t="n">
        <v>3459882.77126246</v>
      </c>
      <c r="AE550" s="106" t="n">
        <v>0</v>
      </c>
      <c r="AF550" s="106" t="n"/>
      <c r="AG550" s="106" t="n">
        <v>355954.045224765</v>
      </c>
      <c r="AH550" s="106" t="n">
        <v>0</v>
      </c>
      <c r="AI550" s="106" t="n">
        <v>14183322.7702034</v>
      </c>
      <c r="AJ550" s="106" t="n">
        <v>0</v>
      </c>
      <c r="AK550" s="106" t="n">
        <v>0</v>
      </c>
      <c r="AL550" s="106" t="n">
        <v>0</v>
      </c>
      <c r="AM550" s="106" t="n">
        <v>3555128.23783519</v>
      </c>
      <c r="AN550" s="114" t="n">
        <v>381878.443896349</v>
      </c>
      <c r="AO550" s="115" t="n">
        <v>732967.926949131</v>
      </c>
      <c r="AP550" s="112" t="n">
        <f aca="false" ca="false" dt2D="false" dtr="false" t="normal">+N550-'Приложение №2'!E550</f>
        <v>0</v>
      </c>
      <c r="AQ550" s="9" t="n">
        <f aca="false" ca="false" dt2D="false" dtr="false" t="normal">2036649.87-R50</f>
        <v>-445189.1999999997</v>
      </c>
      <c r="AR550" s="3" t="n">
        <f aca="false" ca="false" dt2D="false" dtr="false" t="normal">+(K550*10+L550*20)*12*0.85</f>
        <v>445189.2</v>
      </c>
      <c r="AS550" s="3" t="n">
        <f aca="false" ca="false" dt2D="false" dtr="false" t="normal">+(K550*10+L550*20)*12*30-S50</f>
        <v>7583282.37</v>
      </c>
      <c r="AT550" s="9" t="n">
        <f aca="false" ca="false" dt2D="false" dtr="false" t="normal">+S550-AS550</f>
        <v>-5092766.24</v>
      </c>
      <c r="AU550" s="9" t="e">
        <f aca="false" ca="false" dt2D="false" dtr="false" t="normal">+P550-'[5]Приложение №1'!$P238</f>
        <v>#REF!</v>
      </c>
      <c r="AV550" s="9" t="e">
        <f aca="false" ca="false" dt2D="false" dtr="false" t="normal">+Q550-'[5]Приложение №1'!$Q238</f>
        <v>#REF!</v>
      </c>
      <c r="AW550" s="113" t="n">
        <f aca="false" ca="true" dt2D="false" dtr="false" t="normal">SUBTOTAL(9, AX550:BL550)</f>
        <v>3347402.022785438</v>
      </c>
      <c r="AX550" s="106" t="n"/>
      <c r="AY550" s="106" t="n"/>
      <c r="AZ550" s="106" t="n">
        <v>3275767.61949783</v>
      </c>
      <c r="BA550" s="106" t="n"/>
      <c r="BB550" s="106" t="n"/>
      <c r="BC550" s="106" t="n"/>
      <c r="BD550" s="106" t="n"/>
      <c r="BE550" s="106" t="n"/>
      <c r="BF550" s="106" t="n"/>
      <c r="BG550" s="106" t="n">
        <v>0</v>
      </c>
      <c r="BH550" s="106" t="n">
        <v>0</v>
      </c>
      <c r="BI550" s="106" t="n">
        <v>0</v>
      </c>
      <c r="BJ550" s="106" t="n"/>
      <c r="BK550" s="114" t="n"/>
      <c r="BL550" s="115" t="n">
        <v>71634.4032876083</v>
      </c>
      <c r="BM550" s="113" t="n">
        <f aca="false" ca="true" dt2D="false" dtr="false" t="normal">SUBTOTAL(9, BN550:CB550)</f>
        <v>3347402.022785438</v>
      </c>
      <c r="BN550" s="106" t="n"/>
      <c r="BO550" s="106" t="n"/>
      <c r="BP550" s="106" t="n">
        <v>3275767.61949783</v>
      </c>
      <c r="BQ550" s="106" t="n"/>
      <c r="BR550" s="106" t="n"/>
      <c r="BS550" s="106" t="n"/>
      <c r="BT550" s="106" t="n"/>
      <c r="BU550" s="106" t="n"/>
      <c r="BV550" s="106" t="n"/>
      <c r="BW550" s="106" t="n">
        <v>0</v>
      </c>
      <c r="BX550" s="106" t="n">
        <v>0</v>
      </c>
      <c r="BY550" s="106" t="n">
        <v>0</v>
      </c>
      <c r="BZ550" s="106" t="n"/>
      <c r="CA550" s="114" t="n"/>
      <c r="CB550" s="115" t="n">
        <v>71634.4032876083</v>
      </c>
      <c r="CD550" s="116" t="n">
        <f aca="false" ca="false" dt2D="false" dtr="false" t="normal">+CD549+1</f>
        <v>528</v>
      </c>
      <c r="CE550" s="117" t="n">
        <f aca="false" ca="false" dt2D="false" dtr="false" t="normal">+CE549+1</f>
        <v>69</v>
      </c>
      <c r="CF550" s="104" t="s">
        <v>78</v>
      </c>
      <c r="CG550" s="117" t="s">
        <v>106</v>
      </c>
      <c r="CH550" s="108" t="n">
        <f aca="false" ca="true" dt2D="false" dtr="false" t="normal">SUBTOTAL(9, CI550:CW550)</f>
        <v>3347402.02</v>
      </c>
      <c r="CI550" s="106" t="n"/>
      <c r="CJ550" s="114" t="n"/>
      <c r="CK550" s="114" t="n">
        <v>3275767.62</v>
      </c>
      <c r="CL550" s="114" t="n"/>
      <c r="CM550" s="114" t="n"/>
      <c r="CN550" s="114" t="n"/>
      <c r="CO550" s="106" t="n"/>
      <c r="CP550" s="114" t="n"/>
      <c r="CQ550" s="114" t="n"/>
      <c r="CR550" s="114" t="n">
        <v>0</v>
      </c>
      <c r="CS550" s="114" t="n">
        <v>0</v>
      </c>
      <c r="CT550" s="114" t="n">
        <v>0</v>
      </c>
      <c r="CU550" s="114" t="n"/>
      <c r="CV550" s="114" t="n"/>
      <c r="CW550" s="115" t="n">
        <v>71634.4</v>
      </c>
      <c r="CX550" s="3" t="n">
        <f aca="false" ca="false" dt2D="false" dtr="false" t="normal">+N550-CH550</f>
        <v>-34850.64000000013</v>
      </c>
      <c r="CZ550" s="117" t="s">
        <v>106</v>
      </c>
      <c r="DA550" s="113" t="n">
        <f aca="false" ca="true" dt2D="false" dtr="false" t="normal">SUBTOTAL(9, DB550:DP550)</f>
        <v>3312551.382</v>
      </c>
      <c r="DB550" s="106" t="n"/>
      <c r="DC550" s="114" t="n"/>
      <c r="DD550" s="114" t="n">
        <v>3275767.62</v>
      </c>
      <c r="DE550" s="114" t="n"/>
      <c r="DF550" s="114" t="n"/>
      <c r="DG550" s="114" t="n"/>
      <c r="DH550" s="106" t="n"/>
      <c r="DI550" s="114" t="n"/>
      <c r="DJ550" s="114" t="n"/>
      <c r="DK550" s="114" t="n">
        <v>0</v>
      </c>
      <c r="DL550" s="114" t="n">
        <v>0</v>
      </c>
      <c r="DM550" s="114" t="n">
        <v>0</v>
      </c>
      <c r="DN550" s="114" t="n"/>
      <c r="DO550" s="114" t="n"/>
      <c r="DP550" s="115" t="n">
        <f aca="false" ca="false" dt2D="false" dtr="false" t="normal">31985.88*1.15</f>
        <v>36783.761999999995</v>
      </c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</row>
    <row customFormat="true" hidden="false" ht="15" outlineLevel="0" r="551" s="1">
      <c r="A551" s="183" t="n">
        <f aca="false" ca="false" dt2D="false" dtr="false" t="normal">+A550+1</f>
        <v>529</v>
      </c>
      <c r="B551" s="117" t="n">
        <f aca="false" ca="false" dt2D="false" dtr="false" t="normal">+B550+1</f>
        <v>70</v>
      </c>
      <c r="C551" s="104" t="s">
        <v>81</v>
      </c>
      <c r="D551" s="104" t="s">
        <v>573</v>
      </c>
      <c r="E551" s="105" t="s">
        <v>436</v>
      </c>
      <c r="F551" s="105" t="n"/>
      <c r="G551" s="105" t="s">
        <v>68</v>
      </c>
      <c r="H551" s="105" t="s">
        <v>126</v>
      </c>
      <c r="I551" s="105" t="s">
        <v>187</v>
      </c>
      <c r="J551" s="106" t="n">
        <v>11653.5</v>
      </c>
      <c r="K551" s="106" t="n">
        <v>8349.17</v>
      </c>
      <c r="L551" s="106" t="n">
        <v>926.4</v>
      </c>
      <c r="M551" s="107" t="n">
        <v>357</v>
      </c>
      <c r="N551" s="108" t="n">
        <f aca="false" ca="false" dt2D="false" dtr="false" t="normal">SUM(P551:T551)</f>
        <v>14070316.4</v>
      </c>
      <c r="O551" s="106" t="n"/>
      <c r="P551" s="113" t="n"/>
      <c r="Q551" s="114" t="n"/>
      <c r="R551" s="113" t="n">
        <v>7445493.48</v>
      </c>
      <c r="S551" s="114" t="n">
        <v>0</v>
      </c>
      <c r="T551" s="113" t="n">
        <v>6624822.92</v>
      </c>
      <c r="U551" s="114" t="n">
        <v>1720.58300405909</v>
      </c>
      <c r="V551" s="114" t="n">
        <v>1221.283020064</v>
      </c>
      <c r="W551" s="110" t="n">
        <v>2024</v>
      </c>
      <c r="X551" s="9" t="n"/>
      <c r="Z551" s="113" t="n"/>
      <c r="AA551" s="106" t="n"/>
      <c r="AB551" s="106" t="n"/>
      <c r="AC551" s="106" t="n"/>
      <c r="AD551" s="106" t="n"/>
      <c r="AE551" s="106" t="n"/>
      <c r="AF551" s="106" t="n"/>
      <c r="AG551" s="106" t="n"/>
      <c r="AH551" s="106" t="n"/>
      <c r="AI551" s="106" t="n"/>
      <c r="AJ551" s="106" t="n"/>
      <c r="AK551" s="106" t="n"/>
      <c r="AL551" s="106" t="n"/>
      <c r="AM551" s="106" t="n"/>
      <c r="AN551" s="114" t="n"/>
      <c r="AO551" s="115" t="n"/>
      <c r="AP551" s="112" t="n">
        <f aca="false" ca="false" dt2D="false" dtr="false" t="normal">+N551-'Приложение №2'!E551</f>
        <v>0</v>
      </c>
      <c r="AR551" s="3" t="n"/>
      <c r="AS551" s="3" t="n"/>
      <c r="AT551" s="9" t="n">
        <f aca="false" ca="false" dt2D="false" dtr="false" t="normal">+S551-AS551</f>
        <v>0</v>
      </c>
      <c r="AU551" s="9" t="n"/>
      <c r="AV551" s="9" t="n"/>
      <c r="AW551" s="186" t="n">
        <f aca="false" ca="true" dt2D="false" dtr="false" t="normal">SUBTOTAL(9, AX551:BL551)</f>
        <v>14365440</v>
      </c>
      <c r="AX551" s="106" t="n"/>
      <c r="AY551" s="106" t="n"/>
      <c r="AZ551" s="106" t="n"/>
      <c r="BA551" s="106" t="n"/>
      <c r="BB551" s="106" t="n"/>
      <c r="BC551" s="106" t="n"/>
      <c r="BD551" s="106" t="n"/>
      <c r="BE551" s="106" t="n">
        <v>13495698.80064</v>
      </c>
      <c r="BF551" s="106" t="n"/>
      <c r="BG551" s="106" t="n"/>
      <c r="BH551" s="106" t="n"/>
      <c r="BI551" s="106" t="n"/>
      <c r="BJ551" s="106" t="n">
        <v>430963.2</v>
      </c>
      <c r="BK551" s="114" t="n">
        <v>143654.4</v>
      </c>
      <c r="BL551" s="115" t="n">
        <v>295123.59936</v>
      </c>
      <c r="BM551" s="186" t="n">
        <f aca="false" ca="true" dt2D="false" dtr="false" t="normal">SUBTOTAL(9, BN551:CB551)</f>
        <v>14365440</v>
      </c>
      <c r="BN551" s="106" t="n"/>
      <c r="BO551" s="106" t="n"/>
      <c r="BP551" s="106" t="n"/>
      <c r="BQ551" s="106" t="n"/>
      <c r="BR551" s="106" t="n"/>
      <c r="BS551" s="106" t="n"/>
      <c r="BT551" s="106" t="n"/>
      <c r="BU551" s="106" t="n">
        <v>13495698.80064</v>
      </c>
      <c r="BV551" s="106" t="n"/>
      <c r="BW551" s="106" t="n"/>
      <c r="BX551" s="106" t="n"/>
      <c r="BY551" s="106" t="n"/>
      <c r="BZ551" s="106" t="n">
        <v>430963.2</v>
      </c>
      <c r="CA551" s="114" t="n">
        <v>143654.4</v>
      </c>
      <c r="CB551" s="115" t="n">
        <v>295123.59936</v>
      </c>
      <c r="CD551" s="116" t="n">
        <f aca="false" ca="false" dt2D="false" dtr="false" t="normal">+CD550+1</f>
        <v>529</v>
      </c>
      <c r="CE551" s="117" t="n">
        <f aca="false" ca="false" dt2D="false" dtr="false" t="normal">+CE550+1</f>
        <v>70</v>
      </c>
      <c r="CF551" s="104" t="s">
        <v>81</v>
      </c>
      <c r="CG551" s="117" t="s">
        <v>573</v>
      </c>
      <c r="CH551" s="108" t="n">
        <f aca="false" ca="true" dt2D="false" dtr="false" t="normal">SUBTOTAL(9, CI551:CW551)</f>
        <v>14365440</v>
      </c>
      <c r="CI551" s="106" t="n"/>
      <c r="CJ551" s="114" t="n"/>
      <c r="CK551" s="114" t="n"/>
      <c r="CL551" s="114" t="n"/>
      <c r="CM551" s="114" t="n"/>
      <c r="CN551" s="114" t="n"/>
      <c r="CO551" s="106" t="n"/>
      <c r="CP551" s="114" t="n">
        <v>13495698.8</v>
      </c>
      <c r="CQ551" s="114" t="n"/>
      <c r="CR551" s="114" t="n"/>
      <c r="CS551" s="114" t="n"/>
      <c r="CT551" s="114" t="n"/>
      <c r="CU551" s="114" t="n">
        <v>430963.2</v>
      </c>
      <c r="CV551" s="114" t="n">
        <v>143654.4</v>
      </c>
      <c r="CW551" s="115" t="n">
        <v>295123.6</v>
      </c>
      <c r="CX551" s="3" t="n">
        <f aca="false" ca="false" dt2D="false" dtr="false" t="normal">+N551-CH551</f>
        <v>-295123.5999999996</v>
      </c>
      <c r="CZ551" s="117" t="s">
        <v>573</v>
      </c>
      <c r="DA551" s="113" t="n">
        <f aca="false" ca="true" dt2D="false" dtr="false" t="normal">SUBTOTAL(9, DB551:DP551)</f>
        <v>14070316.4</v>
      </c>
      <c r="DB551" s="106" t="n"/>
      <c r="DC551" s="114" t="n"/>
      <c r="DD551" s="114" t="n"/>
      <c r="DE551" s="114" t="n"/>
      <c r="DF551" s="114" t="n"/>
      <c r="DG551" s="114" t="n"/>
      <c r="DH551" s="106" t="n"/>
      <c r="DI551" s="114" t="n">
        <v>13495698.8</v>
      </c>
      <c r="DJ551" s="114" t="n"/>
      <c r="DK551" s="114" t="n"/>
      <c r="DL551" s="114" t="n"/>
      <c r="DM551" s="114" t="n"/>
      <c r="DN551" s="114" t="n">
        <v>430963.2</v>
      </c>
      <c r="DO551" s="114" t="n">
        <v>143654.4</v>
      </c>
      <c r="DP551" s="240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</row>
    <row customFormat="true" hidden="false" ht="15" outlineLevel="0" r="552" s="1">
      <c r="A552" s="183" t="n">
        <f aca="false" ca="false" dt2D="false" dtr="false" t="normal">+A551+1</f>
        <v>530</v>
      </c>
      <c r="B552" s="117" t="n">
        <f aca="false" ca="false" dt2D="false" dtr="false" t="normal">+B551+1</f>
        <v>71</v>
      </c>
      <c r="C552" s="104" t="s">
        <v>78</v>
      </c>
      <c r="D552" s="104" t="s">
        <v>574</v>
      </c>
      <c r="E552" s="105" t="n">
        <v>1985</v>
      </c>
      <c r="F552" s="105" t="n">
        <v>2008</v>
      </c>
      <c r="G552" s="105" t="s">
        <v>68</v>
      </c>
      <c r="H552" s="105" t="n">
        <v>5</v>
      </c>
      <c r="I552" s="105" t="n">
        <v>5</v>
      </c>
      <c r="J552" s="106" t="n">
        <v>7124.7</v>
      </c>
      <c r="K552" s="106" t="n">
        <v>5794.3</v>
      </c>
      <c r="L552" s="106" t="n">
        <v>252.5</v>
      </c>
      <c r="M552" s="107" t="n">
        <v>248</v>
      </c>
      <c r="N552" s="108" t="n">
        <f aca="false" ca="false" dt2D="false" dtr="false" t="normal">SUM(P552:T552)</f>
        <v>4538759.42</v>
      </c>
      <c r="O552" s="106" t="n"/>
      <c r="P552" s="114" t="n"/>
      <c r="Q552" s="114" t="n"/>
      <c r="R552" s="113" t="n">
        <v>1074489.93</v>
      </c>
      <c r="S552" s="113" t="n">
        <v>3464269.49</v>
      </c>
      <c r="T552" s="114" t="n"/>
      <c r="U552" s="114" t="n">
        <v>876.119744849546</v>
      </c>
      <c r="V552" s="114" t="n">
        <v>1223.283020064</v>
      </c>
      <c r="W552" s="110" t="n">
        <v>2024</v>
      </c>
      <c r="X552" s="9" t="e">
        <f aca="false" ca="false" dt2D="false" dtr="false" t="normal">+#REF!-'[9]Приложение №1'!$P960</f>
        <v>#REF!</v>
      </c>
      <c r="Z552" s="113" t="n">
        <f aca="false" ca="false" dt2D="false" dtr="false" t="normal">SUM(AA552:AO552)</f>
        <v>30311487.044534616</v>
      </c>
      <c r="AA552" s="106" t="n">
        <v>11767409.9303276</v>
      </c>
      <c r="AB552" s="106" t="n">
        <v>5036712.12399834</v>
      </c>
      <c r="AC552" s="106" t="n">
        <v>4496173.90292327</v>
      </c>
      <c r="AD552" s="106" t="n">
        <v>4748882.2255679</v>
      </c>
      <c r="AE552" s="106" t="n">
        <v>0</v>
      </c>
      <c r="AF552" s="106" t="n"/>
      <c r="AG552" s="106" t="n">
        <v>488566.79553628</v>
      </c>
      <c r="AH552" s="106" t="n">
        <v>0</v>
      </c>
      <c r="AI552" s="106" t="n">
        <v>0</v>
      </c>
      <c r="AJ552" s="106" t="n">
        <v>0</v>
      </c>
      <c r="AK552" s="106" t="n">
        <v>0</v>
      </c>
      <c r="AL552" s="106" t="n">
        <v>0</v>
      </c>
      <c r="AM552" s="106" t="n">
        <v>2890300.46107743</v>
      </c>
      <c r="AN552" s="114" t="n">
        <v>303114.870445346</v>
      </c>
      <c r="AO552" s="115" t="n">
        <v>580326.734658453</v>
      </c>
      <c r="AP552" s="112" t="n">
        <f aca="false" ca="false" dt2D="false" dtr="false" t="normal">+N552-'Приложение №2'!E552</f>
        <v>0</v>
      </c>
      <c r="AQ552" s="1" t="n">
        <v>2944437.56</v>
      </c>
      <c r="AR552" s="3" t="n">
        <f aca="false" ca="false" dt2D="false" dtr="false" t="normal">+(K552*10+L552*20)*12*0.85</f>
        <v>642528.6</v>
      </c>
      <c r="AS552" s="3" t="n">
        <f aca="false" ca="false" dt2D="false" dtr="false" t="normal">+(K552*10+L552*20)*12*30-11358024</f>
        <v>11319456</v>
      </c>
      <c r="AT552" s="9" t="n">
        <f aca="false" ca="false" dt2D="false" dtr="false" t="normal">+S552-AS552</f>
        <v>-7855186.51</v>
      </c>
      <c r="AU552" s="9" t="e">
        <f aca="false" ca="false" dt2D="false" dtr="false" t="normal">+P552-'[5]Приложение №1'!$P239</f>
        <v>#REF!</v>
      </c>
      <c r="AV552" s="9" t="e">
        <f aca="false" ca="false" dt2D="false" dtr="false" t="normal">+Q552-'[5]Приложение №1'!$Q239</f>
        <v>#REF!</v>
      </c>
      <c r="AW552" s="113" t="n">
        <f aca="false" ca="true" dt2D="false" dtr="false" t="normal">SUBTOTAL(9, AX552:BL552)</f>
        <v>5076500.637581723</v>
      </c>
      <c r="AX552" s="106" t="n"/>
      <c r="AY552" s="106" t="n"/>
      <c r="AZ552" s="106" t="n">
        <v>4496173.90292327</v>
      </c>
      <c r="BA552" s="106" t="n"/>
      <c r="BB552" s="106" t="n">
        <v>0</v>
      </c>
      <c r="BC552" s="106" t="n"/>
      <c r="BD552" s="106" t="n"/>
      <c r="BE552" s="106" t="n">
        <v>0</v>
      </c>
      <c r="BF552" s="106" t="n">
        <v>0</v>
      </c>
      <c r="BG552" s="106" t="n"/>
      <c r="BH552" s="106" t="n">
        <v>0</v>
      </c>
      <c r="BI552" s="106" t="n">
        <v>0</v>
      </c>
      <c r="BJ552" s="106" t="n"/>
      <c r="BK552" s="114" t="n"/>
      <c r="BL552" s="115" t="n">
        <v>580326.734658453</v>
      </c>
      <c r="BM552" s="113" t="n">
        <f aca="false" ca="true" dt2D="false" dtr="false" t="normal">SUBTOTAL(9, BN552:CB552)</f>
        <v>5076500.637581723</v>
      </c>
      <c r="BN552" s="106" t="n"/>
      <c r="BO552" s="106" t="n"/>
      <c r="BP552" s="106" t="n">
        <v>4496173.90292327</v>
      </c>
      <c r="BQ552" s="106" t="n"/>
      <c r="BR552" s="106" t="n">
        <v>0</v>
      </c>
      <c r="BS552" s="106" t="n"/>
      <c r="BT552" s="106" t="n"/>
      <c r="BU552" s="106" t="n">
        <v>0</v>
      </c>
      <c r="BV552" s="106" t="n">
        <v>0</v>
      </c>
      <c r="BW552" s="106" t="n"/>
      <c r="BX552" s="106" t="n">
        <v>0</v>
      </c>
      <c r="BY552" s="106" t="n">
        <v>0</v>
      </c>
      <c r="BZ552" s="106" t="n"/>
      <c r="CA552" s="114" t="n"/>
      <c r="CB552" s="115" t="n">
        <v>580326.734658453</v>
      </c>
      <c r="CD552" s="116" t="n">
        <f aca="false" ca="false" dt2D="false" dtr="false" t="normal">+CD551+1</f>
        <v>530</v>
      </c>
      <c r="CE552" s="117" t="n">
        <f aca="false" ca="false" dt2D="false" dtr="false" t="normal">+CE551+1</f>
        <v>71</v>
      </c>
      <c r="CF552" s="104" t="s">
        <v>78</v>
      </c>
      <c r="CG552" s="117" t="s">
        <v>574</v>
      </c>
      <c r="CH552" s="108" t="n">
        <f aca="false" ca="true" dt2D="false" dtr="false" t="normal">SUBTOTAL(9, CI552:CW552)</f>
        <v>5076500.630000001</v>
      </c>
      <c r="CI552" s="106" t="n"/>
      <c r="CJ552" s="114" t="n"/>
      <c r="CK552" s="114" t="n">
        <v>4496173.9</v>
      </c>
      <c r="CL552" s="114" t="n"/>
      <c r="CM552" s="114" t="n">
        <v>0</v>
      </c>
      <c r="CN552" s="114" t="n"/>
      <c r="CO552" s="106" t="n"/>
      <c r="CP552" s="114" t="n">
        <v>0</v>
      </c>
      <c r="CQ552" s="114" t="n">
        <v>0</v>
      </c>
      <c r="CR552" s="114" t="n"/>
      <c r="CS552" s="114" t="n">
        <v>0</v>
      </c>
      <c r="CT552" s="114" t="n">
        <v>0</v>
      </c>
      <c r="CU552" s="114" t="n"/>
      <c r="CV552" s="114" t="n"/>
      <c r="CW552" s="115" t="n">
        <v>580326.73</v>
      </c>
      <c r="CX552" s="3" t="n">
        <f aca="false" ca="false" dt2D="false" dtr="false" t="normal">+N552-CH552</f>
        <v>-537741.2100000009</v>
      </c>
      <c r="CZ552" s="117" t="s">
        <v>574</v>
      </c>
      <c r="DA552" s="113" t="n">
        <f aca="false" ca="true" dt2D="false" dtr="false" t="normal">SUBTOTAL(9, DB552:DP552)</f>
        <v>4538759.4235000005</v>
      </c>
      <c r="DB552" s="106" t="n"/>
      <c r="DC552" s="114" t="n"/>
      <c r="DD552" s="114" t="n">
        <v>4496173.9</v>
      </c>
      <c r="DE552" s="114" t="n"/>
      <c r="DF552" s="114" t="n">
        <v>0</v>
      </c>
      <c r="DG552" s="114" t="n"/>
      <c r="DH552" s="106" t="n"/>
      <c r="DI552" s="114" t="n">
        <v>0</v>
      </c>
      <c r="DJ552" s="114" t="n">
        <v>0</v>
      </c>
      <c r="DK552" s="114" t="n"/>
      <c r="DL552" s="114" t="n">
        <v>0</v>
      </c>
      <c r="DM552" s="114" t="n">
        <v>0</v>
      </c>
      <c r="DN552" s="114" t="n"/>
      <c r="DO552" s="114" t="n"/>
      <c r="DP552" s="115" t="n">
        <f aca="false" ca="false" dt2D="false" dtr="false" t="normal">37030.89*1.15</f>
        <v>42585.523499999996</v>
      </c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</row>
    <row customFormat="true" hidden="false" ht="15" outlineLevel="0" r="553" s="1">
      <c r="A553" s="183" t="n">
        <f aca="false" ca="false" dt2D="false" dtr="false" t="normal">+A552+1</f>
        <v>531</v>
      </c>
      <c r="B553" s="117" t="n">
        <f aca="false" ca="false" dt2D="false" dtr="false" t="normal">+B552+1</f>
        <v>72</v>
      </c>
      <c r="C553" s="104" t="s">
        <v>78</v>
      </c>
      <c r="D553" s="104" t="s">
        <v>575</v>
      </c>
      <c r="E553" s="105" t="n">
        <v>1980</v>
      </c>
      <c r="F553" s="105" t="n">
        <v>2012</v>
      </c>
      <c r="G553" s="105" t="s">
        <v>68</v>
      </c>
      <c r="H553" s="105" t="n">
        <v>4</v>
      </c>
      <c r="I553" s="105" t="n">
        <v>3</v>
      </c>
      <c r="J553" s="106" t="n">
        <v>5123.6</v>
      </c>
      <c r="K553" s="106" t="n">
        <v>3336.1</v>
      </c>
      <c r="L553" s="106" t="n">
        <v>937.6</v>
      </c>
      <c r="M553" s="107" t="n">
        <v>153</v>
      </c>
      <c r="N553" s="108" t="n">
        <f aca="false" ca="false" dt2D="false" dtr="false" t="normal">SUM(P553:T553)</f>
        <v>9496606.7</v>
      </c>
      <c r="O553" s="106" t="n"/>
      <c r="P553" s="114" t="n"/>
      <c r="Q553" s="114" t="n"/>
      <c r="R553" s="113" t="n">
        <v>2863173.66</v>
      </c>
      <c r="S553" s="113" t="n">
        <v>6633433.04</v>
      </c>
      <c r="T553" s="113" t="n"/>
      <c r="U553" s="114" t="n">
        <v>2880.07018562525</v>
      </c>
      <c r="V553" s="114" t="n">
        <v>1221.283020064</v>
      </c>
      <c r="W553" s="110" t="n">
        <v>2024</v>
      </c>
      <c r="X553" s="9" t="e">
        <f aca="false" ca="false" dt2D="false" dtr="false" t="normal">+#REF!-'[9]Приложение №1'!$P594</f>
        <v>#REF!</v>
      </c>
      <c r="Z553" s="113" t="n">
        <f aca="false" ca="false" dt2D="false" dtr="false" t="normal">SUM(AA553:AO553)</f>
        <v>9768437.66</v>
      </c>
      <c r="AA553" s="106" t="n">
        <v>0</v>
      </c>
      <c r="AB553" s="106" t="n">
        <v>0</v>
      </c>
      <c r="AC553" s="106" t="n">
        <v>0</v>
      </c>
      <c r="AD553" s="106" t="n">
        <v>0</v>
      </c>
      <c r="AE553" s="106" t="n">
        <v>0</v>
      </c>
      <c r="AF553" s="106" t="n"/>
      <c r="AG553" s="106" t="n">
        <v>0</v>
      </c>
      <c r="AH553" s="106" t="n">
        <v>0</v>
      </c>
      <c r="AI553" s="106" t="n">
        <v>0</v>
      </c>
      <c r="AJ553" s="106" t="n">
        <v>0</v>
      </c>
      <c r="AK553" s="106" t="n">
        <v>9403121.04</v>
      </c>
      <c r="AL553" s="106" t="n">
        <v>0</v>
      </c>
      <c r="AM553" s="106" t="n">
        <v>264024.74</v>
      </c>
      <c r="AN553" s="114" t="n">
        <v>20000</v>
      </c>
      <c r="AO553" s="115" t="n">
        <v>81291.88</v>
      </c>
      <c r="AP553" s="112" t="n">
        <f aca="false" ca="false" dt2D="false" dtr="false" t="normal">+N553-'Приложение №2'!E553</f>
        <v>0</v>
      </c>
      <c r="AQ553" s="121" t="n">
        <v>2890969.25</v>
      </c>
      <c r="AR553" s="3" t="n">
        <f aca="false" ca="false" dt2D="false" dtr="false" t="normal">+(K553*10.5+L553*21)*12*0.85</f>
        <v>558130.23</v>
      </c>
      <c r="AS553" s="3" t="n">
        <f aca="false" ca="false" dt2D="false" dtr="false" t="normal">+(K553*10.5+L553*21)*12*30</f>
        <v>19698713.999999996</v>
      </c>
      <c r="AT553" s="9" t="n">
        <f aca="false" ca="false" dt2D="false" dtr="false" t="normal">+S553-AS553</f>
        <v>-13065280.959999997</v>
      </c>
      <c r="AU553" s="9" t="e">
        <f aca="false" ca="false" dt2D="false" dtr="false" t="normal">+P553-'[5]Приложение №1'!$P506</f>
        <v>#REF!</v>
      </c>
      <c r="AV553" s="9" t="e">
        <f aca="false" ca="false" dt2D="false" dtr="false" t="normal">+Q553-'[5]Приложение №1'!$Q506</f>
        <v>#REF!</v>
      </c>
      <c r="AW553" s="186" t="n">
        <f aca="false" ca="true" dt2D="false" dtr="false" t="normal">SUBTOTAL(9, AX553:BL553)</f>
        <v>9608202.146264391</v>
      </c>
      <c r="AX553" s="106" t="n">
        <v>0</v>
      </c>
      <c r="AY553" s="106" t="n">
        <v>0</v>
      </c>
      <c r="AZ553" s="106" t="n">
        <v>0</v>
      </c>
      <c r="BA553" s="106" t="n">
        <v>0</v>
      </c>
      <c r="BB553" s="106" t="n">
        <v>0</v>
      </c>
      <c r="BC553" s="106" t="n"/>
      <c r="BD553" s="106" t="n"/>
      <c r="BE553" s="106" t="n">
        <v>0</v>
      </c>
      <c r="BF553" s="106" t="n">
        <v>0</v>
      </c>
      <c r="BG553" s="106" t="n">
        <v>0</v>
      </c>
      <c r="BH553" s="106" t="n">
        <v>9403121.04</v>
      </c>
      <c r="BI553" s="106" t="n">
        <v>0</v>
      </c>
      <c r="BJ553" s="106" t="n"/>
      <c r="BK553" s="114" t="n"/>
      <c r="BL553" s="115" t="n">
        <v>205081.106264392</v>
      </c>
      <c r="BM553" s="186" t="n">
        <f aca="false" ca="true" dt2D="false" dtr="false" t="normal">SUBTOTAL(9, BN553:CB553)</f>
        <v>9608202.146264391</v>
      </c>
      <c r="BN553" s="106" t="n">
        <v>0</v>
      </c>
      <c r="BO553" s="106" t="n">
        <v>0</v>
      </c>
      <c r="BP553" s="106" t="n">
        <v>0</v>
      </c>
      <c r="BQ553" s="106" t="n">
        <v>0</v>
      </c>
      <c r="BR553" s="106" t="n">
        <v>0</v>
      </c>
      <c r="BS553" s="106" t="n"/>
      <c r="BT553" s="106" t="n"/>
      <c r="BU553" s="106" t="n">
        <v>0</v>
      </c>
      <c r="BV553" s="106" t="n">
        <v>0</v>
      </c>
      <c r="BW553" s="106" t="n">
        <v>0</v>
      </c>
      <c r="BX553" s="106" t="n">
        <v>9403121.04</v>
      </c>
      <c r="BY553" s="106" t="n">
        <v>0</v>
      </c>
      <c r="BZ553" s="106" t="n"/>
      <c r="CA553" s="114" t="n"/>
      <c r="CB553" s="115" t="n">
        <v>205081.106264392</v>
      </c>
      <c r="CD553" s="116" t="n">
        <f aca="false" ca="false" dt2D="false" dtr="false" t="normal">+CD552+1</f>
        <v>531</v>
      </c>
      <c r="CE553" s="117" t="n">
        <f aca="false" ca="false" dt2D="false" dtr="false" t="normal">+CE552+1</f>
        <v>72</v>
      </c>
      <c r="CF553" s="104" t="s">
        <v>78</v>
      </c>
      <c r="CG553" s="117" t="s">
        <v>575</v>
      </c>
      <c r="CH553" s="108" t="n">
        <f aca="false" ca="true" dt2D="false" dtr="false" t="normal">SUBTOTAL(9, CI553:CW553)</f>
        <v>9608202.149999999</v>
      </c>
      <c r="CI553" s="106" t="n">
        <v>0</v>
      </c>
      <c r="CJ553" s="114" t="n">
        <v>0</v>
      </c>
      <c r="CK553" s="114" t="n">
        <v>0</v>
      </c>
      <c r="CL553" s="114" t="n">
        <v>0</v>
      </c>
      <c r="CM553" s="114" t="n">
        <v>0</v>
      </c>
      <c r="CN553" s="114" t="n"/>
      <c r="CO553" s="106" t="n"/>
      <c r="CP553" s="114" t="n">
        <v>0</v>
      </c>
      <c r="CQ553" s="114" t="n">
        <v>0</v>
      </c>
      <c r="CR553" s="114" t="n">
        <v>0</v>
      </c>
      <c r="CS553" s="114" t="n">
        <v>9403121.04</v>
      </c>
      <c r="CT553" s="114" t="n">
        <v>0</v>
      </c>
      <c r="CU553" s="114" t="n"/>
      <c r="CV553" s="114" t="n"/>
      <c r="CW553" s="115" t="n">
        <v>205081.11</v>
      </c>
      <c r="CX553" s="3" t="n">
        <f aca="false" ca="false" dt2D="false" dtr="false" t="normal">+N553-CH553</f>
        <v>-111595.44999999925</v>
      </c>
      <c r="CZ553" s="117" t="s">
        <v>575</v>
      </c>
      <c r="DA553" s="113" t="n">
        <f aca="false" ca="true" dt2D="false" dtr="false" t="normal">SUBTOTAL(9, DB553:DP553)</f>
        <v>9496606.702</v>
      </c>
      <c r="DB553" s="106" t="n">
        <v>0</v>
      </c>
      <c r="DC553" s="114" t="n">
        <v>0</v>
      </c>
      <c r="DD553" s="114" t="n">
        <v>0</v>
      </c>
      <c r="DE553" s="114" t="n">
        <v>0</v>
      </c>
      <c r="DF553" s="114" t="n">
        <v>0</v>
      </c>
      <c r="DG553" s="114" t="n"/>
      <c r="DH553" s="106" t="n"/>
      <c r="DI553" s="114" t="n">
        <v>0</v>
      </c>
      <c r="DJ553" s="114" t="n">
        <v>0</v>
      </c>
      <c r="DK553" s="114" t="n">
        <v>0</v>
      </c>
      <c r="DL553" s="114" t="n">
        <v>9403121.04</v>
      </c>
      <c r="DM553" s="114" t="n">
        <v>0</v>
      </c>
      <c r="DN553" s="114" t="n"/>
      <c r="DO553" s="114" t="n"/>
      <c r="DP553" s="115" t="n">
        <f aca="false" ca="false" dt2D="false" dtr="false" t="normal">81291.88*1.15</f>
        <v>93485.662</v>
      </c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</row>
    <row customFormat="true" hidden="false" ht="15" outlineLevel="0" r="554" s="1">
      <c r="A554" s="183" t="n">
        <f aca="false" ca="false" dt2D="false" dtr="false" t="normal">+A553+1</f>
        <v>532</v>
      </c>
      <c r="B554" s="117" t="n">
        <f aca="false" ca="false" dt2D="false" dtr="false" t="normal">+B553+1</f>
        <v>73</v>
      </c>
      <c r="C554" s="104" t="s">
        <v>78</v>
      </c>
      <c r="D554" s="104" t="s">
        <v>576</v>
      </c>
      <c r="E554" s="105" t="n">
        <v>1986</v>
      </c>
      <c r="F554" s="105" t="n">
        <v>2016</v>
      </c>
      <c r="G554" s="105" t="s">
        <v>68</v>
      </c>
      <c r="H554" s="105" t="n">
        <v>5</v>
      </c>
      <c r="I554" s="105" t="n">
        <v>4</v>
      </c>
      <c r="J554" s="106" t="n">
        <v>5735.9</v>
      </c>
      <c r="K554" s="106" t="n">
        <v>4570.5</v>
      </c>
      <c r="L554" s="106" t="n">
        <v>392.5</v>
      </c>
      <c r="M554" s="107" t="n">
        <v>186</v>
      </c>
      <c r="N554" s="108" t="n">
        <f aca="false" ca="false" dt2D="false" dtr="false" t="normal">SUM(P554:T554)</f>
        <v>3766700.2</v>
      </c>
      <c r="O554" s="106" t="n"/>
      <c r="P554" s="114" t="n"/>
      <c r="Q554" s="114" t="n"/>
      <c r="R554" s="113" t="n">
        <v>2232501.41</v>
      </c>
      <c r="S554" s="113" t="n">
        <v>1534198.79</v>
      </c>
      <c r="T554" s="114" t="n"/>
      <c r="U554" s="114" t="n">
        <v>819.621289713936</v>
      </c>
      <c r="V554" s="114" t="n">
        <v>1224.283020064</v>
      </c>
      <c r="W554" s="110" t="n">
        <v>2024</v>
      </c>
      <c r="X554" s="9" t="e">
        <f aca="false" ca="false" dt2D="false" dtr="false" t="normal">+#REF!-'[9]Приложение №1'!$P961</f>
        <v>#REF!</v>
      </c>
      <c r="Z554" s="113" t="n">
        <f aca="false" ca="false" dt2D="false" dtr="false" t="normal">SUM(AA554:AO554)</f>
        <v>4209077.645660161</v>
      </c>
      <c r="AA554" s="106" t="n">
        <v>0</v>
      </c>
      <c r="AB554" s="106" t="n">
        <v>0</v>
      </c>
      <c r="AC554" s="106" t="n">
        <v>3665913.0117983</v>
      </c>
      <c r="AD554" s="106" t="n">
        <v>0</v>
      </c>
      <c r="AE554" s="106" t="n">
        <v>0</v>
      </c>
      <c r="AF554" s="106" t="n"/>
      <c r="AG554" s="106" t="n">
        <v>0</v>
      </c>
      <c r="AH554" s="106" t="n">
        <v>0</v>
      </c>
      <c r="AI554" s="106" t="n">
        <v>0</v>
      </c>
      <c r="AJ554" s="106" t="n">
        <v>0</v>
      </c>
      <c r="AK554" s="106" t="n">
        <v>0</v>
      </c>
      <c r="AL554" s="106" t="n">
        <v>0</v>
      </c>
      <c r="AM554" s="106" t="n">
        <v>420907.764566016</v>
      </c>
      <c r="AN554" s="114" t="n">
        <v>42090.7764566016</v>
      </c>
      <c r="AO554" s="115" t="n">
        <v>80166.0928392434</v>
      </c>
      <c r="AP554" s="112" t="n">
        <f aca="false" ca="false" dt2D="false" dtr="false" t="normal">+N554-'Приложение №2'!E554</f>
        <v>0</v>
      </c>
      <c r="AQ554" s="1" t="n">
        <f aca="false" ca="false" dt2D="false" dtr="false" t="normal">2433536.43-747296.02</f>
        <v>1686240.4100000001</v>
      </c>
      <c r="AR554" s="3" t="n">
        <f aca="false" ca="false" dt2D="false" dtr="false" t="normal">+(K554*10+L554*20)*12*0.85</f>
        <v>546261</v>
      </c>
      <c r="AS554" s="3" t="n">
        <f aca="false" ca="false" dt2D="false" dtr="false" t="normal">+(K554*10+L554*20)*12*30-4108823.88</f>
        <v>15170976.120000001</v>
      </c>
      <c r="AT554" s="9" t="n">
        <f aca="false" ca="false" dt2D="false" dtr="false" t="normal">+S554-AS554</f>
        <v>-13636777.330000002</v>
      </c>
      <c r="AU554" s="9" t="e">
        <f aca="false" ca="false" dt2D="false" dtr="false" t="normal">+P554-'[5]Приложение №1'!$P240</f>
        <v>#REF!</v>
      </c>
      <c r="AV554" s="9" t="e">
        <f aca="false" ca="false" dt2D="false" dtr="false" t="normal">+Q554-'[5]Приложение №1'!$Q240</f>
        <v>#REF!</v>
      </c>
      <c r="AW554" s="113" t="n">
        <f aca="false" ca="true" dt2D="false" dtr="false" t="normal">SUBTOTAL(9, AX554:BL554)</f>
        <v>3746079.104637543</v>
      </c>
      <c r="AX554" s="106" t="n">
        <v>0</v>
      </c>
      <c r="AY554" s="106" t="n">
        <v>0</v>
      </c>
      <c r="AZ554" s="106" t="n">
        <v>3665913.0117983</v>
      </c>
      <c r="BA554" s="106" t="n">
        <v>0</v>
      </c>
      <c r="BB554" s="106" t="n">
        <v>0</v>
      </c>
      <c r="BC554" s="106" t="n"/>
      <c r="BD554" s="106" t="n"/>
      <c r="BE554" s="106" t="n">
        <v>0</v>
      </c>
      <c r="BF554" s="106" t="n">
        <v>0</v>
      </c>
      <c r="BG554" s="106" t="n">
        <v>0</v>
      </c>
      <c r="BH554" s="106" t="n">
        <v>0</v>
      </c>
      <c r="BI554" s="106" t="n">
        <v>0</v>
      </c>
      <c r="BJ554" s="106" t="n"/>
      <c r="BK554" s="114" t="n"/>
      <c r="BL554" s="115" t="n">
        <v>80166.0928392434</v>
      </c>
      <c r="BM554" s="113" t="n">
        <f aca="false" ca="true" dt2D="false" dtr="false" t="normal">SUBTOTAL(9, BN554:CB554)</f>
        <v>3746079.104637543</v>
      </c>
      <c r="BN554" s="106" t="n">
        <v>0</v>
      </c>
      <c r="BO554" s="106" t="n">
        <v>0</v>
      </c>
      <c r="BP554" s="106" t="n">
        <v>3665913.0117983</v>
      </c>
      <c r="BQ554" s="106" t="n">
        <v>0</v>
      </c>
      <c r="BR554" s="106" t="n">
        <v>0</v>
      </c>
      <c r="BS554" s="106" t="n"/>
      <c r="BT554" s="106" t="n"/>
      <c r="BU554" s="106" t="n">
        <v>0</v>
      </c>
      <c r="BV554" s="106" t="n">
        <v>0</v>
      </c>
      <c r="BW554" s="106" t="n">
        <v>0</v>
      </c>
      <c r="BX554" s="106" t="n">
        <v>0</v>
      </c>
      <c r="BY554" s="106" t="n">
        <v>0</v>
      </c>
      <c r="BZ554" s="106" t="n"/>
      <c r="CA554" s="114" t="n"/>
      <c r="CB554" s="115" t="n">
        <v>80166.0928392434</v>
      </c>
      <c r="CD554" s="116" t="n">
        <f aca="false" ca="false" dt2D="false" dtr="false" t="normal">+CD553+1</f>
        <v>532</v>
      </c>
      <c r="CE554" s="117" t="n">
        <f aca="false" ca="false" dt2D="false" dtr="false" t="normal">+CE553+1</f>
        <v>73</v>
      </c>
      <c r="CF554" s="104" t="s">
        <v>78</v>
      </c>
      <c r="CG554" s="117" t="s">
        <v>576</v>
      </c>
      <c r="CH554" s="108" t="n">
        <f aca="false" ca="true" dt2D="false" dtr="false" t="normal">SUBTOTAL(9, CI554:CW554)</f>
        <v>3803072.31</v>
      </c>
      <c r="CI554" s="106" t="n">
        <v>0</v>
      </c>
      <c r="CJ554" s="114" t="n">
        <v>0</v>
      </c>
      <c r="CK554" s="114" t="n">
        <v>3722906.22</v>
      </c>
      <c r="CL554" s="114" t="n">
        <v>0</v>
      </c>
      <c r="CM554" s="114" t="n">
        <v>0</v>
      </c>
      <c r="CN554" s="114" t="n"/>
      <c r="CO554" s="106" t="n"/>
      <c r="CP554" s="114" t="n">
        <v>0</v>
      </c>
      <c r="CQ554" s="114" t="n">
        <v>0</v>
      </c>
      <c r="CR554" s="114" t="n">
        <v>0</v>
      </c>
      <c r="CS554" s="114" t="n">
        <v>0</v>
      </c>
      <c r="CT554" s="114" t="n">
        <v>0</v>
      </c>
      <c r="CU554" s="114" t="n"/>
      <c r="CV554" s="114" t="n"/>
      <c r="CW554" s="115" t="n">
        <v>80166.09</v>
      </c>
      <c r="CX554" s="3" t="n">
        <f aca="false" ca="false" dt2D="false" dtr="false" t="normal">+N554-CH554</f>
        <v>-36372.10999999987</v>
      </c>
      <c r="CZ554" s="117" t="s">
        <v>576</v>
      </c>
      <c r="DA554" s="113" t="n">
        <f aca="false" ca="true" dt2D="false" dtr="false" t="normal">SUBTOTAL(9, DB554:DP554)</f>
        <v>3766700.1980000003</v>
      </c>
      <c r="DB554" s="106" t="n">
        <v>0</v>
      </c>
      <c r="DC554" s="114" t="n">
        <v>0</v>
      </c>
      <c r="DD554" s="114" t="n">
        <v>3722906.22</v>
      </c>
      <c r="DE554" s="114" t="n">
        <v>0</v>
      </c>
      <c r="DF554" s="114" t="n">
        <v>0</v>
      </c>
      <c r="DG554" s="114" t="n"/>
      <c r="DH554" s="106" t="n"/>
      <c r="DI554" s="114" t="n">
        <v>0</v>
      </c>
      <c r="DJ554" s="114" t="n">
        <v>0</v>
      </c>
      <c r="DK554" s="114" t="n">
        <v>0</v>
      </c>
      <c r="DL554" s="114" t="n">
        <v>0</v>
      </c>
      <c r="DM554" s="114" t="n">
        <v>0</v>
      </c>
      <c r="DN554" s="114" t="n"/>
      <c r="DO554" s="114" t="n"/>
      <c r="DP554" s="115" t="n">
        <f aca="false" ca="false" dt2D="false" dtr="false" t="normal">38081.72*1.15</f>
        <v>43793.977999999996</v>
      </c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</row>
    <row customFormat="true" hidden="false" ht="15" outlineLevel="0" r="555" s="1">
      <c r="A555" s="183" t="n">
        <f aca="false" ca="false" dt2D="false" dtr="false" t="normal">+A554+1</f>
        <v>533</v>
      </c>
      <c r="B555" s="117" t="n">
        <f aca="false" ca="false" dt2D="false" dtr="false" t="normal">+B554+1</f>
        <v>74</v>
      </c>
      <c r="C555" s="104" t="s">
        <v>78</v>
      </c>
      <c r="D555" s="104" t="s">
        <v>471</v>
      </c>
      <c r="E555" s="105" t="n">
        <v>1982</v>
      </c>
      <c r="F555" s="105" t="n">
        <v>2008</v>
      </c>
      <c r="G555" s="105" t="s">
        <v>68</v>
      </c>
      <c r="H555" s="105" t="n">
        <v>5</v>
      </c>
      <c r="I555" s="105" t="n">
        <v>7</v>
      </c>
      <c r="J555" s="106" t="n">
        <v>6399.1</v>
      </c>
      <c r="K555" s="106" t="n">
        <v>4849.9</v>
      </c>
      <c r="L555" s="106" t="n">
        <v>814.5</v>
      </c>
      <c r="M555" s="107" t="n">
        <v>218</v>
      </c>
      <c r="N555" s="108" t="n">
        <f aca="false" ca="false" dt2D="false" dtr="false" t="normal">SUM(P555:T555)</f>
        <v>3924859.57</v>
      </c>
      <c r="O555" s="106" t="n"/>
      <c r="P555" s="114" t="n"/>
      <c r="Q555" s="114" t="n"/>
      <c r="R555" s="114" t="n"/>
      <c r="S555" s="113" t="n">
        <v>3924859.57</v>
      </c>
      <c r="T555" s="114" t="n"/>
      <c r="U555" s="106" t="n">
        <v>749.589102819033</v>
      </c>
      <c r="V555" s="106" t="n">
        <v>749.589102819033</v>
      </c>
      <c r="W555" s="110" t="n">
        <v>2024</v>
      </c>
      <c r="X555" s="9" t="e">
        <f aca="false" ca="false" dt2D="false" dtr="false" t="normal">+#REF!-'[9]Приложение №1'!$P1718</f>
        <v>#REF!</v>
      </c>
      <c r="Z555" s="113" t="n">
        <f aca="false" ca="false" dt2D="false" dtr="false" t="normal">SUM(AA555:AO555)</f>
        <v>16411893.353984786</v>
      </c>
      <c r="AA555" s="106" t="n">
        <v>10225965.4266984</v>
      </c>
      <c r="AB555" s="106" t="n">
        <v>0</v>
      </c>
      <c r="AC555" s="106" t="n">
        <v>3907208.05648326</v>
      </c>
      <c r="AD555" s="106" t="n">
        <v>0</v>
      </c>
      <c r="AE555" s="106" t="n">
        <v>0</v>
      </c>
      <c r="AF555" s="106" t="n"/>
      <c r="AG555" s="106" t="n">
        <v>424568.124112911</v>
      </c>
      <c r="AH555" s="106" t="n">
        <v>0</v>
      </c>
      <c r="AI555" s="106" t="n">
        <v>0</v>
      </c>
      <c r="AJ555" s="106" t="n">
        <v>0</v>
      </c>
      <c r="AK555" s="106" t="n">
        <v>0</v>
      </c>
      <c r="AL555" s="106" t="n">
        <v>0</v>
      </c>
      <c r="AM555" s="106" t="n">
        <v>1371684.48860908</v>
      </c>
      <c r="AN555" s="114" t="n">
        <v>164118.933539848</v>
      </c>
      <c r="AO555" s="115" t="n">
        <v>318348.324541288</v>
      </c>
      <c r="AP555" s="112" t="n">
        <f aca="false" ca="false" dt2D="false" dtr="false" t="normal">+N555-'Приложение №2'!E555</f>
        <v>0</v>
      </c>
      <c r="AQ555" s="9" t="n">
        <f aca="false" ca="false" dt2D="false" dtr="false" t="normal">2229911.9-R391</f>
        <v>134545.97999999998</v>
      </c>
      <c r="AR555" s="3" t="n">
        <f aca="false" ca="false" dt2D="false" dtr="false" t="normal">+(K555*10+L555*20)*12*0.85</f>
        <v>660847.7999999999</v>
      </c>
      <c r="AS555" s="3" t="n">
        <f aca="false" ca="false" dt2D="false" dtr="false" t="normal">+(K555*10+L555*20)*12*30-S391</f>
        <v>23324040</v>
      </c>
      <c r="AT555" s="9" t="n">
        <f aca="false" ca="false" dt2D="false" dtr="false" t="normal">+S555-AS555</f>
        <v>-19399180.43</v>
      </c>
      <c r="AU555" s="9" t="e">
        <f aca="false" ca="false" dt2D="false" dtr="false" t="normal">+P555-'[5]Приложение №1'!$P620</f>
        <v>#REF!</v>
      </c>
      <c r="AV555" s="9" t="e">
        <f aca="false" ca="false" dt2D="false" dtr="false" t="normal">+Q555-'[5]Приложение №1'!$Q620</f>
        <v>#REF!</v>
      </c>
      <c r="AW555" s="113" t="n">
        <f aca="false" ca="true" dt2D="false" dtr="false" t="normal">SUBTOTAL(9, AX555:BL555)</f>
        <v>4245972.514008126</v>
      </c>
      <c r="AX555" s="106" t="n"/>
      <c r="AY555" s="106" t="n">
        <v>0</v>
      </c>
      <c r="AZ555" s="106" t="n">
        <v>3907208.05648326</v>
      </c>
      <c r="BA555" s="106" t="n">
        <v>0</v>
      </c>
      <c r="BB555" s="106" t="n">
        <v>0</v>
      </c>
      <c r="BC555" s="106" t="n"/>
      <c r="BD555" s="106" t="n"/>
      <c r="BE555" s="106" t="n">
        <v>0</v>
      </c>
      <c r="BF555" s="106" t="n">
        <v>0</v>
      </c>
      <c r="BG555" s="106" t="n">
        <v>0</v>
      </c>
      <c r="BH555" s="106" t="n">
        <v>0</v>
      </c>
      <c r="BI555" s="106" t="n">
        <v>0</v>
      </c>
      <c r="BJ555" s="106" t="n"/>
      <c r="BK555" s="114" t="n"/>
      <c r="BL555" s="115" t="n">
        <v>338764.457524866</v>
      </c>
      <c r="BM555" s="113" t="n">
        <f aca="false" ca="true" dt2D="false" dtr="false" t="normal">SUBTOTAL(9, BN555:CB555)</f>
        <v>4245972.514008126</v>
      </c>
      <c r="BN555" s="106" t="n"/>
      <c r="BO555" s="106" t="n">
        <v>0</v>
      </c>
      <c r="BP555" s="106" t="n">
        <v>3907208.05648326</v>
      </c>
      <c r="BQ555" s="106" t="n">
        <v>0</v>
      </c>
      <c r="BR555" s="106" t="n">
        <v>0</v>
      </c>
      <c r="BS555" s="106" t="n"/>
      <c r="BT555" s="106" t="n"/>
      <c r="BU555" s="106" t="n">
        <v>0</v>
      </c>
      <c r="BV555" s="106" t="n">
        <v>0</v>
      </c>
      <c r="BW555" s="106" t="n">
        <v>0</v>
      </c>
      <c r="BX555" s="106" t="n">
        <v>0</v>
      </c>
      <c r="BY555" s="106" t="n">
        <v>0</v>
      </c>
      <c r="BZ555" s="106" t="n"/>
      <c r="CA555" s="114" t="n"/>
      <c r="CB555" s="115" t="n">
        <v>338764.457524866</v>
      </c>
      <c r="CD555" s="116" t="n">
        <f aca="false" ca="false" dt2D="false" dtr="false" t="normal">+CD554+1</f>
        <v>533</v>
      </c>
      <c r="CE555" s="117" t="n">
        <f aca="false" ca="false" dt2D="false" dtr="false" t="normal">+CE554+1</f>
        <v>74</v>
      </c>
      <c r="CF555" s="104" t="s">
        <v>78</v>
      </c>
      <c r="CG555" s="117" t="s">
        <v>471</v>
      </c>
      <c r="CH555" s="108" t="n">
        <f aca="false" ca="true" dt2D="false" dtr="false" t="normal">SUBTOTAL(9, CI555:CW555)</f>
        <v>4245972.5200000005</v>
      </c>
      <c r="CI555" s="106" t="n"/>
      <c r="CJ555" s="114" t="n">
        <v>0</v>
      </c>
      <c r="CK555" s="114" t="n">
        <v>3907208.06</v>
      </c>
      <c r="CL555" s="114" t="n">
        <v>0</v>
      </c>
      <c r="CM555" s="114" t="n">
        <v>0</v>
      </c>
      <c r="CN555" s="114" t="n"/>
      <c r="CO555" s="106" t="n"/>
      <c r="CP555" s="114" t="n">
        <v>0</v>
      </c>
      <c r="CQ555" s="114" t="n">
        <v>0</v>
      </c>
      <c r="CR555" s="114" t="n">
        <v>0</v>
      </c>
      <c r="CS555" s="114" t="n">
        <v>0</v>
      </c>
      <c r="CT555" s="114" t="n">
        <v>0</v>
      </c>
      <c r="CU555" s="114" t="n"/>
      <c r="CV555" s="114" t="n"/>
      <c r="CW555" s="115" t="n">
        <v>338764.46</v>
      </c>
      <c r="CX555" s="3" t="n">
        <f aca="false" ca="false" dt2D="false" dtr="false" t="normal">+N555-CH555</f>
        <v>-321112.95000000065</v>
      </c>
      <c r="CZ555" s="117" t="s">
        <v>471</v>
      </c>
      <c r="DA555" s="113" t="n">
        <f aca="false" ca="true" dt2D="false" dtr="false" t="normal">SUBTOTAL(9, DB555:DP555)</f>
        <v>3924859.571</v>
      </c>
      <c r="DB555" s="106" t="n"/>
      <c r="DC555" s="114" t="n">
        <v>0</v>
      </c>
      <c r="DD555" s="114" t="n">
        <v>3907208.06</v>
      </c>
      <c r="DE555" s="114" t="n">
        <v>0</v>
      </c>
      <c r="DF555" s="114" t="n">
        <v>0</v>
      </c>
      <c r="DG555" s="114" t="n"/>
      <c r="DH555" s="106" t="n"/>
      <c r="DI555" s="114" t="n">
        <v>0</v>
      </c>
      <c r="DJ555" s="114" t="n">
        <v>0</v>
      </c>
      <c r="DK555" s="114" t="n">
        <v>0</v>
      </c>
      <c r="DL555" s="114" t="n">
        <v>0</v>
      </c>
      <c r="DM555" s="114" t="n">
        <v>0</v>
      </c>
      <c r="DN555" s="114" t="n"/>
      <c r="DO555" s="114" t="n"/>
      <c r="DP555" s="115" t="n">
        <f aca="false" ca="false" dt2D="false" dtr="false" t="normal">15349.14*1.15</f>
        <v>17651.511</v>
      </c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</row>
    <row customFormat="true" hidden="false" ht="15" outlineLevel="0" r="556" s="1">
      <c r="A556" s="183" t="n">
        <f aca="false" ca="false" dt2D="false" dtr="false" t="normal">+A555+1</f>
        <v>534</v>
      </c>
      <c r="B556" s="117" t="n">
        <f aca="false" ca="false" dt2D="false" dtr="false" t="normal">+B555+1</f>
        <v>75</v>
      </c>
      <c r="C556" s="104" t="s">
        <v>78</v>
      </c>
      <c r="D556" s="104" t="s">
        <v>577</v>
      </c>
      <c r="E556" s="105" t="n">
        <v>1979</v>
      </c>
      <c r="F556" s="105" t="n">
        <v>2015</v>
      </c>
      <c r="G556" s="105" t="s">
        <v>68</v>
      </c>
      <c r="H556" s="105" t="n">
        <v>5</v>
      </c>
      <c r="I556" s="105" t="n">
        <v>4</v>
      </c>
      <c r="J556" s="106" t="n">
        <v>4063.4</v>
      </c>
      <c r="K556" s="106" t="n">
        <v>3700.2</v>
      </c>
      <c r="L556" s="106" t="n">
        <v>117.2</v>
      </c>
      <c r="M556" s="107" t="n">
        <v>192</v>
      </c>
      <c r="N556" s="108" t="n">
        <f aca="false" ca="false" dt2D="false" dtr="false" t="normal">SUM(P556:T556)</f>
        <v>13763761.14</v>
      </c>
      <c r="O556" s="106" t="n"/>
      <c r="P556" s="113" t="n">
        <v>687023.05</v>
      </c>
      <c r="Q556" s="114" t="n"/>
      <c r="R556" s="113" t="n">
        <v>1873324.27</v>
      </c>
      <c r="S556" s="113" t="n">
        <v>10704733.46</v>
      </c>
      <c r="T556" s="113" t="n">
        <v>498680.36</v>
      </c>
      <c r="U556" s="114" t="n">
        <v>3776.05893061532</v>
      </c>
      <c r="V556" s="114" t="n">
        <v>1222.283020064</v>
      </c>
      <c r="W556" s="110" t="n">
        <v>2024</v>
      </c>
      <c r="X556" s="9" t="e">
        <f aca="false" ca="false" dt2D="false" dtr="false" t="normal">+#REF!-'[9]Приложение №1'!$P962</f>
        <v>#REF!</v>
      </c>
      <c r="Z556" s="113" t="n">
        <f aca="false" ca="false" dt2D="false" dtr="false" t="normal">SUM(AA556:AO556)</f>
        <v>14237628.820496632</v>
      </c>
      <c r="AA556" s="106" t="n">
        <v>0</v>
      </c>
      <c r="AB556" s="106" t="n">
        <v>0</v>
      </c>
      <c r="AC556" s="106" t="n">
        <v>0</v>
      </c>
      <c r="AD556" s="106" t="n">
        <v>0</v>
      </c>
      <c r="AE556" s="106" t="n">
        <v>0</v>
      </c>
      <c r="AF556" s="106" t="n"/>
      <c r="AG556" s="106" t="n">
        <v>0</v>
      </c>
      <c r="AH556" s="106" t="n">
        <v>0</v>
      </c>
      <c r="AI556" s="106" t="n">
        <v>12539649.2073642</v>
      </c>
      <c r="AJ556" s="106" t="n">
        <v>0</v>
      </c>
      <c r="AK556" s="106" t="n">
        <v>0</v>
      </c>
      <c r="AL556" s="106" t="n">
        <v>0</v>
      </c>
      <c r="AM556" s="106" t="n">
        <v>1281386.5938447</v>
      </c>
      <c r="AN556" s="114" t="n">
        <v>142376.288204966</v>
      </c>
      <c r="AO556" s="115" t="n">
        <v>274216.731082765</v>
      </c>
      <c r="AP556" s="112" t="n">
        <f aca="false" ca="false" dt2D="false" dtr="false" t="normal">+N556-'Приложение №2'!E556</f>
        <v>0</v>
      </c>
      <c r="AQ556" s="1" t="n">
        <f aca="false" ca="false" dt2D="false" dtr="false" t="normal">2319947.14-868018.53</f>
        <v>1451928.61</v>
      </c>
      <c r="AR556" s="3" t="n">
        <f aca="false" ca="false" dt2D="false" dtr="false" t="normal">+(K556*10.5+L556*21)*12*0.85</f>
        <v>421395.66</v>
      </c>
      <c r="AS556" s="3" t="n">
        <f aca="false" ca="false" dt2D="false" dtr="false" t="normal">+(K556*10.5+L556*21)*12*30-4168054.54</f>
        <v>10704733.46</v>
      </c>
      <c r="AT556" s="9" t="n">
        <f aca="false" ca="false" dt2D="false" dtr="false" t="normal">+S556-AS556</f>
        <v>0</v>
      </c>
      <c r="AU556" s="9" t="e">
        <f aca="false" ca="false" dt2D="false" dtr="false" t="normal">+P556-'[5]Приложение №1'!$P507</f>
        <v>#REF!</v>
      </c>
      <c r="AV556" s="9" t="e">
        <f aca="false" ca="false" dt2D="false" dtr="false" t="normal">+Q556-'[5]Приложение №1'!$Q507</f>
        <v>#REF!</v>
      </c>
      <c r="AW556" s="186" t="n">
        <f aca="false" ca="true" dt2D="false" dtr="false" t="normal">SUBTOTAL(9, AX556:BL556)</f>
        <v>13972173.255062845</v>
      </c>
      <c r="AX556" s="106" t="n">
        <v>0</v>
      </c>
      <c r="AY556" s="106" t="n">
        <v>0</v>
      </c>
      <c r="AZ556" s="106" t="n">
        <v>0</v>
      </c>
      <c r="BA556" s="106" t="n">
        <v>0</v>
      </c>
      <c r="BB556" s="106" t="n">
        <v>0</v>
      </c>
      <c r="BC556" s="106" t="n"/>
      <c r="BD556" s="106" t="n"/>
      <c r="BE556" s="106" t="n">
        <v>0</v>
      </c>
      <c r="BF556" s="106" t="n">
        <v>13673168.7474045</v>
      </c>
      <c r="BG556" s="106" t="n">
        <v>0</v>
      </c>
      <c r="BH556" s="106" t="n">
        <v>0</v>
      </c>
      <c r="BI556" s="106" t="n">
        <v>0</v>
      </c>
      <c r="BJ556" s="106" t="n"/>
      <c r="BK556" s="114" t="n"/>
      <c r="BL556" s="115" t="n">
        <v>299004.507658344</v>
      </c>
      <c r="BM556" s="186" t="n">
        <f aca="false" ca="true" dt2D="false" dtr="false" t="normal">SUBTOTAL(9, BN556:CB556)</f>
        <v>13972173.255062845</v>
      </c>
      <c r="BN556" s="106" t="n">
        <v>0</v>
      </c>
      <c r="BO556" s="106" t="n">
        <v>0</v>
      </c>
      <c r="BP556" s="106" t="n">
        <v>0</v>
      </c>
      <c r="BQ556" s="106" t="n">
        <v>0</v>
      </c>
      <c r="BR556" s="106" t="n">
        <v>0</v>
      </c>
      <c r="BS556" s="106" t="n"/>
      <c r="BT556" s="106" t="n"/>
      <c r="BU556" s="106" t="n">
        <v>0</v>
      </c>
      <c r="BV556" s="106" t="n">
        <v>13673168.7474045</v>
      </c>
      <c r="BW556" s="106" t="n">
        <v>0</v>
      </c>
      <c r="BX556" s="106" t="n">
        <v>0</v>
      </c>
      <c r="BY556" s="106" t="n">
        <v>0</v>
      </c>
      <c r="BZ556" s="106" t="n"/>
      <c r="CA556" s="114" t="n"/>
      <c r="CB556" s="115" t="n">
        <v>299004.507658344</v>
      </c>
      <c r="CD556" s="116" t="n">
        <f aca="false" ca="false" dt2D="false" dtr="false" t="normal">+CD555+1</f>
        <v>534</v>
      </c>
      <c r="CE556" s="117" t="n">
        <f aca="false" ca="false" dt2D="false" dtr="false" t="normal">+CE555+1</f>
        <v>75</v>
      </c>
      <c r="CF556" s="104" t="s">
        <v>78</v>
      </c>
      <c r="CG556" s="117" t="s">
        <v>577</v>
      </c>
      <c r="CH556" s="108" t="n">
        <f aca="false" ca="true" dt2D="false" dtr="false" t="normal">SUBTOTAL(9, CI556:CW556)</f>
        <v>13972173.26</v>
      </c>
      <c r="CI556" s="106" t="n">
        <v>0</v>
      </c>
      <c r="CJ556" s="114" t="n">
        <v>0</v>
      </c>
      <c r="CK556" s="114" t="n">
        <v>0</v>
      </c>
      <c r="CL556" s="114" t="n">
        <v>0</v>
      </c>
      <c r="CM556" s="114" t="n">
        <v>0</v>
      </c>
      <c r="CN556" s="114" t="n"/>
      <c r="CO556" s="106" t="n"/>
      <c r="CP556" s="114" t="n">
        <v>0</v>
      </c>
      <c r="CQ556" s="114" t="n">
        <v>13673168.75</v>
      </c>
      <c r="CR556" s="114" t="n">
        <v>0</v>
      </c>
      <c r="CS556" s="114" t="n">
        <v>0</v>
      </c>
      <c r="CT556" s="114" t="n">
        <v>0</v>
      </c>
      <c r="CU556" s="114" t="n"/>
      <c r="CV556" s="114" t="n"/>
      <c r="CW556" s="115" t="n">
        <v>299004.51</v>
      </c>
      <c r="CX556" s="3" t="n">
        <f aca="false" ca="false" dt2D="false" dtr="false" t="normal">+N556-CH556</f>
        <v>-208412.11999999918</v>
      </c>
      <c r="CZ556" s="117" t="s">
        <v>577</v>
      </c>
      <c r="DA556" s="113" t="n">
        <f aca="false" ca="true" dt2D="false" dtr="false" t="normal">SUBTOTAL(9, DB556:DP556)</f>
        <v>13763761.1385</v>
      </c>
      <c r="DB556" s="106" t="n">
        <v>0</v>
      </c>
      <c r="DC556" s="114" t="n">
        <v>0</v>
      </c>
      <c r="DD556" s="114" t="n">
        <v>0</v>
      </c>
      <c r="DE556" s="114" t="n">
        <v>0</v>
      </c>
      <c r="DF556" s="114" t="n">
        <v>0</v>
      </c>
      <c r="DG556" s="114" t="n"/>
      <c r="DH556" s="106" t="n"/>
      <c r="DI556" s="114" t="n">
        <v>0</v>
      </c>
      <c r="DJ556" s="114" t="n">
        <v>13673168.75</v>
      </c>
      <c r="DK556" s="114" t="n">
        <v>0</v>
      </c>
      <c r="DL556" s="114" t="n">
        <v>0</v>
      </c>
      <c r="DM556" s="114" t="n">
        <v>0</v>
      </c>
      <c r="DN556" s="114" t="n"/>
      <c r="DO556" s="114" t="n"/>
      <c r="DP556" s="115" t="n">
        <f aca="false" ca="false" dt2D="false" dtr="false" t="normal">78775.99*1.15</f>
        <v>90592.3885</v>
      </c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</row>
    <row customFormat="true" hidden="false" ht="15" outlineLevel="0" r="557" s="1">
      <c r="A557" s="183" t="n">
        <f aca="false" ca="false" dt2D="false" dtr="false" t="normal">+A556+1</f>
        <v>535</v>
      </c>
      <c r="B557" s="117" t="n">
        <f aca="false" ca="false" dt2D="false" dtr="false" t="normal">+B556+1</f>
        <v>76</v>
      </c>
      <c r="C557" s="104" t="s">
        <v>78</v>
      </c>
      <c r="D557" s="104" t="s">
        <v>472</v>
      </c>
      <c r="E557" s="105" t="n">
        <v>1983</v>
      </c>
      <c r="F557" s="105" t="n">
        <v>2015</v>
      </c>
      <c r="G557" s="105" t="s">
        <v>68</v>
      </c>
      <c r="H557" s="105" t="n">
        <v>5</v>
      </c>
      <c r="I557" s="105" t="n">
        <v>4</v>
      </c>
      <c r="J557" s="106" t="n">
        <v>4471.9</v>
      </c>
      <c r="K557" s="106" t="n">
        <v>3791</v>
      </c>
      <c r="L557" s="106" t="n">
        <v>256.8</v>
      </c>
      <c r="M557" s="107" t="n">
        <v>156</v>
      </c>
      <c r="N557" s="108" t="n">
        <f aca="false" ca="false" dt2D="false" dtr="false" t="normal">SUM(P557:T557)</f>
        <v>8919071.24</v>
      </c>
      <c r="O557" s="106" t="n"/>
      <c r="P557" s="114" t="n"/>
      <c r="Q557" s="114" t="n"/>
      <c r="R557" s="113" t="n">
        <v>2291706.33</v>
      </c>
      <c r="S557" s="113" t="n">
        <v>6627364.91</v>
      </c>
      <c r="T557" s="114" t="n"/>
      <c r="U557" s="106" t="n">
        <v>3367.46695870925</v>
      </c>
      <c r="V557" s="106" t="n">
        <v>3367.46695870925</v>
      </c>
      <c r="W557" s="110" t="n">
        <v>2024</v>
      </c>
      <c r="X557" s="9" t="e">
        <f aca="false" ca="false" dt2D="false" dtr="false" t="normal">+#REF!-'[9]Приложение №1'!$P1349</f>
        <v>#REF!</v>
      </c>
      <c r="Z557" s="113" t="n">
        <f aca="false" ca="false" dt2D="false" dtr="false" t="normal">SUM(AA557:AO557)</f>
        <v>12482547.809364172</v>
      </c>
      <c r="AA557" s="106" t="n">
        <v>7789654.82480605</v>
      </c>
      <c r="AB557" s="106" t="n">
        <v>0</v>
      </c>
      <c r="AC557" s="106" t="n">
        <v>0</v>
      </c>
      <c r="AD557" s="106" t="n">
        <v>3143610.49371558</v>
      </c>
      <c r="AE557" s="106" t="n">
        <v>0</v>
      </c>
      <c r="AF557" s="106" t="n"/>
      <c r="AG557" s="106" t="n">
        <v>0</v>
      </c>
      <c r="AH557" s="106" t="n">
        <v>0</v>
      </c>
      <c r="AI557" s="106" t="n">
        <v>0</v>
      </c>
      <c r="AJ557" s="106" t="n">
        <v>0</v>
      </c>
      <c r="AK557" s="106" t="n">
        <v>0</v>
      </c>
      <c r="AL557" s="106" t="n">
        <v>0</v>
      </c>
      <c r="AM557" s="106" t="n">
        <v>1185368.64383784</v>
      </c>
      <c r="AN557" s="114" t="n">
        <v>124825.478093642</v>
      </c>
      <c r="AO557" s="115" t="n">
        <v>239088.36891106</v>
      </c>
      <c r="AP557" s="112" t="n">
        <f aca="false" ca="false" dt2D="false" dtr="false" t="normal">+N557-'Приложение №2'!E557</f>
        <v>0</v>
      </c>
      <c r="AQ557" s="1" t="n">
        <v>1796152.17</v>
      </c>
      <c r="AR557" s="3" t="n">
        <f aca="false" ca="false" dt2D="false" dtr="false" t="normal">+(K557*10+L557*20)*12*0.85</f>
        <v>439069.2</v>
      </c>
      <c r="AS557" s="3" t="n">
        <f aca="false" ca="false" dt2D="false" dtr="false" t="normal">+(K557*10+L557*20)*12*30</f>
        <v>15496560</v>
      </c>
      <c r="AT557" s="9" t="n">
        <f aca="false" ca="false" dt2D="false" dtr="false" t="normal">+S557-AS557</f>
        <v>-8869195.09</v>
      </c>
      <c r="AU557" s="9" t="e">
        <f aca="false" ca="false" dt2D="false" dtr="false" t="normal">+P557-'[5]Приложение №1'!$P255</f>
        <v>#REF!</v>
      </c>
      <c r="AV557" s="9" t="e">
        <f aca="false" ca="false" dt2D="false" dtr="false" t="normal">+Q557-'[5]Приложение №1'!$Q255</f>
        <v>#REF!</v>
      </c>
      <c r="AW557" s="113" t="n">
        <f aca="false" ca="true" dt2D="false" dtr="false" t="normal">SUBTOTAL(9, AX557:BL557)</f>
        <v>13630832.755463308</v>
      </c>
      <c r="AX557" s="106" t="n">
        <v>9909305.83</v>
      </c>
      <c r="AY557" s="106" t="n">
        <v>0</v>
      </c>
      <c r="AZ557" s="106" t="n">
        <v>0</v>
      </c>
      <c r="BA557" s="106" t="n">
        <v>3466626.61499212</v>
      </c>
      <c r="BB557" s="106" t="n">
        <v>0</v>
      </c>
      <c r="BC557" s="106" t="n"/>
      <c r="BD557" s="106" t="n"/>
      <c r="BE557" s="106" t="n">
        <v>0</v>
      </c>
      <c r="BF557" s="106" t="n">
        <v>0</v>
      </c>
      <c r="BG557" s="106" t="n">
        <v>0</v>
      </c>
      <c r="BH557" s="106" t="n">
        <v>0</v>
      </c>
      <c r="BI557" s="106" t="n">
        <v>0</v>
      </c>
      <c r="BJ557" s="106" t="n"/>
      <c r="BK557" s="114" t="n"/>
      <c r="BL557" s="115" t="n">
        <v>254900.310471189</v>
      </c>
      <c r="BM557" s="113" t="n">
        <f aca="false" ca="true" dt2D="false" dtr="false" t="normal">SUBTOTAL(9, BN557:CB557)</f>
        <v>13630832.755463308</v>
      </c>
      <c r="BN557" s="106" t="n">
        <v>9909305.83</v>
      </c>
      <c r="BO557" s="106" t="n">
        <v>0</v>
      </c>
      <c r="BP557" s="106" t="n">
        <v>0</v>
      </c>
      <c r="BQ557" s="106" t="n">
        <v>3466626.61499212</v>
      </c>
      <c r="BR557" s="106" t="n">
        <v>0</v>
      </c>
      <c r="BS557" s="106" t="n"/>
      <c r="BT557" s="106" t="n"/>
      <c r="BU557" s="106" t="n">
        <v>0</v>
      </c>
      <c r="BV557" s="106" t="n">
        <v>0</v>
      </c>
      <c r="BW557" s="106" t="n">
        <v>0</v>
      </c>
      <c r="BX557" s="106" t="n">
        <v>0</v>
      </c>
      <c r="BY557" s="106" t="n">
        <v>0</v>
      </c>
      <c r="BZ557" s="106" t="n"/>
      <c r="CA557" s="114" t="n"/>
      <c r="CB557" s="115" t="n">
        <v>254900.310471189</v>
      </c>
      <c r="CD557" s="116" t="n">
        <f aca="false" ca="false" dt2D="false" dtr="false" t="normal">+CD556+1</f>
        <v>535</v>
      </c>
      <c r="CE557" s="117" t="n">
        <f aca="false" ca="false" dt2D="false" dtr="false" t="normal">+CE556+1</f>
        <v>76</v>
      </c>
      <c r="CF557" s="104" t="s">
        <v>78</v>
      </c>
      <c r="CG557" s="117" t="s">
        <v>472</v>
      </c>
      <c r="CH557" s="108" t="n">
        <f aca="false" ca="true" dt2D="false" dtr="false" t="normal">SUBTOTAL(9, CI557:CW557)</f>
        <v>9069668.91</v>
      </c>
      <c r="CI557" s="106" t="n">
        <v>6279592.82</v>
      </c>
      <c r="CJ557" s="114" t="n">
        <v>0</v>
      </c>
      <c r="CK557" s="114" t="n">
        <v>0</v>
      </c>
      <c r="CL557" s="243" t="n">
        <v>2535175.78</v>
      </c>
      <c r="CM557" s="114" t="n">
        <v>0</v>
      </c>
      <c r="CN557" s="114" t="n"/>
      <c r="CO557" s="106" t="n"/>
      <c r="CP557" s="114" t="n">
        <v>0</v>
      </c>
      <c r="CQ557" s="114" t="n">
        <v>0</v>
      </c>
      <c r="CR557" s="114" t="n">
        <v>0</v>
      </c>
      <c r="CS557" s="114" t="n">
        <v>0</v>
      </c>
      <c r="CT557" s="114" t="n">
        <v>0</v>
      </c>
      <c r="CU557" s="114" t="n"/>
      <c r="CV557" s="114" t="n"/>
      <c r="CW557" s="115" t="n">
        <v>254900.31</v>
      </c>
      <c r="CX557" s="3" t="n">
        <f aca="false" ca="false" dt2D="false" dtr="false" t="normal">+N557-CH557</f>
        <v>-150597.66999999993</v>
      </c>
      <c r="CZ557" s="117" t="s">
        <v>472</v>
      </c>
      <c r="DA557" s="113" t="n">
        <f aca="false" ca="true" dt2D="false" dtr="false" t="normal">SUBTOTAL(9, DB557:DP557)</f>
        <v>8919071.2425</v>
      </c>
      <c r="DB557" s="106" t="n">
        <v>6279592.82</v>
      </c>
      <c r="DC557" s="114" t="n">
        <v>0</v>
      </c>
      <c r="DD557" s="114" t="n">
        <v>0</v>
      </c>
      <c r="DE557" s="243" t="n">
        <v>2535175.78</v>
      </c>
      <c r="DF557" s="114" t="n">
        <v>0</v>
      </c>
      <c r="DG557" s="114" t="n"/>
      <c r="DH557" s="106" t="n"/>
      <c r="DI557" s="114" t="n">
        <v>0</v>
      </c>
      <c r="DJ557" s="114" t="n">
        <v>0</v>
      </c>
      <c r="DK557" s="114" t="n">
        <v>0</v>
      </c>
      <c r="DL557" s="114" t="n">
        <v>0</v>
      </c>
      <c r="DM557" s="114" t="n">
        <v>0</v>
      </c>
      <c r="DN557" s="114" t="n"/>
      <c r="DO557" s="114" t="n"/>
      <c r="DP557" s="115" t="n">
        <f aca="false" ca="false" dt2D="false" dtr="false" t="normal">(69186.01+21511.94)*1.15</f>
        <v>104302.64249999999</v>
      </c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</row>
    <row customFormat="true" hidden="false" ht="15" outlineLevel="0" r="558" s="1">
      <c r="A558" s="183" t="n">
        <f aca="false" ca="false" dt2D="false" dtr="false" t="normal">+A557+1</f>
        <v>536</v>
      </c>
      <c r="B558" s="117" t="n">
        <f aca="false" ca="false" dt2D="false" dtr="false" t="normal">+B557+1</f>
        <v>77</v>
      </c>
      <c r="C558" s="104" t="s">
        <v>78</v>
      </c>
      <c r="D558" s="104" t="s">
        <v>578</v>
      </c>
      <c r="E558" s="105" t="n">
        <v>1983</v>
      </c>
      <c r="F558" s="105" t="n">
        <v>2015</v>
      </c>
      <c r="G558" s="105" t="s">
        <v>68</v>
      </c>
      <c r="H558" s="105" t="n">
        <v>5</v>
      </c>
      <c r="I558" s="105" t="n">
        <v>3</v>
      </c>
      <c r="J558" s="106" t="n">
        <v>5101.8</v>
      </c>
      <c r="K558" s="106" t="n">
        <v>4226.1</v>
      </c>
      <c r="L558" s="106" t="n">
        <v>155.6</v>
      </c>
      <c r="M558" s="107" t="n">
        <v>188</v>
      </c>
      <c r="N558" s="108" t="n">
        <f aca="false" ca="false" dt2D="false" dtr="false" t="normal">SUM(P558:T558)</f>
        <v>12174508.94</v>
      </c>
      <c r="O558" s="106" t="n"/>
      <c r="P558" s="113" t="n">
        <v>731797.73</v>
      </c>
      <c r="Q558" s="114" t="n"/>
      <c r="R558" s="113" t="n">
        <v>3549133.2</v>
      </c>
      <c r="S558" s="113" t="n">
        <v>7893578.01</v>
      </c>
      <c r="T558" s="114" t="n"/>
      <c r="U558" s="106" t="n">
        <v>3308.88552990623</v>
      </c>
      <c r="V558" s="106" t="n">
        <v>3308.88552990623</v>
      </c>
      <c r="W558" s="110" t="n">
        <v>2024</v>
      </c>
      <c r="X558" s="9" t="e">
        <f aca="false" ca="false" dt2D="false" dtr="false" t="normal">+#REF!-'[9]Приложение №1'!$P1350</f>
        <v>#REF!</v>
      </c>
      <c r="Z558" s="113" t="n">
        <f aca="false" ca="false" dt2D="false" dtr="false" t="normal">SUM(AA558:AO558)</f>
        <v>13740614.366325345</v>
      </c>
      <c r="AA558" s="106" t="n">
        <v>8574743.28391117</v>
      </c>
      <c r="AB558" s="106" t="n">
        <v>0</v>
      </c>
      <c r="AC558" s="106" t="n">
        <v>0</v>
      </c>
      <c r="AD558" s="106" t="n">
        <v>3460442.54520502</v>
      </c>
      <c r="AE558" s="106" t="n">
        <v>0</v>
      </c>
      <c r="AF558" s="106" t="n"/>
      <c r="AG558" s="106" t="n">
        <v>0</v>
      </c>
      <c r="AH558" s="106" t="n">
        <v>0</v>
      </c>
      <c r="AI558" s="106" t="n">
        <v>0</v>
      </c>
      <c r="AJ558" s="106" t="n">
        <v>0</v>
      </c>
      <c r="AK558" s="106" t="n">
        <v>0</v>
      </c>
      <c r="AL558" s="106" t="n">
        <v>0</v>
      </c>
      <c r="AM558" s="106" t="n">
        <v>1304837.25483439</v>
      </c>
      <c r="AN558" s="114" t="n">
        <v>137406.143663254</v>
      </c>
      <c r="AO558" s="115" t="n">
        <v>263185.138711513</v>
      </c>
      <c r="AP558" s="112" t="n">
        <f aca="false" ca="false" dt2D="false" dtr="false" t="normal">+N558-'Приложение №2'!E558</f>
        <v>0</v>
      </c>
      <c r="AQ558" s="1" t="n">
        <v>2091553.56</v>
      </c>
      <c r="AR558" s="3" t="n">
        <f aca="false" ca="false" dt2D="false" dtr="false" t="normal">+(K558*10+L558*20)*12*0.85</f>
        <v>462804.6</v>
      </c>
      <c r="AS558" s="3" t="n">
        <f aca="false" ca="false" dt2D="false" dtr="false" t="normal">+(K558*10+L558*20)*12*30</f>
        <v>16334280</v>
      </c>
      <c r="AT558" s="9" t="n">
        <f aca="false" ca="false" dt2D="false" dtr="false" t="normal">+S558-AS558</f>
        <v>-8440701.99</v>
      </c>
      <c r="AU558" s="9" t="e">
        <f aca="false" ca="false" dt2D="false" dtr="false" t="normal">+P558-'[5]Приложение №1'!$P256</f>
        <v>#REF!</v>
      </c>
      <c r="AV558" s="9" t="e">
        <f aca="false" ca="false" dt2D="false" dtr="false" t="normal">+Q558-'[5]Приложение №1'!$Q256</f>
        <v>#REF!</v>
      </c>
      <c r="AW558" s="113" t="n">
        <f aca="false" ca="true" dt2D="false" dtr="false" t="normal">SUBTOTAL(9, AX558:BL558)</f>
        <v>14498543.726390138</v>
      </c>
      <c r="AX558" s="106" t="n">
        <v>10454253.24</v>
      </c>
      <c r="AY558" s="106" t="n">
        <v>0</v>
      </c>
      <c r="AZ558" s="106" t="n">
        <v>0</v>
      </c>
      <c r="BA558" s="106" t="n">
        <v>3766945.29520917</v>
      </c>
      <c r="BB558" s="106" t="n">
        <v>0</v>
      </c>
      <c r="BC558" s="106" t="n"/>
      <c r="BD558" s="106" t="n"/>
      <c r="BE558" s="106" t="n">
        <v>0</v>
      </c>
      <c r="BF558" s="106" t="n">
        <v>0</v>
      </c>
      <c r="BG558" s="106" t="n">
        <v>0</v>
      </c>
      <c r="BH558" s="106" t="n">
        <v>0</v>
      </c>
      <c r="BI558" s="106" t="n">
        <v>0</v>
      </c>
      <c r="BJ558" s="106" t="n"/>
      <c r="BK558" s="114" t="n"/>
      <c r="BL558" s="115" t="n">
        <v>277345.191180969</v>
      </c>
      <c r="BM558" s="113" t="n">
        <f aca="false" ca="true" dt2D="false" dtr="false" t="normal">SUBTOTAL(9, BN558:CB558)</f>
        <v>14498543.726390138</v>
      </c>
      <c r="BN558" s="106" t="n">
        <v>10454253.24</v>
      </c>
      <c r="BO558" s="106" t="n">
        <v>0</v>
      </c>
      <c r="BP558" s="106" t="n">
        <v>0</v>
      </c>
      <c r="BQ558" s="106" t="n">
        <v>3766945.29520917</v>
      </c>
      <c r="BR558" s="106" t="n">
        <v>0</v>
      </c>
      <c r="BS558" s="106" t="n"/>
      <c r="BT558" s="106" t="n"/>
      <c r="BU558" s="106" t="n">
        <v>0</v>
      </c>
      <c r="BV558" s="106" t="n">
        <v>0</v>
      </c>
      <c r="BW558" s="106" t="n">
        <v>0</v>
      </c>
      <c r="BX558" s="106" t="n">
        <v>0</v>
      </c>
      <c r="BY558" s="106" t="n">
        <v>0</v>
      </c>
      <c r="BZ558" s="106" t="n"/>
      <c r="CA558" s="114" t="n"/>
      <c r="CB558" s="115" t="n">
        <v>277345.191180969</v>
      </c>
      <c r="CD558" s="116" t="n">
        <f aca="false" ca="false" dt2D="false" dtr="false" t="normal">+CD557+1</f>
        <v>536</v>
      </c>
      <c r="CE558" s="117" t="n">
        <f aca="false" ca="false" dt2D="false" dtr="false" t="normal">+CE557+1</f>
        <v>77</v>
      </c>
      <c r="CF558" s="104" t="s">
        <v>78</v>
      </c>
      <c r="CG558" s="117" t="s">
        <v>578</v>
      </c>
      <c r="CH558" s="108" t="n">
        <f aca="false" ca="true" dt2D="false" dtr="false" t="normal">SUBTOTAL(9, CI558:CW558)</f>
        <v>12340909.85</v>
      </c>
      <c r="CI558" s="106" t="n">
        <v>7987299.3</v>
      </c>
      <c r="CJ558" s="114" t="n">
        <v>0</v>
      </c>
      <c r="CK558" s="114" t="n">
        <v>0</v>
      </c>
      <c r="CL558" s="243" t="n">
        <v>4076265.36</v>
      </c>
      <c r="CM558" s="114" t="n">
        <v>0</v>
      </c>
      <c r="CN558" s="114" t="n"/>
      <c r="CO558" s="106" t="n"/>
      <c r="CP558" s="114" t="n">
        <v>0</v>
      </c>
      <c r="CQ558" s="114" t="n">
        <v>0</v>
      </c>
      <c r="CR558" s="114" t="n">
        <v>0</v>
      </c>
      <c r="CS558" s="114" t="n">
        <v>0</v>
      </c>
      <c r="CT558" s="114" t="n">
        <v>0</v>
      </c>
      <c r="CU558" s="114" t="n"/>
      <c r="CV558" s="114" t="n"/>
      <c r="CW558" s="115" t="n">
        <v>277345.19</v>
      </c>
      <c r="CX558" s="3" t="n">
        <f aca="false" ca="false" dt2D="false" dtr="false" t="normal">+N558-CH558</f>
        <v>-166400.91000000015</v>
      </c>
      <c r="CZ558" s="117" t="s">
        <v>578</v>
      </c>
      <c r="DA558" s="113" t="n">
        <f aca="false" ca="true" dt2D="false" dtr="false" t="normal">SUBTOTAL(9, DB558:DP558)</f>
        <v>12174508.943500001</v>
      </c>
      <c r="DB558" s="106" t="n">
        <v>7987299.3</v>
      </c>
      <c r="DC558" s="114" t="n">
        <v>0</v>
      </c>
      <c r="DD558" s="114" t="n">
        <v>0</v>
      </c>
      <c r="DE558" s="243" t="n">
        <v>4076265.36</v>
      </c>
      <c r="DF558" s="114" t="n">
        <v>0</v>
      </c>
      <c r="DG558" s="114" t="n"/>
      <c r="DH558" s="106" t="n"/>
      <c r="DI558" s="114" t="n">
        <v>0</v>
      </c>
      <c r="DJ558" s="114" t="n">
        <v>0</v>
      </c>
      <c r="DK558" s="114" t="n">
        <v>0</v>
      </c>
      <c r="DL558" s="114" t="n">
        <v>0</v>
      </c>
      <c r="DM558" s="114" t="n">
        <v>0</v>
      </c>
      <c r="DN558" s="114" t="n"/>
      <c r="DO558" s="114" t="n"/>
      <c r="DP558" s="115" t="n">
        <f aca="false" ca="false" dt2D="false" dtr="false" t="normal">(71347.14+25126.15)*1.15</f>
        <v>110944.2835</v>
      </c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</row>
    <row customFormat="true" hidden="false" ht="15" outlineLevel="0" r="559" s="1">
      <c r="A559" s="183" t="n">
        <f aca="false" ca="false" dt2D="false" dtr="false" t="normal">+A558+1</f>
        <v>537</v>
      </c>
      <c r="B559" s="117" t="n">
        <f aca="false" ca="false" dt2D="false" dtr="false" t="normal">+B558+1</f>
        <v>78</v>
      </c>
      <c r="C559" s="104" t="s">
        <v>78</v>
      </c>
      <c r="D559" s="104" t="s">
        <v>475</v>
      </c>
      <c r="E559" s="105" t="n">
        <v>1996</v>
      </c>
      <c r="F559" s="105" t="n">
        <v>1996</v>
      </c>
      <c r="G559" s="105" t="s">
        <v>68</v>
      </c>
      <c r="H559" s="105" t="n">
        <v>3</v>
      </c>
      <c r="I559" s="105" t="n">
        <v>2</v>
      </c>
      <c r="J559" s="106" t="n">
        <v>1212.9</v>
      </c>
      <c r="K559" s="106" t="n">
        <v>969.5</v>
      </c>
      <c r="L559" s="106" t="n">
        <v>83.1</v>
      </c>
      <c r="M559" s="107" t="n">
        <v>29</v>
      </c>
      <c r="N559" s="108" t="n">
        <f aca="false" ca="false" dt2D="false" dtr="false" t="normal">SUM(P559:T559)</f>
        <v>4291004.16</v>
      </c>
      <c r="O559" s="106" t="n"/>
      <c r="P559" s="113" t="n">
        <v>1063992.56</v>
      </c>
      <c r="Q559" s="114" t="n"/>
      <c r="R559" s="113" t="n">
        <v>121633.47</v>
      </c>
      <c r="S559" s="113" t="n">
        <v>1672272.69</v>
      </c>
      <c r="T559" s="113" t="n">
        <v>1433105.44</v>
      </c>
      <c r="U559" s="114" t="n">
        <v>4522.78465894971</v>
      </c>
      <c r="V559" s="114" t="n">
        <v>1230.283020064</v>
      </c>
      <c r="W559" s="110" t="n">
        <v>2024</v>
      </c>
      <c r="X559" s="9" t="e">
        <f aca="false" ca="false" dt2D="false" dtr="false" t="normal">+#REF!-'[9]Приложение №1'!$P596</f>
        <v>#REF!</v>
      </c>
      <c r="Z559" s="113" t="n">
        <f aca="false" ca="false" dt2D="false" dtr="false" t="normal">SUM(AA559:AO559)</f>
        <v>8757819.84</v>
      </c>
      <c r="AA559" s="106" t="n">
        <v>4004514.18214848</v>
      </c>
      <c r="AB559" s="106" t="n">
        <v>2086346.47769856</v>
      </c>
      <c r="AC559" s="106" t="n">
        <v>863302.1465376</v>
      </c>
      <c r="AD559" s="106" t="n">
        <v>448610.79529728</v>
      </c>
      <c r="AE559" s="106" t="n">
        <v>0</v>
      </c>
      <c r="AF559" s="106" t="n"/>
      <c r="AG559" s="106" t="n">
        <v>327305.36184192</v>
      </c>
      <c r="AH559" s="106" t="n">
        <v>0</v>
      </c>
      <c r="AI559" s="106" t="n">
        <v>0</v>
      </c>
      <c r="AJ559" s="106" t="n">
        <v>0</v>
      </c>
      <c r="AK559" s="106" t="n">
        <v>0</v>
      </c>
      <c r="AL559" s="106" t="n">
        <v>0</v>
      </c>
      <c r="AM559" s="106" t="n">
        <v>771121.5072</v>
      </c>
      <c r="AN559" s="114" t="n">
        <v>87578.1984</v>
      </c>
      <c r="AO559" s="115" t="n">
        <v>169041.17087616</v>
      </c>
      <c r="AP559" s="112" t="n">
        <f aca="false" ca="false" dt2D="false" dtr="false" t="normal">+N559-'Приложение №2'!E559</f>
        <v>0</v>
      </c>
      <c r="AQ559" s="121" t="n">
        <f aca="false" ca="false" dt2D="false" dtr="false" t="normal">672957.62-R395</f>
        <v>-121633.46999999997</v>
      </c>
      <c r="AR559" s="3" t="n">
        <f aca="false" ca="false" dt2D="false" dtr="false" t="normal">+(K559*10.5+L559*21)*12*0.85</f>
        <v>121633.47</v>
      </c>
      <c r="AS559" s="3" t="n">
        <f aca="false" ca="false" dt2D="false" dtr="false" t="normal">+(K559*10.5+L559*21)*12*30-S395</f>
        <v>2239196.06</v>
      </c>
      <c r="AT559" s="9" t="n">
        <f aca="false" ca="false" dt2D="false" dtr="false" t="normal">+S559-AS559</f>
        <v>-566923.3700000001</v>
      </c>
      <c r="AU559" s="9" t="e">
        <f aca="false" ca="false" dt2D="false" dtr="false" t="normal">+P559-'[5]Приложение №1'!$P514</f>
        <v>#REF!</v>
      </c>
      <c r="AV559" s="9" t="e">
        <f aca="false" ca="false" dt2D="false" dtr="false" t="normal">+Q559-'[5]Приложение №1'!$Q514</f>
        <v>#REF!</v>
      </c>
      <c r="AW559" s="186" t="n">
        <f aca="false" ca="true" dt2D="false" dtr="false" t="normal">SUBTOTAL(9, AX559:BL559)</f>
        <v>4384839.726851737</v>
      </c>
      <c r="AX559" s="106" t="n"/>
      <c r="AY559" s="106" t="n"/>
      <c r="AZ559" s="106" t="n"/>
      <c r="BA559" s="106" t="n"/>
      <c r="BB559" s="106" t="n">
        <v>0</v>
      </c>
      <c r="BC559" s="106" t="n"/>
      <c r="BD559" s="106" t="n"/>
      <c r="BE559" s="106" t="n">
        <v>0</v>
      </c>
      <c r="BF559" s="106" t="n">
        <v>0</v>
      </c>
      <c r="BG559" s="106" t="n">
        <v>4291004.15669711</v>
      </c>
      <c r="BH559" s="106" t="n">
        <v>0</v>
      </c>
      <c r="BI559" s="106" t="n">
        <v>0</v>
      </c>
      <c r="BJ559" s="106" t="n"/>
      <c r="BK559" s="114" t="n"/>
      <c r="BL559" s="115" t="n">
        <v>93835.5701546273</v>
      </c>
      <c r="BM559" s="186" t="n">
        <f aca="false" ca="true" dt2D="false" dtr="false" t="normal">SUBTOTAL(9, BN559:CB559)</f>
        <v>4384839.726851737</v>
      </c>
      <c r="BN559" s="106" t="n"/>
      <c r="BO559" s="106" t="n"/>
      <c r="BP559" s="106" t="n"/>
      <c r="BQ559" s="106" t="n"/>
      <c r="BR559" s="106" t="n">
        <v>0</v>
      </c>
      <c r="BS559" s="106" t="n"/>
      <c r="BT559" s="106" t="n"/>
      <c r="BU559" s="106" t="n">
        <v>0</v>
      </c>
      <c r="BV559" s="106" t="n">
        <v>0</v>
      </c>
      <c r="BW559" s="106" t="n">
        <v>4291004.15669711</v>
      </c>
      <c r="BX559" s="106" t="n">
        <v>0</v>
      </c>
      <c r="BY559" s="106" t="n">
        <v>0</v>
      </c>
      <c r="BZ559" s="106" t="n"/>
      <c r="CA559" s="114" t="n"/>
      <c r="CB559" s="115" t="n">
        <v>93835.5701546273</v>
      </c>
      <c r="CD559" s="116" t="n">
        <f aca="false" ca="false" dt2D="false" dtr="false" t="normal">+CD558+1</f>
        <v>537</v>
      </c>
      <c r="CE559" s="117" t="n">
        <f aca="false" ca="false" dt2D="false" dtr="false" t="normal">+CE558+1</f>
        <v>78</v>
      </c>
      <c r="CF559" s="104" t="s">
        <v>78</v>
      </c>
      <c r="CG559" s="117" t="s">
        <v>475</v>
      </c>
      <c r="CH559" s="108" t="n">
        <f aca="false" ca="true" dt2D="false" dtr="false" t="normal">SUBTOTAL(9, CI559:CW559)</f>
        <v>4291004.16</v>
      </c>
      <c r="CI559" s="106" t="n"/>
      <c r="CJ559" s="114" t="n"/>
      <c r="CK559" s="114" t="n"/>
      <c r="CL559" s="114" t="n"/>
      <c r="CM559" s="114" t="n">
        <v>0</v>
      </c>
      <c r="CN559" s="114" t="n"/>
      <c r="CO559" s="106" t="n"/>
      <c r="CP559" s="114" t="n">
        <v>0</v>
      </c>
      <c r="CQ559" s="114" t="n">
        <v>0</v>
      </c>
      <c r="CR559" s="114" t="n">
        <v>4291004.16</v>
      </c>
      <c r="CS559" s="114" t="n">
        <v>0</v>
      </c>
      <c r="CT559" s="114" t="n">
        <v>0</v>
      </c>
      <c r="CU559" s="114" t="n"/>
      <c r="CV559" s="114" t="n"/>
      <c r="CW559" s="115" t="n"/>
      <c r="CX559" s="3" t="n">
        <f aca="false" ca="false" dt2D="false" dtr="false" t="normal">+N559-CH559</f>
        <v>0</v>
      </c>
      <c r="CZ559" s="117" t="s">
        <v>475</v>
      </c>
      <c r="DA559" s="113" t="n">
        <f aca="false" ca="true" dt2D="false" dtr="false" t="normal">SUBTOTAL(9, DB559:DP559)</f>
        <v>4291004.16</v>
      </c>
      <c r="DB559" s="106" t="n"/>
      <c r="DC559" s="114" t="n"/>
      <c r="DD559" s="114" t="n"/>
      <c r="DE559" s="243" t="n"/>
      <c r="DF559" s="114" t="n">
        <v>0</v>
      </c>
      <c r="DG559" s="114" t="n"/>
      <c r="DH559" s="106" t="n"/>
      <c r="DI559" s="114" t="n">
        <v>0</v>
      </c>
      <c r="DJ559" s="114" t="n">
        <v>0</v>
      </c>
      <c r="DK559" s="114" t="n">
        <v>4291004.16</v>
      </c>
      <c r="DL559" s="114" t="n">
        <v>0</v>
      </c>
      <c r="DM559" s="114" t="n">
        <v>0</v>
      </c>
      <c r="DN559" s="114" t="n"/>
      <c r="DO559" s="114" t="n"/>
      <c r="DP559" s="240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</row>
    <row customFormat="true" hidden="false" ht="15" outlineLevel="0" r="560" s="1">
      <c r="A560" s="183" t="n">
        <f aca="false" ca="false" dt2D="false" dtr="false" t="normal">+A559+1</f>
        <v>538</v>
      </c>
      <c r="B560" s="117" t="n">
        <f aca="false" ca="false" dt2D="false" dtr="false" t="normal">+B559+1</f>
        <v>79</v>
      </c>
      <c r="C560" s="104" t="s">
        <v>78</v>
      </c>
      <c r="D560" s="104" t="s">
        <v>579</v>
      </c>
      <c r="E560" s="105" t="n">
        <v>1992</v>
      </c>
      <c r="F560" s="105" t="n">
        <v>1992</v>
      </c>
      <c r="G560" s="105" t="s">
        <v>68</v>
      </c>
      <c r="H560" s="105" t="n">
        <v>2</v>
      </c>
      <c r="I560" s="105" t="n">
        <v>8</v>
      </c>
      <c r="J560" s="106" t="n">
        <v>962.7</v>
      </c>
      <c r="K560" s="106" t="n">
        <v>961.6</v>
      </c>
      <c r="L560" s="106" t="n">
        <v>0</v>
      </c>
      <c r="M560" s="107" t="n">
        <v>42</v>
      </c>
      <c r="N560" s="108" t="n">
        <f aca="false" ca="false" dt2D="false" dtr="false" t="normal">SUM(P560:T560)</f>
        <v>21516947.67</v>
      </c>
      <c r="O560" s="106" t="n"/>
      <c r="P560" s="113" t="n">
        <v>534822.97</v>
      </c>
      <c r="Q560" s="114" t="n"/>
      <c r="R560" s="113" t="n">
        <v>706513.82</v>
      </c>
      <c r="S560" s="113" t="n">
        <v>3634848</v>
      </c>
      <c r="T560" s="113" t="n">
        <v>16640762.88</v>
      </c>
      <c r="U560" s="114" t="n">
        <v>22867.4703734881</v>
      </c>
      <c r="V560" s="114" t="n">
        <v>1227.283020064</v>
      </c>
      <c r="W560" s="110" t="n">
        <v>2024</v>
      </c>
      <c r="X560" s="9" t="e">
        <f aca="false" ca="false" dt2D="false" dtr="false" t="normal">+#REF!-'[9]Приложение №1'!$P966</f>
        <v>#REF!</v>
      </c>
      <c r="Z560" s="113" t="n">
        <f aca="false" ca="false" dt2D="false" dtr="false" t="normal">SUM(AA560:AO560)</f>
        <v>20215689.169999998</v>
      </c>
      <c r="AA560" s="106" t="n">
        <v>0</v>
      </c>
      <c r="AB560" s="106" t="n">
        <v>0</v>
      </c>
      <c r="AC560" s="106" t="n">
        <v>0</v>
      </c>
      <c r="AD560" s="106" t="n">
        <v>0</v>
      </c>
      <c r="AE560" s="106" t="n">
        <v>0</v>
      </c>
      <c r="AF560" s="106" t="n"/>
      <c r="AG560" s="106" t="n">
        <v>0</v>
      </c>
      <c r="AH560" s="106" t="n">
        <v>0</v>
      </c>
      <c r="AI560" s="106" t="n">
        <v>8186116.5976968</v>
      </c>
      <c r="AJ560" s="106" t="n">
        <v>0</v>
      </c>
      <c r="AK560" s="106" t="n">
        <v>9511775.5987569</v>
      </c>
      <c r="AL560" s="106" t="n">
        <v>0</v>
      </c>
      <c r="AM560" s="106" t="n">
        <v>1928623.0238</v>
      </c>
      <c r="AN560" s="114" t="n">
        <v>202156.8917</v>
      </c>
      <c r="AO560" s="115" t="n">
        <v>387017.0580463</v>
      </c>
      <c r="AP560" s="112" t="n">
        <f aca="false" ca="false" dt2D="false" dtr="false" t="normal">+N560-'Приложение №2'!E560</f>
        <v>0</v>
      </c>
      <c r="AQ560" s="121" t="n">
        <v>603526.46</v>
      </c>
      <c r="AR560" s="3" t="n">
        <f aca="false" ca="false" dt2D="false" dtr="false" t="normal">+(K560*10.5+L560*21)*12*0.85</f>
        <v>102987.36</v>
      </c>
      <c r="AS560" s="3" t="n">
        <f aca="false" ca="false" dt2D="false" dtr="false" t="normal">+(K560*10.5+L560*21)*12*30</f>
        <v>3634848</v>
      </c>
      <c r="AT560" s="9" t="n">
        <f aca="false" ca="false" dt2D="false" dtr="false" t="normal">+S560-AS560</f>
        <v>0</v>
      </c>
      <c r="AU560" s="9" t="e">
        <f aca="false" ca="false" dt2D="false" dtr="false" t="normal">+P560-'[5]Приложение №1'!$P511</f>
        <v>#REF!</v>
      </c>
      <c r="AV560" s="9" t="e">
        <f aca="false" ca="false" dt2D="false" dtr="false" t="normal">+Q560-'[5]Приложение №1'!$Q511</f>
        <v>#REF!</v>
      </c>
      <c r="AW560" s="186" t="n">
        <f aca="false" ca="true" dt2D="false" dtr="false" t="normal">SUBTOTAL(9, AX560:BL560)</f>
        <v>21989359.511146132</v>
      </c>
      <c r="AX560" s="106" t="n">
        <v>0</v>
      </c>
      <c r="AY560" s="106" t="n">
        <v>0</v>
      </c>
      <c r="AZ560" s="106" t="n">
        <v>0</v>
      </c>
      <c r="BA560" s="106" t="n">
        <v>0</v>
      </c>
      <c r="BB560" s="106" t="n">
        <v>0</v>
      </c>
      <c r="BC560" s="106" t="n"/>
      <c r="BD560" s="106" t="n"/>
      <c r="BE560" s="106" t="n">
        <v>0</v>
      </c>
      <c r="BF560" s="106" t="n">
        <v>8908740.48066798</v>
      </c>
      <c r="BG560" s="106" t="n">
        <v>0</v>
      </c>
      <c r="BH560" s="106" t="n">
        <v>12608207.1949698</v>
      </c>
      <c r="BI560" s="106" t="n">
        <v>0</v>
      </c>
      <c r="BJ560" s="106" t="n"/>
      <c r="BK560" s="114" t="n"/>
      <c r="BL560" s="115" t="n">
        <v>472411.83550835</v>
      </c>
      <c r="BM560" s="186" t="n">
        <f aca="false" ca="true" dt2D="false" dtr="false" t="normal">SUBTOTAL(9, BN560:CB560)</f>
        <v>21989359.511146132</v>
      </c>
      <c r="BN560" s="106" t="n">
        <v>0</v>
      </c>
      <c r="BO560" s="106" t="n">
        <v>0</v>
      </c>
      <c r="BP560" s="106" t="n">
        <v>0</v>
      </c>
      <c r="BQ560" s="106" t="n">
        <v>0</v>
      </c>
      <c r="BR560" s="106" t="n">
        <v>0</v>
      </c>
      <c r="BS560" s="106" t="n"/>
      <c r="BT560" s="106" t="n"/>
      <c r="BU560" s="106" t="n">
        <v>0</v>
      </c>
      <c r="BV560" s="106" t="n">
        <v>8908740.48066798</v>
      </c>
      <c r="BW560" s="106" t="n">
        <v>0</v>
      </c>
      <c r="BX560" s="106" t="n">
        <v>12608207.1949698</v>
      </c>
      <c r="BY560" s="106" t="n">
        <v>0</v>
      </c>
      <c r="BZ560" s="106" t="n"/>
      <c r="CA560" s="114" t="n"/>
      <c r="CB560" s="115" t="n">
        <v>472411.83550835</v>
      </c>
      <c r="CD560" s="116" t="n">
        <f aca="false" ca="false" dt2D="false" dtr="false" t="normal">+CD559+1</f>
        <v>538</v>
      </c>
      <c r="CE560" s="117" t="n">
        <f aca="false" ca="false" dt2D="false" dtr="false" t="normal">+CE559+1</f>
        <v>79</v>
      </c>
      <c r="CF560" s="104" t="s">
        <v>78</v>
      </c>
      <c r="CG560" s="117" t="s">
        <v>579</v>
      </c>
      <c r="CH560" s="108" t="n">
        <f aca="false" ca="true" dt2D="false" dtr="false" t="normal">SUBTOTAL(9, CI560:CW560)</f>
        <v>21516947.67</v>
      </c>
      <c r="CI560" s="106" t="n">
        <v>0</v>
      </c>
      <c r="CJ560" s="114" t="n">
        <v>0</v>
      </c>
      <c r="CK560" s="114" t="n">
        <v>0</v>
      </c>
      <c r="CL560" s="114" t="n">
        <v>0</v>
      </c>
      <c r="CM560" s="114" t="n">
        <v>0</v>
      </c>
      <c r="CN560" s="114" t="n"/>
      <c r="CO560" s="106" t="n"/>
      <c r="CP560" s="114" t="n">
        <v>0</v>
      </c>
      <c r="CQ560" s="114" t="n">
        <v>8908740.48</v>
      </c>
      <c r="CR560" s="114" t="n">
        <v>0</v>
      </c>
      <c r="CS560" s="114" t="n">
        <v>12608207.19</v>
      </c>
      <c r="CT560" s="114" t="n">
        <v>0</v>
      </c>
      <c r="CU560" s="114" t="n"/>
      <c r="CV560" s="114" t="n"/>
      <c r="CW560" s="115" t="n"/>
      <c r="CX560" s="3" t="n">
        <f aca="false" ca="false" dt2D="false" dtr="false" t="normal">+N560-CH560</f>
        <v>0</v>
      </c>
      <c r="CZ560" s="117" t="s">
        <v>579</v>
      </c>
      <c r="DA560" s="113" t="n">
        <f aca="false" ca="true" dt2D="false" dtr="false" t="normal">SUBTOTAL(9, DB560:DP560)</f>
        <v>21516947.67</v>
      </c>
      <c r="DB560" s="106" t="n">
        <v>0</v>
      </c>
      <c r="DC560" s="114" t="n">
        <v>0</v>
      </c>
      <c r="DD560" s="114" t="n">
        <v>0</v>
      </c>
      <c r="DE560" s="114" t="n">
        <v>0</v>
      </c>
      <c r="DF560" s="114" t="n">
        <v>0</v>
      </c>
      <c r="DG560" s="114" t="n"/>
      <c r="DH560" s="106" t="n"/>
      <c r="DI560" s="114" t="n">
        <v>0</v>
      </c>
      <c r="DJ560" s="114" t="n">
        <v>8908740.48</v>
      </c>
      <c r="DK560" s="114" t="n">
        <v>0</v>
      </c>
      <c r="DL560" s="114" t="n">
        <v>12608207.19</v>
      </c>
      <c r="DM560" s="114" t="n">
        <v>0</v>
      </c>
      <c r="DN560" s="114" t="n"/>
      <c r="DO560" s="114" t="n"/>
      <c r="DP560" s="240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</row>
    <row customFormat="true" hidden="false" ht="15" outlineLevel="0" r="561" s="1">
      <c r="A561" s="183" t="n">
        <f aca="false" ca="false" dt2D="false" dtr="false" t="normal">+A560+1</f>
        <v>539</v>
      </c>
      <c r="B561" s="117" t="n">
        <f aca="false" ca="false" dt2D="false" dtr="false" t="normal">+B560+1</f>
        <v>80</v>
      </c>
      <c r="C561" s="104" t="s">
        <v>78</v>
      </c>
      <c r="D561" s="104" t="s">
        <v>580</v>
      </c>
      <c r="E561" s="105" t="n">
        <v>1984</v>
      </c>
      <c r="F561" s="105" t="n">
        <v>2016</v>
      </c>
      <c r="G561" s="105" t="s">
        <v>68</v>
      </c>
      <c r="H561" s="105" t="n">
        <v>5</v>
      </c>
      <c r="I561" s="105" t="n">
        <v>4</v>
      </c>
      <c r="J561" s="106" t="n">
        <v>5755.6</v>
      </c>
      <c r="K561" s="106" t="n">
        <v>4829.1</v>
      </c>
      <c r="L561" s="106" t="n">
        <v>0</v>
      </c>
      <c r="M561" s="107" t="n">
        <v>186</v>
      </c>
      <c r="N561" s="108" t="n">
        <f aca="false" ca="false" dt2D="false" dtr="false" t="normal">SUM(P561:T561)</f>
        <v>30022830.700000003</v>
      </c>
      <c r="O561" s="106" t="n"/>
      <c r="P561" s="113" t="n">
        <v>1684646.68</v>
      </c>
      <c r="Q561" s="114" t="n"/>
      <c r="R561" s="113" t="n">
        <v>3331024.37</v>
      </c>
      <c r="S561" s="113" t="n">
        <v>18253998</v>
      </c>
      <c r="T561" s="113" t="n">
        <v>6753161.65</v>
      </c>
      <c r="U561" s="114" t="n">
        <v>9118.67238700445</v>
      </c>
      <c r="V561" s="114" t="n">
        <v>1228.283020064</v>
      </c>
      <c r="W561" s="110" t="n">
        <v>2024</v>
      </c>
      <c r="X561" s="9" t="e">
        <f aca="false" ca="false" dt2D="false" dtr="false" t="normal">+#REF!-'[9]Приложение №1'!$P967</f>
        <v>#REF!</v>
      </c>
      <c r="Z561" s="113" t="n">
        <f aca="false" ca="false" dt2D="false" dtr="false" t="normal">SUM(AA561:AO561)</f>
        <v>33258616.60859414</v>
      </c>
      <c r="AA561" s="106" t="n">
        <v>9139483.84636691</v>
      </c>
      <c r="AB561" s="106" t="n">
        <v>0</v>
      </c>
      <c r="AC561" s="106" t="n">
        <v>0</v>
      </c>
      <c r="AD561" s="106" t="n">
        <v>3864839.23485218</v>
      </c>
      <c r="AE561" s="106" t="n">
        <v>0</v>
      </c>
      <c r="AF561" s="106" t="n"/>
      <c r="AG561" s="106" t="n">
        <v>397616.119024474</v>
      </c>
      <c r="AH561" s="106" t="n">
        <v>0</v>
      </c>
      <c r="AI561" s="106" t="n">
        <v>15843387.1743154</v>
      </c>
      <c r="AJ561" s="106" t="n">
        <v>0</v>
      </c>
      <c r="AK561" s="106" t="n">
        <v>0</v>
      </c>
      <c r="AL561" s="106" t="n">
        <v>0</v>
      </c>
      <c r="AM561" s="106" t="n">
        <v>3041168.01193497</v>
      </c>
      <c r="AN561" s="114" t="n">
        <v>332586.166085941</v>
      </c>
      <c r="AO561" s="115" t="n">
        <v>639536.056014267</v>
      </c>
      <c r="AP561" s="112" t="n">
        <f aca="false" ca="false" dt2D="false" dtr="false" t="normal">+N561-'Приложение №2'!E561</f>
        <v>0</v>
      </c>
      <c r="AQ561" s="121" t="n">
        <v>2813827.76</v>
      </c>
      <c r="AR561" s="3" t="n">
        <f aca="false" ca="false" dt2D="false" dtr="false" t="normal">+(K561*10.5+L561*21)*12*0.85</f>
        <v>517196.61000000004</v>
      </c>
      <c r="AS561" s="3" t="n">
        <f aca="false" ca="false" dt2D="false" dtr="false" t="normal">+(K561*10.5+L561*21)*12*30</f>
        <v>18253998.000000004</v>
      </c>
      <c r="AT561" s="9" t="n">
        <f aca="false" ca="false" dt2D="false" dtr="false" t="normal">+S561-AS561</f>
        <v>0</v>
      </c>
      <c r="AU561" s="9" t="e">
        <f aca="false" ca="false" dt2D="false" dtr="false" t="normal">+P561-'[5]Приложение №1'!$P512</f>
        <v>#REF!</v>
      </c>
      <c r="AV561" s="9" t="e">
        <f aca="false" ca="false" dt2D="false" dtr="false" t="normal">+Q561-'[5]Приложение №1'!$Q512</f>
        <v>#REF!</v>
      </c>
      <c r="AW561" s="186" t="n">
        <f aca="false" ca="true" dt2D="false" dtr="false" t="normal">SUBTOTAL(9, AX561:BL561)</f>
        <v>44034980.82408326</v>
      </c>
      <c r="AX561" s="106" t="n">
        <v>17650757.3251782</v>
      </c>
      <c r="AY561" s="106" t="n">
        <v>0</v>
      </c>
      <c r="AZ561" s="106" t="n">
        <v>0</v>
      </c>
      <c r="BA561" s="106" t="n">
        <v>5270628.8244372</v>
      </c>
      <c r="BB561" s="106" t="n">
        <v>0</v>
      </c>
      <c r="BC561" s="106" t="n"/>
      <c r="BD561" s="106" t="n">
        <v>521283.629191429</v>
      </c>
      <c r="BE561" s="106" t="n"/>
      <c r="BF561" s="106" t="n">
        <v>19605564.1809332</v>
      </c>
      <c r="BG561" s="106" t="n">
        <v>0</v>
      </c>
      <c r="BH561" s="106" t="n">
        <v>0</v>
      </c>
      <c r="BI561" s="106" t="n">
        <v>0</v>
      </c>
      <c r="BJ561" s="106" t="n"/>
      <c r="BK561" s="114" t="n"/>
      <c r="BL561" s="115" t="n">
        <v>986746.864343231</v>
      </c>
      <c r="BM561" s="186" t="n">
        <f aca="false" ca="true" dt2D="false" dtr="false" t="normal">SUBTOTAL(9, BN561:CB561)</f>
        <v>44034980.82408326</v>
      </c>
      <c r="BN561" s="106" t="n">
        <v>17650757.3251782</v>
      </c>
      <c r="BO561" s="106" t="n">
        <v>0</v>
      </c>
      <c r="BP561" s="106" t="n">
        <v>0</v>
      </c>
      <c r="BQ561" s="106" t="n">
        <v>5270628.8244372</v>
      </c>
      <c r="BR561" s="106" t="n">
        <v>0</v>
      </c>
      <c r="BS561" s="106" t="n"/>
      <c r="BT561" s="106" t="n">
        <v>521283.629191429</v>
      </c>
      <c r="BU561" s="106" t="n"/>
      <c r="BV561" s="106" t="n">
        <v>19605564.1809332</v>
      </c>
      <c r="BW561" s="106" t="n">
        <v>0</v>
      </c>
      <c r="BX561" s="106" t="n">
        <v>0</v>
      </c>
      <c r="BY561" s="106" t="n">
        <v>0</v>
      </c>
      <c r="BZ561" s="106" t="n"/>
      <c r="CA561" s="114" t="n"/>
      <c r="CB561" s="115" t="n">
        <v>986746.864343231</v>
      </c>
      <c r="CD561" s="116" t="n">
        <f aca="false" ca="false" dt2D="false" dtr="false" t="normal">+CD560+1</f>
        <v>539</v>
      </c>
      <c r="CE561" s="117" t="n">
        <f aca="false" ca="false" dt2D="false" dtr="false" t="normal">+CE560+1</f>
        <v>80</v>
      </c>
      <c r="CF561" s="104" t="s">
        <v>78</v>
      </c>
      <c r="CG561" s="117" t="s">
        <v>580</v>
      </c>
      <c r="CH561" s="108" t="n">
        <f aca="false" ca="true" dt2D="false" dtr="false" t="normal">SUBTOTAL(9, CI561:CW561)</f>
        <v>30823409.479999997</v>
      </c>
      <c r="CI561" s="106" t="n">
        <v>17650757.33</v>
      </c>
      <c r="CJ561" s="114" t="n">
        <v>0</v>
      </c>
      <c r="CK561" s="114" t="n">
        <v>0</v>
      </c>
      <c r="CL561" s="114" t="n">
        <v>5270628.82</v>
      </c>
      <c r="CM561" s="114" t="n">
        <v>0</v>
      </c>
      <c r="CN561" s="114" t="n"/>
      <c r="CO561" s="106" t="n"/>
      <c r="CP561" s="114" t="n"/>
      <c r="CQ561" s="114" t="n">
        <v>6915276.47</v>
      </c>
      <c r="CR561" s="114" t="n">
        <v>0</v>
      </c>
      <c r="CS561" s="114" t="n">
        <v>0</v>
      </c>
      <c r="CT561" s="114" t="n">
        <v>0</v>
      </c>
      <c r="CU561" s="114" t="n"/>
      <c r="CV561" s="114" t="n"/>
      <c r="CW561" s="115" t="n">
        <v>986746.86</v>
      </c>
      <c r="CX561" s="3" t="n">
        <f aca="false" ca="false" dt2D="false" dtr="false" t="normal">+N561-CH561</f>
        <v>-800578.7799999937</v>
      </c>
      <c r="CZ561" s="117" t="s">
        <v>580</v>
      </c>
      <c r="DA561" s="113" t="n">
        <f aca="false" ca="true" dt2D="false" dtr="false" t="normal">SUBTOTAL(9, DB561:DP561)</f>
        <v>30022830.7035</v>
      </c>
      <c r="DB561" s="106" t="n">
        <v>17650757.33</v>
      </c>
      <c r="DC561" s="114" t="n">
        <v>0</v>
      </c>
      <c r="DD561" s="114" t="n">
        <v>0</v>
      </c>
      <c r="DE561" s="114" t="n">
        <v>5270628.82</v>
      </c>
      <c r="DF561" s="114" t="n">
        <v>0</v>
      </c>
      <c r="DG561" s="114" t="n"/>
      <c r="DH561" s="106" t="n"/>
      <c r="DI561" s="114" t="n"/>
      <c r="DJ561" s="114" t="n">
        <v>6915276.47</v>
      </c>
      <c r="DK561" s="114" t="n">
        <v>0</v>
      </c>
      <c r="DL561" s="114" t="n">
        <v>0</v>
      </c>
      <c r="DM561" s="114" t="n">
        <v>0</v>
      </c>
      <c r="DN561" s="114" t="n"/>
      <c r="DO561" s="114" t="n"/>
      <c r="DP561" s="115" t="n">
        <f aca="false" ca="false" dt2D="false" dtr="false" t="normal">(71118.8+30368.81+60397.68)*1.15</f>
        <v>186168.0835</v>
      </c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</row>
    <row customFormat="true" hidden="false" ht="15" outlineLevel="0" r="562" s="1">
      <c r="A562" s="183" t="n">
        <f aca="false" ca="false" dt2D="false" dtr="false" t="normal">+A561+1</f>
        <v>540</v>
      </c>
      <c r="B562" s="117" t="n">
        <f aca="false" ca="false" dt2D="false" dtr="false" t="normal">+B561+1</f>
        <v>81</v>
      </c>
      <c r="C562" s="104" t="s">
        <v>78</v>
      </c>
      <c r="D562" s="104" t="s">
        <v>581</v>
      </c>
      <c r="E562" s="105" t="n">
        <v>1983</v>
      </c>
      <c r="F562" s="105" t="n">
        <v>2007</v>
      </c>
      <c r="G562" s="105" t="s">
        <v>68</v>
      </c>
      <c r="H562" s="105" t="n">
        <v>5</v>
      </c>
      <c r="I562" s="105" t="n">
        <v>3</v>
      </c>
      <c r="J562" s="106" t="n">
        <v>5113.2</v>
      </c>
      <c r="K562" s="106" t="n">
        <v>4295.2</v>
      </c>
      <c r="L562" s="106" t="n">
        <v>0</v>
      </c>
      <c r="M562" s="107" t="n">
        <v>187</v>
      </c>
      <c r="N562" s="108" t="n">
        <f aca="false" ca="false" dt2D="false" dtr="false" t="normal">SUM(P562:T562)</f>
        <v>4123863.01</v>
      </c>
      <c r="O562" s="106" t="n"/>
      <c r="P562" s="114" t="n"/>
      <c r="Q562" s="114" t="n"/>
      <c r="R562" s="113" t="n">
        <v>2929157.85</v>
      </c>
      <c r="S562" s="113" t="n">
        <v>1194705.16</v>
      </c>
      <c r="T562" s="114" t="n"/>
      <c r="U562" s="114" t="n">
        <v>1004.74319164001</v>
      </c>
      <c r="V562" s="114" t="n">
        <v>1231.283020064</v>
      </c>
      <c r="W562" s="110" t="n">
        <v>2024</v>
      </c>
      <c r="X562" s="9" t="e">
        <f aca="false" ca="false" dt2D="false" dtr="false" t="normal">+#REF!-'[9]Приложение №1'!$P597</f>
        <v>#REF!</v>
      </c>
      <c r="Z562" s="113" t="n">
        <f aca="false" ca="false" dt2D="false" dtr="false" t="normal">SUM(AA562:AO562)</f>
        <v>17280414.083158374</v>
      </c>
      <c r="AA562" s="106" t="n">
        <v>10767125.5937393</v>
      </c>
      <c r="AB562" s="106" t="n">
        <v>0</v>
      </c>
      <c r="AC562" s="106" t="n">
        <v>4113978.30029708</v>
      </c>
      <c r="AD562" s="106" t="n">
        <v>0</v>
      </c>
      <c r="AE562" s="106" t="n">
        <v>0</v>
      </c>
      <c r="AF562" s="106" t="n"/>
      <c r="AG562" s="106" t="n">
        <v>447036.355461056</v>
      </c>
      <c r="AH562" s="106" t="n">
        <v>0</v>
      </c>
      <c r="AI562" s="106" t="n">
        <v>0</v>
      </c>
      <c r="AJ562" s="106" t="n">
        <v>0</v>
      </c>
      <c r="AK562" s="106" t="n">
        <v>0</v>
      </c>
      <c r="AL562" s="106" t="n">
        <v>0</v>
      </c>
      <c r="AM562" s="106" t="n">
        <v>1444274.31030407</v>
      </c>
      <c r="AN562" s="114" t="n">
        <v>172804.140831584</v>
      </c>
      <c r="AO562" s="115" t="n">
        <v>335195.382525287</v>
      </c>
      <c r="AP562" s="112" t="n">
        <f aca="false" ca="false" dt2D="false" dtr="false" t="normal">+N562-'Приложение №2'!E562</f>
        <v>0</v>
      </c>
      <c r="AQ562" s="121" t="n">
        <v>2568498.62</v>
      </c>
      <c r="AR562" s="3" t="n">
        <f aca="false" ca="false" dt2D="false" dtr="false" t="normal">+(K562*10.5+L562*21)*12*0.85</f>
        <v>460015.9199999999</v>
      </c>
      <c r="AS562" s="3" t="n">
        <f aca="false" ca="false" dt2D="false" dtr="false" t="normal">+(K562*10.5+L562*21)*12*30</f>
        <v>16235855.999999998</v>
      </c>
      <c r="AT562" s="9" t="n">
        <f aca="false" ca="false" dt2D="false" dtr="false" t="normal">+S562-AS562</f>
        <v>-15041150.839999998</v>
      </c>
      <c r="AU562" s="9" t="e">
        <f aca="false" ca="false" dt2D="false" dtr="false" t="normal">+P562-'[5]Приложение №1'!$P515</f>
        <v>#REF!</v>
      </c>
      <c r="AV562" s="9" t="e">
        <f aca="false" ca="false" dt2D="false" dtr="false" t="normal">+Q562-'[5]Приложение №1'!$Q515</f>
        <v>#REF!</v>
      </c>
      <c r="AW562" s="186" t="n">
        <f aca="false" ca="true" dt2D="false" dtr="false" t="normal">SUBTOTAL(9, AX562:BL562)</f>
        <v>4315572.956732158</v>
      </c>
      <c r="AX562" s="106" t="n"/>
      <c r="AY562" s="106" t="n">
        <v>0</v>
      </c>
      <c r="AZ562" s="106" t="n">
        <v>4223219.69545809</v>
      </c>
      <c r="BA562" s="106" t="n">
        <v>0</v>
      </c>
      <c r="BB562" s="106" t="n">
        <v>0</v>
      </c>
      <c r="BC562" s="106" t="n"/>
      <c r="BD562" s="106" t="n">
        <v>0</v>
      </c>
      <c r="BE562" s="106" t="n">
        <v>0</v>
      </c>
      <c r="BF562" s="106" t="n">
        <v>0</v>
      </c>
      <c r="BG562" s="106" t="n">
        <v>0</v>
      </c>
      <c r="BH562" s="106" t="n">
        <v>0</v>
      </c>
      <c r="BI562" s="106" t="n">
        <v>0</v>
      </c>
      <c r="BJ562" s="106" t="n"/>
      <c r="BK562" s="114" t="n"/>
      <c r="BL562" s="115" t="n">
        <v>92353.2612740681</v>
      </c>
      <c r="BM562" s="186" t="n">
        <f aca="false" ca="true" dt2D="false" dtr="false" t="normal">SUBTOTAL(9, BN562:CB562)</f>
        <v>4315572.956732158</v>
      </c>
      <c r="BN562" s="106" t="n"/>
      <c r="BO562" s="106" t="n">
        <v>0</v>
      </c>
      <c r="BP562" s="106" t="n">
        <v>4223219.69545809</v>
      </c>
      <c r="BQ562" s="106" t="n">
        <v>0</v>
      </c>
      <c r="BR562" s="106" t="n">
        <v>0</v>
      </c>
      <c r="BS562" s="106" t="n"/>
      <c r="BT562" s="106" t="n">
        <v>0</v>
      </c>
      <c r="BU562" s="106" t="n">
        <v>0</v>
      </c>
      <c r="BV562" s="106" t="n">
        <v>0</v>
      </c>
      <c r="BW562" s="106" t="n">
        <v>0</v>
      </c>
      <c r="BX562" s="106" t="n">
        <v>0</v>
      </c>
      <c r="BY562" s="106" t="n">
        <v>0</v>
      </c>
      <c r="BZ562" s="106" t="n"/>
      <c r="CA562" s="114" t="n"/>
      <c r="CB562" s="115" t="n">
        <v>92353.2612740681</v>
      </c>
      <c r="CD562" s="116" t="n">
        <f aca="false" ca="false" dt2D="false" dtr="false" t="normal">+CD561+1</f>
        <v>540</v>
      </c>
      <c r="CE562" s="117" t="n">
        <f aca="false" ca="false" dt2D="false" dtr="false" t="normal">+CE561+1</f>
        <v>81</v>
      </c>
      <c r="CF562" s="104" t="s">
        <v>78</v>
      </c>
      <c r="CG562" s="117" t="s">
        <v>581</v>
      </c>
      <c r="CH562" s="108" t="n">
        <f aca="false" ca="true" dt2D="false" dtr="false" t="normal">SUBTOTAL(9, CI562:CW562)</f>
        <v>4216216.27</v>
      </c>
      <c r="CI562" s="106" t="n"/>
      <c r="CJ562" s="114" t="n">
        <v>0</v>
      </c>
      <c r="CK562" s="243" t="n">
        <v>4123863.01</v>
      </c>
      <c r="CL562" s="114" t="n">
        <v>0</v>
      </c>
      <c r="CM562" s="114" t="n">
        <v>0</v>
      </c>
      <c r="CN562" s="114" t="n"/>
      <c r="CO562" s="106" t="n">
        <v>0</v>
      </c>
      <c r="CP562" s="114" t="n">
        <v>0</v>
      </c>
      <c r="CQ562" s="114" t="n">
        <v>0</v>
      </c>
      <c r="CR562" s="114" t="n">
        <v>0</v>
      </c>
      <c r="CS562" s="114" t="n">
        <v>0</v>
      </c>
      <c r="CT562" s="114" t="n">
        <v>0</v>
      </c>
      <c r="CU562" s="114" t="n"/>
      <c r="CV562" s="114" t="n"/>
      <c r="CW562" s="115" t="n">
        <v>92353.26</v>
      </c>
      <c r="CX562" s="3" t="n">
        <f aca="false" ca="false" dt2D="false" dtr="false" t="normal">+N562-CH562</f>
        <v>-92353.25999999978</v>
      </c>
      <c r="CZ562" s="117" t="s">
        <v>581</v>
      </c>
      <c r="DA562" s="113" t="n">
        <f aca="false" ca="true" dt2D="false" dtr="false" t="normal">SUBTOTAL(9, DB562:DP562)</f>
        <v>4123863.01</v>
      </c>
      <c r="DB562" s="106" t="n"/>
      <c r="DC562" s="114" t="n">
        <v>0</v>
      </c>
      <c r="DD562" s="243" t="n">
        <v>4123863.01</v>
      </c>
      <c r="DE562" s="114" t="n">
        <v>0</v>
      </c>
      <c r="DF562" s="114" t="n">
        <v>0</v>
      </c>
      <c r="DG562" s="114" t="n"/>
      <c r="DH562" s="106" t="n">
        <v>0</v>
      </c>
      <c r="DI562" s="114" t="n">
        <v>0</v>
      </c>
      <c r="DJ562" s="114" t="n">
        <v>0</v>
      </c>
      <c r="DK562" s="114" t="n">
        <v>0</v>
      </c>
      <c r="DL562" s="114" t="n">
        <v>0</v>
      </c>
      <c r="DM562" s="114" t="n">
        <v>0</v>
      </c>
      <c r="DN562" s="114" t="n"/>
      <c r="DO562" s="114" t="n"/>
      <c r="DP562" s="240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</row>
    <row customFormat="true" hidden="false" ht="15" outlineLevel="0" r="563" s="1">
      <c r="A563" s="183" t="n">
        <f aca="false" ca="false" dt2D="false" dtr="false" t="normal">+A562+1</f>
        <v>541</v>
      </c>
      <c r="B563" s="117" t="n">
        <f aca="false" ca="false" dt2D="false" dtr="false" t="normal">+B562+1</f>
        <v>82</v>
      </c>
      <c r="C563" s="104" t="s">
        <v>78</v>
      </c>
      <c r="D563" s="104" t="s">
        <v>582</v>
      </c>
      <c r="E563" s="105" t="n">
        <v>1980</v>
      </c>
      <c r="F563" s="105" t="n">
        <v>2011</v>
      </c>
      <c r="G563" s="105" t="s">
        <v>68</v>
      </c>
      <c r="H563" s="105" t="n">
        <v>5</v>
      </c>
      <c r="I563" s="105" t="n">
        <v>6</v>
      </c>
      <c r="J563" s="106" t="n">
        <v>6841.9</v>
      </c>
      <c r="K563" s="106" t="n">
        <v>5717.4</v>
      </c>
      <c r="L563" s="106" t="n">
        <v>467.7</v>
      </c>
      <c r="M563" s="107" t="n">
        <v>273</v>
      </c>
      <c r="N563" s="108" t="n">
        <f aca="false" ca="false" dt2D="false" dtr="false" t="normal">SUM(P563:T563)</f>
        <v>24464288.47</v>
      </c>
      <c r="O563" s="106" t="n"/>
      <c r="P563" s="114" t="n"/>
      <c r="Q563" s="114" t="n"/>
      <c r="R563" s="113" t="n">
        <v>4335485.81</v>
      </c>
      <c r="S563" s="113" t="n">
        <v>20128802.66</v>
      </c>
      <c r="T563" s="113" t="n"/>
      <c r="U563" s="114" t="n">
        <v>5456.37732511806</v>
      </c>
      <c r="V563" s="114" t="n">
        <v>1232.283020064</v>
      </c>
      <c r="W563" s="110" t="n">
        <v>2024</v>
      </c>
      <c r="X563" s="9" t="e">
        <f aca="false" ca="false" dt2D="false" dtr="false" t="normal">+#REF!-'[9]Приложение №1'!$P598</f>
        <v>#REF!</v>
      </c>
      <c r="Z563" s="113" t="n">
        <f aca="false" ca="false" dt2D="false" dtr="false" t="normal">SUM(AA563:AO563)</f>
        <v>28963511.15748478</v>
      </c>
      <c r="AA563" s="106" t="n">
        <v>0</v>
      </c>
      <c r="AB563" s="106" t="n">
        <v>0</v>
      </c>
      <c r="AC563" s="106" t="n">
        <v>0</v>
      </c>
      <c r="AD563" s="106" t="n">
        <v>0</v>
      </c>
      <c r="AE563" s="106" t="n">
        <v>0</v>
      </c>
      <c r="AF563" s="106" t="n"/>
      <c r="AG563" s="106" t="n">
        <v>0</v>
      </c>
      <c r="AH563" s="106" t="n">
        <v>0</v>
      </c>
      <c r="AI563" s="106" t="n">
        <v>0</v>
      </c>
      <c r="AJ563" s="106" t="n">
        <v>0</v>
      </c>
      <c r="AK563" s="106" t="n">
        <v>25225885.896656</v>
      </c>
      <c r="AL563" s="106" t="n">
        <v>0</v>
      </c>
      <c r="AM563" s="106" t="n">
        <v>2896351.11574848</v>
      </c>
      <c r="AN563" s="114" t="n">
        <v>289635.111574848</v>
      </c>
      <c r="AO563" s="115" t="n">
        <v>551639.033505455</v>
      </c>
      <c r="AP563" s="112" t="n">
        <f aca="false" ca="false" dt2D="false" dtr="false" t="normal">+N563-'Приложение №2'!E563</f>
        <v>0</v>
      </c>
      <c r="AQ563" s="121" t="n">
        <v>3622970.93</v>
      </c>
      <c r="AR563" s="3" t="n">
        <f aca="false" ca="false" dt2D="false" dtr="false" t="normal">+(K563*10.5+L563*21)*12*0.85</f>
        <v>712514.8799999999</v>
      </c>
      <c r="AS563" s="3" t="n">
        <f aca="false" ca="false" dt2D="false" dtr="false" t="normal">+(K563*10.5+L563*21)*12*30</f>
        <v>25147583.999999996</v>
      </c>
      <c r="AT563" s="9" t="n">
        <f aca="false" ca="false" dt2D="false" dtr="false" t="normal">+S563-AS563</f>
        <v>-5018781.339999996</v>
      </c>
      <c r="AU563" s="9" t="e">
        <f aca="false" ca="false" dt2D="false" dtr="false" t="normal">+P563-'[5]Приложение №1'!$P516</f>
        <v>#REF!</v>
      </c>
      <c r="AV563" s="9" t="e">
        <f aca="false" ca="false" dt2D="false" dtr="false" t="normal">+Q563-'[5]Приложение №1'!$Q516</f>
        <v>#REF!</v>
      </c>
      <c r="AW563" s="186" t="n">
        <f aca="false" ca="true" dt2D="false" dtr="false" t="normal">SUBTOTAL(9, AX563:BL563)</f>
        <v>31196291.718629982</v>
      </c>
      <c r="AX563" s="106" t="n">
        <v>0</v>
      </c>
      <c r="AY563" s="106" t="n">
        <v>0</v>
      </c>
      <c r="AZ563" s="106" t="n">
        <v>0</v>
      </c>
      <c r="BA563" s="106" t="n">
        <v>0</v>
      </c>
      <c r="BB563" s="106" t="n">
        <v>0</v>
      </c>
      <c r="BC563" s="106" t="n"/>
      <c r="BD563" s="106" t="n"/>
      <c r="BE563" s="106" t="n">
        <v>0</v>
      </c>
      <c r="BF563" s="106" t="n">
        <v>0</v>
      </c>
      <c r="BG563" s="106" t="n">
        <v>0</v>
      </c>
      <c r="BH563" s="106" t="n">
        <v>30528691.0758513</v>
      </c>
      <c r="BI563" s="106" t="n">
        <v>0</v>
      </c>
      <c r="BJ563" s="106" t="n"/>
      <c r="BK563" s="114" t="n"/>
      <c r="BL563" s="115" t="n">
        <v>667600.642778682</v>
      </c>
      <c r="BM563" s="186" t="n">
        <f aca="false" ca="true" dt2D="false" dtr="false" t="normal">SUBTOTAL(9, BN563:CB563)</f>
        <v>31196291.718629982</v>
      </c>
      <c r="BN563" s="106" t="n">
        <v>0</v>
      </c>
      <c r="BO563" s="106" t="n">
        <v>0</v>
      </c>
      <c r="BP563" s="106" t="n">
        <v>0</v>
      </c>
      <c r="BQ563" s="106" t="n">
        <v>0</v>
      </c>
      <c r="BR563" s="106" t="n">
        <v>0</v>
      </c>
      <c r="BS563" s="106" t="n"/>
      <c r="BT563" s="106" t="n"/>
      <c r="BU563" s="106" t="n">
        <v>0</v>
      </c>
      <c r="BV563" s="106" t="n">
        <v>0</v>
      </c>
      <c r="BW563" s="106" t="n">
        <v>0</v>
      </c>
      <c r="BX563" s="106" t="n">
        <v>30528691.0758513</v>
      </c>
      <c r="BY563" s="106" t="n">
        <v>0</v>
      </c>
      <c r="BZ563" s="106" t="n"/>
      <c r="CA563" s="114" t="n"/>
      <c r="CB563" s="115" t="n">
        <v>667600.642778682</v>
      </c>
      <c r="CD563" s="116" t="n">
        <f aca="false" ca="false" dt2D="false" dtr="false" t="normal">+CD562+1</f>
        <v>541</v>
      </c>
      <c r="CE563" s="117" t="n">
        <f aca="false" ca="false" dt2D="false" dtr="false" t="normal">+CE562+1</f>
        <v>82</v>
      </c>
      <c r="CF563" s="104" t="s">
        <v>78</v>
      </c>
      <c r="CG563" s="117" t="s">
        <v>582</v>
      </c>
      <c r="CH563" s="108" t="n">
        <f aca="false" ca="true" dt2D="false" dtr="false" t="normal">SUBTOTAL(9, CI563:CW563)</f>
        <v>25131889.11</v>
      </c>
      <c r="CI563" s="106" t="n">
        <v>0</v>
      </c>
      <c r="CJ563" s="114" t="n">
        <v>0</v>
      </c>
      <c r="CK563" s="114" t="n">
        <v>0</v>
      </c>
      <c r="CL563" s="114" t="n">
        <v>0</v>
      </c>
      <c r="CM563" s="114" t="n">
        <v>0</v>
      </c>
      <c r="CN563" s="114" t="n"/>
      <c r="CO563" s="106" t="n"/>
      <c r="CP563" s="114" t="n">
        <v>0</v>
      </c>
      <c r="CQ563" s="114" t="n">
        <v>0</v>
      </c>
      <c r="CR563" s="114" t="n">
        <v>0</v>
      </c>
      <c r="CS563" s="243" t="n">
        <v>24464288.47</v>
      </c>
      <c r="CT563" s="114" t="n">
        <v>0</v>
      </c>
      <c r="CU563" s="114" t="n"/>
      <c r="CV563" s="114" t="n"/>
      <c r="CW563" s="115" t="n">
        <v>667600.64</v>
      </c>
      <c r="CX563" s="3" t="n">
        <f aca="false" ca="false" dt2D="false" dtr="false" t="normal">+N563-CH563</f>
        <v>-667600.6400000006</v>
      </c>
      <c r="CZ563" s="117" t="s">
        <v>582</v>
      </c>
      <c r="DA563" s="113" t="n">
        <f aca="false" ca="true" dt2D="false" dtr="false" t="normal">SUBTOTAL(9, DB563:DP563)</f>
        <v>24464288.47</v>
      </c>
      <c r="DB563" s="106" t="n">
        <v>0</v>
      </c>
      <c r="DC563" s="114" t="n">
        <v>0</v>
      </c>
      <c r="DD563" s="114" t="n">
        <v>0</v>
      </c>
      <c r="DE563" s="114" t="n">
        <v>0</v>
      </c>
      <c r="DF563" s="114" t="n">
        <v>0</v>
      </c>
      <c r="DG563" s="114" t="n"/>
      <c r="DH563" s="106" t="n"/>
      <c r="DI563" s="114" t="n">
        <v>0</v>
      </c>
      <c r="DJ563" s="114" t="n">
        <v>0</v>
      </c>
      <c r="DK563" s="114" t="n">
        <v>0</v>
      </c>
      <c r="DL563" s="243" t="n">
        <v>24464288.47</v>
      </c>
      <c r="DM563" s="114" t="n">
        <v>0</v>
      </c>
      <c r="DN563" s="114" t="n"/>
      <c r="DO563" s="114" t="n"/>
      <c r="DP563" s="240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</row>
    <row customFormat="true" hidden="false" ht="15" outlineLevel="0" r="564" s="1">
      <c r="A564" s="183" t="n">
        <f aca="false" ca="false" dt2D="false" dtr="false" t="normal">+A563+1</f>
        <v>542</v>
      </c>
      <c r="B564" s="117" t="n">
        <f aca="false" ca="false" dt2D="false" dtr="false" t="normal">+B563+1</f>
        <v>83</v>
      </c>
      <c r="C564" s="104" t="s">
        <v>78</v>
      </c>
      <c r="D564" s="104" t="s">
        <v>108</v>
      </c>
      <c r="E564" s="105" t="n">
        <v>1987</v>
      </c>
      <c r="F564" s="105" t="n">
        <v>2017</v>
      </c>
      <c r="G564" s="105" t="s">
        <v>68</v>
      </c>
      <c r="H564" s="105" t="n">
        <v>9</v>
      </c>
      <c r="I564" s="105" t="n">
        <v>1</v>
      </c>
      <c r="J564" s="106" t="n">
        <v>2767.8</v>
      </c>
      <c r="K564" s="106" t="n">
        <v>2150.8</v>
      </c>
      <c r="L564" s="106" t="n">
        <v>66.8</v>
      </c>
      <c r="M564" s="107" t="n">
        <v>94</v>
      </c>
      <c r="N564" s="108" t="n">
        <f aca="false" ca="false" dt2D="false" dtr="false" t="normal">SUM(P564:T564)</f>
        <v>8723908.76</v>
      </c>
      <c r="O564" s="106" t="n"/>
      <c r="P564" s="113" t="n"/>
      <c r="Q564" s="114" t="n"/>
      <c r="R564" s="113" t="n">
        <v>324503.17</v>
      </c>
      <c r="S564" s="113" t="n">
        <v>8399405.59</v>
      </c>
      <c r="T564" s="113" t="n"/>
      <c r="U564" s="114" t="n">
        <v>7680.78578338974</v>
      </c>
      <c r="V564" s="114" t="n">
        <v>1233.283020064</v>
      </c>
      <c r="W564" s="110" t="n">
        <v>2024</v>
      </c>
      <c r="X564" s="9" t="e">
        <f aca="false" ca="false" dt2D="false" dtr="false" t="normal">+#REF!-'[9]Приложение №1'!$P1352</f>
        <v>#REF!</v>
      </c>
      <c r="Z564" s="113" t="n">
        <f aca="false" ca="false" dt2D="false" dtr="false" t="normal">SUM(AA564:AO564)</f>
        <v>24358296.10656354</v>
      </c>
      <c r="AA564" s="106" t="n">
        <v>5322442.28443506</v>
      </c>
      <c r="AB564" s="106" t="n">
        <v>2129484.5377049</v>
      </c>
      <c r="AC564" s="106" t="n">
        <v>0</v>
      </c>
      <c r="AD564" s="106" t="n">
        <v>0</v>
      </c>
      <c r="AE564" s="106" t="n">
        <v>0</v>
      </c>
      <c r="AF564" s="106" t="n"/>
      <c r="AG564" s="106" t="n">
        <v>236468.681965311</v>
      </c>
      <c r="AH564" s="106" t="n">
        <v>0</v>
      </c>
      <c r="AI564" s="106" t="n">
        <v>0</v>
      </c>
      <c r="AJ564" s="106" t="n">
        <v>0</v>
      </c>
      <c r="AK564" s="106" t="n">
        <v>13665253.1882038</v>
      </c>
      <c r="AL564" s="106" t="n">
        <v>0</v>
      </c>
      <c r="AM564" s="106" t="n">
        <v>2294103.40473654</v>
      </c>
      <c r="AN564" s="114" t="n">
        <v>243582.961065635</v>
      </c>
      <c r="AO564" s="115" t="n">
        <v>466961.048452292</v>
      </c>
      <c r="AP564" s="112" t="n">
        <f aca="false" ca="false" dt2D="false" dtr="false" t="normal">+N564-'Приложение №2'!E564</f>
        <v>0</v>
      </c>
      <c r="AQ564" s="9" t="n">
        <f aca="false" ca="false" dt2D="false" dtr="false" t="normal">1756247.2-R397</f>
        <v>236255.92556157988</v>
      </c>
      <c r="AR564" s="3" t="n">
        <f aca="false" ca="false" dt2D="false" dtr="false" t="normal">+(K564*13.95+L564*23.65)*12*0.85</f>
        <v>322151.496</v>
      </c>
      <c r="AS564" s="3" t="n">
        <f aca="false" ca="false" dt2D="false" dtr="false" t="normal">+(K564*13.95+L564*23.65)*12*30</f>
        <v>11370052.8</v>
      </c>
      <c r="AT564" s="9" t="n">
        <f aca="false" ca="false" dt2D="false" dtr="false" t="normal">+S564-AS564</f>
        <v>-2970647.210000001</v>
      </c>
      <c r="AU564" s="9" t="e">
        <f aca="false" ca="false" dt2D="false" dtr="false" t="normal">+P564-'[5]Приложение №1'!$P517</f>
        <v>#REF!</v>
      </c>
      <c r="AV564" s="9" t="e">
        <f aca="false" ca="false" dt2D="false" dtr="false" t="normal">+Q564-'[5]Приложение №1'!$Q517</f>
        <v>#REF!</v>
      </c>
      <c r="AW564" s="186" t="n">
        <f aca="false" ca="true" dt2D="false" dtr="false" t="normal">SUBTOTAL(9, AX564:BL564)</f>
        <v>16519834.062914642</v>
      </c>
      <c r="AX564" s="106" t="n"/>
      <c r="AY564" s="106" t="n"/>
      <c r="AZ564" s="106" t="n"/>
      <c r="BA564" s="106" t="n"/>
      <c r="BB564" s="106" t="n"/>
      <c r="BC564" s="106" t="n"/>
      <c r="BD564" s="106" t="n"/>
      <c r="BE564" s="106" t="n">
        <v>0</v>
      </c>
      <c r="BF564" s="106" t="n">
        <v>0</v>
      </c>
      <c r="BG564" s="106" t="n">
        <v>0</v>
      </c>
      <c r="BH564" s="106" t="n">
        <v>16225158.4678763</v>
      </c>
      <c r="BI564" s="106" t="n">
        <v>0</v>
      </c>
      <c r="BJ564" s="106" t="n"/>
      <c r="BK564" s="114" t="n"/>
      <c r="BL564" s="115" t="n">
        <v>294675.595038342</v>
      </c>
      <c r="BM564" s="186" t="n">
        <f aca="false" ca="true" dt2D="false" dtr="false" t="normal">SUBTOTAL(9, BN564:CB564)</f>
        <v>16519834.062914642</v>
      </c>
      <c r="BN564" s="106" t="n"/>
      <c r="BO564" s="106" t="n"/>
      <c r="BP564" s="106" t="n"/>
      <c r="BQ564" s="106" t="n"/>
      <c r="BR564" s="106" t="n"/>
      <c r="BS564" s="106" t="n"/>
      <c r="BT564" s="106" t="n"/>
      <c r="BU564" s="106" t="n">
        <v>0</v>
      </c>
      <c r="BV564" s="106" t="n">
        <v>0</v>
      </c>
      <c r="BW564" s="106" t="n">
        <v>0</v>
      </c>
      <c r="BX564" s="106" t="n">
        <v>16225158.4678763</v>
      </c>
      <c r="BY564" s="106" t="n">
        <v>0</v>
      </c>
      <c r="BZ564" s="106" t="n"/>
      <c r="CA564" s="114" t="n"/>
      <c r="CB564" s="115" t="n">
        <v>294675.595038342</v>
      </c>
      <c r="CD564" s="116" t="n">
        <f aca="false" ca="false" dt2D="false" dtr="false" t="normal">+CD563+1</f>
        <v>542</v>
      </c>
      <c r="CE564" s="117" t="n">
        <f aca="false" ca="false" dt2D="false" dtr="false" t="normal">+CE563+1</f>
        <v>83</v>
      </c>
      <c r="CF564" s="104" t="s">
        <v>78</v>
      </c>
      <c r="CG564" s="117" t="s">
        <v>108</v>
      </c>
      <c r="CH564" s="108" t="n">
        <f aca="false" ca="true" dt2D="false" dtr="false" t="normal">SUBTOTAL(9, CI564:CW564)</f>
        <v>9018584.36</v>
      </c>
      <c r="CI564" s="106" t="n"/>
      <c r="CJ564" s="114" t="n"/>
      <c r="CK564" s="114" t="n"/>
      <c r="CL564" s="114" t="n"/>
      <c r="CM564" s="114" t="n"/>
      <c r="CN564" s="114" t="n"/>
      <c r="CO564" s="106" t="n"/>
      <c r="CP564" s="114" t="n">
        <v>0</v>
      </c>
      <c r="CQ564" s="114" t="n">
        <v>0</v>
      </c>
      <c r="CR564" s="114" t="n">
        <v>0</v>
      </c>
      <c r="CS564" s="114" t="n">
        <v>8723908.76</v>
      </c>
      <c r="CT564" s="114" t="n">
        <v>0</v>
      </c>
      <c r="CU564" s="114" t="n"/>
      <c r="CV564" s="114" t="n"/>
      <c r="CW564" s="115" t="n">
        <v>294675.6</v>
      </c>
      <c r="CX564" s="3" t="n">
        <f aca="false" ca="false" dt2D="false" dtr="false" t="normal">+N564-CH564</f>
        <v>-294675.5999999996</v>
      </c>
      <c r="CZ564" s="117" t="s">
        <v>108</v>
      </c>
      <c r="DA564" s="113" t="n">
        <f aca="false" ca="true" dt2D="false" dtr="false" t="normal">SUBTOTAL(9, DB564:DP564)</f>
        <v>8723908.76</v>
      </c>
      <c r="DB564" s="106" t="n"/>
      <c r="DC564" s="114" t="n"/>
      <c r="DD564" s="114" t="n"/>
      <c r="DE564" s="114" t="n"/>
      <c r="DF564" s="114" t="n"/>
      <c r="DG564" s="114" t="n"/>
      <c r="DH564" s="106" t="n"/>
      <c r="DI564" s="114" t="n">
        <v>0</v>
      </c>
      <c r="DJ564" s="114" t="n">
        <v>0</v>
      </c>
      <c r="DK564" s="114" t="n">
        <v>0</v>
      </c>
      <c r="DL564" s="114" t="n">
        <v>8723908.76</v>
      </c>
      <c r="DM564" s="114" t="n">
        <v>0</v>
      </c>
      <c r="DN564" s="114" t="n"/>
      <c r="DO564" s="114" t="n"/>
      <c r="DP564" s="240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</row>
    <row customFormat="true" hidden="false" ht="15" outlineLevel="0" r="565" s="1">
      <c r="A565" s="183" t="n">
        <f aca="false" ca="false" dt2D="false" dtr="false" t="normal">+A564+1</f>
        <v>543</v>
      </c>
      <c r="B565" s="117" t="n">
        <f aca="false" ca="false" dt2D="false" dtr="false" t="normal">+B564+1</f>
        <v>84</v>
      </c>
      <c r="C565" s="104" t="s">
        <v>78</v>
      </c>
      <c r="D565" s="104" t="s">
        <v>583</v>
      </c>
      <c r="E565" s="105" t="n">
        <v>1987</v>
      </c>
      <c r="F565" s="105" t="n">
        <v>2016</v>
      </c>
      <c r="G565" s="105" t="s">
        <v>68</v>
      </c>
      <c r="H565" s="105" t="n">
        <v>5</v>
      </c>
      <c r="I565" s="105" t="n">
        <v>4</v>
      </c>
      <c r="J565" s="106" t="n">
        <v>5859.43</v>
      </c>
      <c r="K565" s="106" t="n">
        <v>4644.4</v>
      </c>
      <c r="L565" s="106" t="n">
        <v>278.6</v>
      </c>
      <c r="M565" s="107" t="n">
        <v>182</v>
      </c>
      <c r="N565" s="108" t="n">
        <f aca="false" ca="false" dt2D="false" dtr="false" t="normal">SUM(P565:T565)</f>
        <v>9895682.42</v>
      </c>
      <c r="O565" s="106" t="n"/>
      <c r="P565" s="114" t="n"/>
      <c r="Q565" s="114" t="n"/>
      <c r="R565" s="113" t="n">
        <v>3616546.06</v>
      </c>
      <c r="S565" s="113" t="n">
        <v>6279136.36</v>
      </c>
      <c r="T565" s="114" t="n">
        <v>0</v>
      </c>
      <c r="U565" s="114" t="n">
        <v>2177.26314434329</v>
      </c>
      <c r="V565" s="114" t="n">
        <v>1234.283020064</v>
      </c>
      <c r="W565" s="110" t="n">
        <v>2024</v>
      </c>
      <c r="X565" s="9" t="e">
        <f aca="false" ca="false" dt2D="false" dtr="false" t="normal">+#REF!-'[9]Приложение №1'!$P601</f>
        <v>#REF!</v>
      </c>
      <c r="Z565" s="113" t="n">
        <f aca="false" ca="false" dt2D="false" dtr="false" t="normal">SUM(AA565:AO565)</f>
        <v>8468147.293320002</v>
      </c>
      <c r="AA565" s="106" t="n">
        <v>0</v>
      </c>
      <c r="AB565" s="106" t="n">
        <v>0</v>
      </c>
      <c r="AC565" s="106" t="n">
        <v>0</v>
      </c>
      <c r="AD565" s="106" t="n">
        <v>0</v>
      </c>
      <c r="AE565" s="106" t="n">
        <v>0</v>
      </c>
      <c r="AF565" s="106" t="n"/>
      <c r="AG565" s="106" t="n">
        <v>0</v>
      </c>
      <c r="AH565" s="106" t="n">
        <v>0</v>
      </c>
      <c r="AI565" s="106" t="n">
        <v>0</v>
      </c>
      <c r="AJ565" s="106" t="n">
        <v>7375366.75770623</v>
      </c>
      <c r="AK565" s="106" t="n">
        <v>0</v>
      </c>
      <c r="AL565" s="106" t="n">
        <v>0</v>
      </c>
      <c r="AM565" s="106" t="n">
        <v>846814.729332</v>
      </c>
      <c r="AN565" s="114" t="n">
        <v>84681.4729332</v>
      </c>
      <c r="AO565" s="115" t="n">
        <v>161284.333348573</v>
      </c>
      <c r="AP565" s="112" t="n">
        <f aca="false" ca="false" dt2D="false" dtr="false" t="normal">+N565-'Приложение №2'!E565</f>
        <v>0</v>
      </c>
      <c r="AQ565" s="121" t="n">
        <v>3059454.7</v>
      </c>
      <c r="AR565" s="3" t="n">
        <f aca="false" ca="false" dt2D="false" dtr="false" t="normal">+(K565*10.5+L565*21)*12*0.85</f>
        <v>557091.36</v>
      </c>
      <c r="AS565" s="3" t="n">
        <f aca="false" ca="false" dt2D="false" dtr="false" t="normal">+(K565*10.5+L565*21)*12*30</f>
        <v>19662048</v>
      </c>
      <c r="AT565" s="9" t="n">
        <f aca="false" ca="false" dt2D="false" dtr="false" t="normal">+S565-AS565</f>
        <v>-13382911.64</v>
      </c>
      <c r="AU565" s="9" t="e">
        <f aca="false" ca="false" dt2D="false" dtr="false" t="normal">+P565-'[5]Приложение №1'!$P518</f>
        <v>#REF!</v>
      </c>
      <c r="AV565" s="9" t="e">
        <f aca="false" ca="false" dt2D="false" dtr="false" t="normal">+Q565-'[5]Приложение №1'!$Q518</f>
        <v>#REF!</v>
      </c>
      <c r="AW565" s="186" t="n">
        <f aca="false" ca="true" dt2D="false" dtr="false" t="normal">SUBTOTAL(9, AX565:BL565)</f>
        <v>10112080.947587984</v>
      </c>
      <c r="AX565" s="106" t="n">
        <v>0</v>
      </c>
      <c r="AY565" s="106" t="n">
        <v>0</v>
      </c>
      <c r="AZ565" s="106" t="n">
        <v>0</v>
      </c>
      <c r="BA565" s="106" t="n">
        <v>0</v>
      </c>
      <c r="BB565" s="106" t="n">
        <v>0</v>
      </c>
      <c r="BC565" s="106" t="n"/>
      <c r="BD565" s="106" t="n"/>
      <c r="BE565" s="106" t="n">
        <v>0</v>
      </c>
      <c r="BF565" s="106" t="n">
        <v>0</v>
      </c>
      <c r="BG565" s="106" t="n">
        <v>9895682.4153096</v>
      </c>
      <c r="BH565" s="106" t="n">
        <v>0</v>
      </c>
      <c r="BI565" s="106" t="n">
        <v>0</v>
      </c>
      <c r="BJ565" s="106" t="n"/>
      <c r="BK565" s="114" t="n"/>
      <c r="BL565" s="115" t="n">
        <v>216398.532278383</v>
      </c>
      <c r="BM565" s="186" t="n">
        <f aca="false" ca="true" dt2D="false" dtr="false" t="normal">SUBTOTAL(9, BN565:CB565)</f>
        <v>10112080.947587984</v>
      </c>
      <c r="BN565" s="106" t="n">
        <v>0</v>
      </c>
      <c r="BO565" s="106" t="n">
        <v>0</v>
      </c>
      <c r="BP565" s="106" t="n">
        <v>0</v>
      </c>
      <c r="BQ565" s="106" t="n">
        <v>0</v>
      </c>
      <c r="BR565" s="106" t="n">
        <v>0</v>
      </c>
      <c r="BS565" s="106" t="n"/>
      <c r="BT565" s="106" t="n"/>
      <c r="BU565" s="106" t="n">
        <v>0</v>
      </c>
      <c r="BV565" s="106" t="n">
        <v>0</v>
      </c>
      <c r="BW565" s="106" t="n">
        <v>9895682.4153096</v>
      </c>
      <c r="BX565" s="106" t="n">
        <v>0</v>
      </c>
      <c r="BY565" s="106" t="n">
        <v>0</v>
      </c>
      <c r="BZ565" s="106" t="n"/>
      <c r="CA565" s="114" t="n"/>
      <c r="CB565" s="115" t="n">
        <v>216398.532278383</v>
      </c>
      <c r="CD565" s="116" t="n">
        <f aca="false" ca="false" dt2D="false" dtr="false" t="normal">+CD564+1</f>
        <v>543</v>
      </c>
      <c r="CE565" s="117" t="n">
        <f aca="false" ca="false" dt2D="false" dtr="false" t="normal">+CE564+1</f>
        <v>84</v>
      </c>
      <c r="CF565" s="104" t="s">
        <v>78</v>
      </c>
      <c r="CG565" s="117" t="s">
        <v>583</v>
      </c>
      <c r="CH565" s="108" t="n">
        <f aca="false" ca="true" dt2D="false" dtr="false" t="normal">SUBTOTAL(9, CI565:CW565)</f>
        <v>9895682.42</v>
      </c>
      <c r="CI565" s="106" t="n">
        <v>0</v>
      </c>
      <c r="CJ565" s="114" t="n">
        <v>0</v>
      </c>
      <c r="CK565" s="114" t="n">
        <v>0</v>
      </c>
      <c r="CL565" s="114" t="n">
        <v>0</v>
      </c>
      <c r="CM565" s="114" t="n">
        <v>0</v>
      </c>
      <c r="CN565" s="114" t="n"/>
      <c r="CO565" s="106" t="n"/>
      <c r="CP565" s="114" t="n">
        <v>0</v>
      </c>
      <c r="CQ565" s="114" t="n">
        <v>0</v>
      </c>
      <c r="CR565" s="114" t="n">
        <v>9895682.42</v>
      </c>
      <c r="CS565" s="114" t="n">
        <v>0</v>
      </c>
      <c r="CT565" s="114" t="n">
        <v>0</v>
      </c>
      <c r="CU565" s="114" t="n"/>
      <c r="CV565" s="114" t="n"/>
      <c r="CW565" s="115" t="n"/>
      <c r="CX565" s="3" t="n">
        <f aca="false" ca="false" dt2D="false" dtr="false" t="normal">+N565-CH565</f>
        <v>0</v>
      </c>
      <c r="CZ565" s="117" t="s">
        <v>583</v>
      </c>
      <c r="DA565" s="113" t="n">
        <f aca="false" ca="true" dt2D="false" dtr="false" t="normal">SUBTOTAL(9, DB565:DP565)</f>
        <v>9895682.42</v>
      </c>
      <c r="DB565" s="106" t="n">
        <v>0</v>
      </c>
      <c r="DC565" s="114" t="n">
        <v>0</v>
      </c>
      <c r="DD565" s="114" t="n">
        <v>0</v>
      </c>
      <c r="DE565" s="114" t="n">
        <v>0</v>
      </c>
      <c r="DF565" s="114" t="n">
        <v>0</v>
      </c>
      <c r="DG565" s="114" t="n"/>
      <c r="DH565" s="106" t="n"/>
      <c r="DI565" s="114" t="n">
        <v>0</v>
      </c>
      <c r="DJ565" s="114" t="n">
        <v>0</v>
      </c>
      <c r="DK565" s="114" t="n">
        <v>9895682.42</v>
      </c>
      <c r="DL565" s="114" t="n">
        <v>0</v>
      </c>
      <c r="DM565" s="114" t="n">
        <v>0</v>
      </c>
      <c r="DN565" s="114" t="n"/>
      <c r="DO565" s="114" t="n"/>
      <c r="DP565" s="240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</row>
    <row customFormat="true" hidden="false" ht="15" outlineLevel="0" r="566" s="1">
      <c r="A566" s="183" t="n">
        <f aca="false" ca="false" dt2D="false" dtr="false" t="normal">+A565+1</f>
        <v>544</v>
      </c>
      <c r="B566" s="117" t="n">
        <f aca="false" ca="false" dt2D="false" dtr="false" t="normal">+B565+1</f>
        <v>85</v>
      </c>
      <c r="C566" s="104" t="s">
        <v>78</v>
      </c>
      <c r="D566" s="104" t="s">
        <v>315</v>
      </c>
      <c r="E566" s="105" t="n">
        <v>1987</v>
      </c>
      <c r="F566" s="105" t="n">
        <v>2016</v>
      </c>
      <c r="G566" s="105" t="s">
        <v>68</v>
      </c>
      <c r="H566" s="105" t="n">
        <v>5</v>
      </c>
      <c r="I566" s="105" t="n">
        <v>5</v>
      </c>
      <c r="J566" s="106" t="n">
        <v>7155.6</v>
      </c>
      <c r="K566" s="106" t="n">
        <v>5789.5</v>
      </c>
      <c r="L566" s="106" t="n">
        <v>194.7</v>
      </c>
      <c r="M566" s="107" t="n">
        <v>243</v>
      </c>
      <c r="N566" s="108" t="n">
        <f aca="false" ca="false" dt2D="false" dtr="false" t="normal">SUM(P566:T566)</f>
        <v>16046575.780000001</v>
      </c>
      <c r="O566" s="106" t="n"/>
      <c r="P566" s="113" t="n">
        <v>1373883.35</v>
      </c>
      <c r="Q566" s="114" t="n"/>
      <c r="R566" s="113" t="n">
        <v>661760.19</v>
      </c>
      <c r="S566" s="113" t="n">
        <v>4044048.01</v>
      </c>
      <c r="T566" s="113" t="n">
        <v>9966884.23</v>
      </c>
      <c r="U566" s="114" t="n">
        <v>3248.37212020894</v>
      </c>
      <c r="V566" s="114" t="n">
        <v>1235.283020064</v>
      </c>
      <c r="W566" s="110" t="n">
        <v>2024</v>
      </c>
      <c r="X566" s="9" t="e">
        <f aca="false" ca="false" dt2D="false" dtr="false" t="normal">+#REF!-'[9]Приложение №1'!$P971</f>
        <v>#REF!</v>
      </c>
      <c r="Z566" s="113" t="n">
        <f aca="false" ca="false" dt2D="false" dtr="false" t="normal">SUM(AA566:AO566)</f>
        <v>41277450.38367226</v>
      </c>
      <c r="AA566" s="106" t="n">
        <v>11858561.0386538</v>
      </c>
      <c r="AB566" s="106" t="n">
        <v>0</v>
      </c>
      <c r="AC566" s="106" t="n">
        <v>0</v>
      </c>
      <c r="AD566" s="106" t="n">
        <v>4785667.37036476</v>
      </c>
      <c r="AE566" s="106" t="n">
        <v>0</v>
      </c>
      <c r="AF566" s="106" t="n"/>
      <c r="AG566" s="106" t="n">
        <v>0</v>
      </c>
      <c r="AH566" s="106" t="n">
        <v>0</v>
      </c>
      <c r="AI566" s="106" t="n">
        <v>19618197.9194476</v>
      </c>
      <c r="AJ566" s="106" t="n">
        <v>0</v>
      </c>
      <c r="AK566" s="106" t="n">
        <v>0</v>
      </c>
      <c r="AL566" s="106" t="n">
        <v>0</v>
      </c>
      <c r="AM566" s="106" t="n">
        <v>3809263.7313927</v>
      </c>
      <c r="AN566" s="114" t="n">
        <v>412774.503836723</v>
      </c>
      <c r="AO566" s="115" t="n">
        <v>792985.819976677</v>
      </c>
      <c r="AP566" s="112" t="n">
        <f aca="false" ca="false" dt2D="false" dtr="false" t="normal">+N566-'Приложение №2'!E566</f>
        <v>0</v>
      </c>
      <c r="AQ566" s="121" t="n">
        <f aca="false" ca="false" dt2D="false" dtr="false" t="normal">3643194.21-R223</f>
        <v>1386981.7999999998</v>
      </c>
      <c r="AR566" s="3" t="n">
        <f aca="false" ca="false" dt2D="false" dtr="false" t="normal">+(K566*10.5+L566*21)*12*0.85</f>
        <v>661760.19</v>
      </c>
      <c r="AS566" s="3" t="n">
        <f aca="false" ca="false" dt2D="false" dtr="false" t="normal">+(K566*10.5+L566*21)*12*30-S223</f>
        <v>16885794.979999997</v>
      </c>
      <c r="AT566" s="9" t="n">
        <f aca="false" ca="false" dt2D="false" dtr="false" t="normal">+S566-AS566</f>
        <v>-12841746.969999997</v>
      </c>
      <c r="AU566" s="9" t="e">
        <f aca="false" ca="false" dt2D="false" dtr="false" t="normal">+P566-'[5]Приложение №1'!$P519</f>
        <v>#REF!</v>
      </c>
      <c r="AV566" s="9" t="e">
        <f aca="false" ca="false" dt2D="false" dtr="false" t="normal">+Q566-'[5]Приложение №1'!$Q519</f>
        <v>#REF!</v>
      </c>
      <c r="AW566" s="186" t="n">
        <f aca="false" ca="true" dt2D="false" dtr="false" t="normal">SUBTOTAL(9, AX566:BL566)</f>
        <v>18806450.38994966</v>
      </c>
      <c r="AX566" s="106" t="n"/>
      <c r="AY566" s="106" t="n">
        <v>0</v>
      </c>
      <c r="AZ566" s="106" t="n">
        <v>0</v>
      </c>
      <c r="BA566" s="106" t="n">
        <v>5691095.75059166</v>
      </c>
      <c r="BB566" s="106" t="n">
        <v>0</v>
      </c>
      <c r="BC566" s="106" t="n"/>
      <c r="BD566" s="106" t="n"/>
      <c r="BE566" s="106" t="n">
        <v>0</v>
      </c>
      <c r="BF566" s="106" t="n"/>
      <c r="BG566" s="106" t="n">
        <v>12028791.937781</v>
      </c>
      <c r="BH566" s="106" t="n">
        <v>0</v>
      </c>
      <c r="BI566" s="106" t="n">
        <v>0</v>
      </c>
      <c r="BJ566" s="106" t="n"/>
      <c r="BK566" s="114" t="n"/>
      <c r="BL566" s="115" t="n">
        <v>1086562.701577</v>
      </c>
      <c r="BM566" s="186" t="n">
        <f aca="false" ca="true" dt2D="false" dtr="false" t="normal">SUBTOTAL(9, BN566:CB566)</f>
        <v>18806450.38994966</v>
      </c>
      <c r="BN566" s="106" t="n"/>
      <c r="BO566" s="106" t="n">
        <v>0</v>
      </c>
      <c r="BP566" s="106" t="n">
        <v>0</v>
      </c>
      <c r="BQ566" s="106" t="n">
        <v>5691095.75059166</v>
      </c>
      <c r="BR566" s="106" t="n">
        <v>0</v>
      </c>
      <c r="BS566" s="106" t="n"/>
      <c r="BT566" s="106" t="n"/>
      <c r="BU566" s="106" t="n">
        <v>0</v>
      </c>
      <c r="BV566" s="106" t="n"/>
      <c r="BW566" s="106" t="n">
        <v>12028791.937781</v>
      </c>
      <c r="BX566" s="106" t="n">
        <v>0</v>
      </c>
      <c r="BY566" s="106" t="n">
        <v>0</v>
      </c>
      <c r="BZ566" s="106" t="n"/>
      <c r="CA566" s="114" t="n"/>
      <c r="CB566" s="115" t="n">
        <v>1086562.701577</v>
      </c>
      <c r="CD566" s="116" t="n">
        <f aca="false" ca="false" dt2D="false" dtr="false" t="normal">+CD565+1</f>
        <v>544</v>
      </c>
      <c r="CE566" s="117" t="n">
        <f aca="false" ca="false" dt2D="false" dtr="false" t="normal">+CE565+1</f>
        <v>85</v>
      </c>
      <c r="CF566" s="104" t="s">
        <v>78</v>
      </c>
      <c r="CG566" s="117" t="s">
        <v>315</v>
      </c>
      <c r="CH566" s="108" t="n">
        <f aca="false" ca="true" dt2D="false" dtr="false" t="normal">SUBTOTAL(9, CI566:CW566)</f>
        <v>17133138.48</v>
      </c>
      <c r="CI566" s="106" t="n"/>
      <c r="CJ566" s="114" t="n">
        <v>0</v>
      </c>
      <c r="CK566" s="114" t="n">
        <v>0</v>
      </c>
      <c r="CL566" s="114" t="n">
        <v>4017783.84</v>
      </c>
      <c r="CM566" s="114" t="n">
        <v>0</v>
      </c>
      <c r="CN566" s="114" t="n"/>
      <c r="CO566" s="106" t="n"/>
      <c r="CP566" s="114" t="n">
        <v>0</v>
      </c>
      <c r="CQ566" s="114" t="n"/>
      <c r="CR566" s="114" t="n">
        <v>12028791.94</v>
      </c>
      <c r="CS566" s="114" t="n">
        <v>0</v>
      </c>
      <c r="CT566" s="114" t="n">
        <v>0</v>
      </c>
      <c r="CU566" s="114" t="n"/>
      <c r="CV566" s="114" t="n"/>
      <c r="CW566" s="115" t="n">
        <v>1086562.7</v>
      </c>
      <c r="CX566" s="3" t="n">
        <f aca="false" ca="false" dt2D="false" dtr="false" t="normal">+N566-CH566</f>
        <v>-1086562.6999999993</v>
      </c>
      <c r="CZ566" s="117" t="s">
        <v>315</v>
      </c>
      <c r="DA566" s="113" t="n">
        <f aca="false" ca="true" dt2D="false" dtr="false" t="normal">SUBTOTAL(9, DB566:DP566)</f>
        <v>16046575.78</v>
      </c>
      <c r="DB566" s="106" t="n"/>
      <c r="DC566" s="114" t="n">
        <v>0</v>
      </c>
      <c r="DD566" s="114" t="n">
        <v>0</v>
      </c>
      <c r="DE566" s="114" t="n">
        <v>4017783.84</v>
      </c>
      <c r="DF566" s="114" t="n">
        <v>0</v>
      </c>
      <c r="DG566" s="114" t="n"/>
      <c r="DH566" s="106" t="n"/>
      <c r="DI566" s="114" t="n">
        <v>0</v>
      </c>
      <c r="DJ566" s="114" t="n"/>
      <c r="DK566" s="114" t="n">
        <v>12028791.94</v>
      </c>
      <c r="DL566" s="114" t="n">
        <v>0</v>
      </c>
      <c r="DM566" s="114" t="n">
        <v>0</v>
      </c>
      <c r="DN566" s="114" t="n"/>
      <c r="DO566" s="114" t="n"/>
      <c r="DP566" s="240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</row>
    <row customFormat="true" hidden="false" ht="15" outlineLevel="0" r="567" s="1">
      <c r="A567" s="183" t="n">
        <f aca="false" ca="false" dt2D="false" dtr="false" t="normal">+A566+1</f>
        <v>545</v>
      </c>
      <c r="B567" s="117" t="n">
        <f aca="false" ca="false" dt2D="false" dtr="false" t="normal">+B566+1</f>
        <v>86</v>
      </c>
      <c r="C567" s="104" t="s">
        <v>78</v>
      </c>
      <c r="D567" s="104" t="s">
        <v>317</v>
      </c>
      <c r="E567" s="105" t="n">
        <v>1993</v>
      </c>
      <c r="F567" s="105" t="n">
        <v>1993</v>
      </c>
      <c r="G567" s="105" t="s">
        <v>68</v>
      </c>
      <c r="H567" s="105" t="n">
        <v>5</v>
      </c>
      <c r="I567" s="105" t="n">
        <v>3</v>
      </c>
      <c r="J567" s="106" t="n">
        <v>2627.7</v>
      </c>
      <c r="K567" s="106" t="n">
        <v>2328</v>
      </c>
      <c r="L567" s="106" t="n">
        <v>0</v>
      </c>
      <c r="M567" s="107" t="n">
        <v>101</v>
      </c>
      <c r="N567" s="108" t="n">
        <f aca="false" ca="false" dt2D="false" dtr="false" t="normal">SUM(P567:T567)</f>
        <v>917077.8</v>
      </c>
      <c r="O567" s="106" t="n"/>
      <c r="P567" s="114" t="n"/>
      <c r="Q567" s="114" t="n"/>
      <c r="R567" s="113" t="n">
        <v>917077.8</v>
      </c>
      <c r="S567" s="114" t="n">
        <v>0</v>
      </c>
      <c r="T567" s="114" t="n">
        <v>0</v>
      </c>
      <c r="U567" s="114" t="n">
        <v>2251.35944975759</v>
      </c>
      <c r="V567" s="114" t="n">
        <v>2251.35944975759</v>
      </c>
      <c r="W567" s="110" t="n">
        <v>2024</v>
      </c>
      <c r="X567" s="9" t="e">
        <f aca="false" ca="false" dt2D="false" dtr="false" t="normal">+#REF!-'[9]Приложение №1'!$P1174</f>
        <v>#REF!</v>
      </c>
      <c r="Z567" s="113" t="n">
        <f aca="false" ca="false" dt2D="false" dtr="false" t="normal">SUM(AA567:AO567)</f>
        <v>2025910.3767552015</v>
      </c>
      <c r="AA567" s="106" t="n">
        <v>0</v>
      </c>
      <c r="AB567" s="106" t="n">
        <v>0</v>
      </c>
      <c r="AC567" s="106" t="n">
        <v>1764474.74627645</v>
      </c>
      <c r="AD567" s="106" t="n">
        <v>0</v>
      </c>
      <c r="AE567" s="106" t="n">
        <v>0</v>
      </c>
      <c r="AF567" s="106" t="n"/>
      <c r="AG567" s="106" t="n">
        <v>0</v>
      </c>
      <c r="AH567" s="106" t="n">
        <v>0</v>
      </c>
      <c r="AI567" s="106" t="n">
        <v>0</v>
      </c>
      <c r="AJ567" s="106" t="n">
        <v>0</v>
      </c>
      <c r="AK567" s="106" t="n">
        <v>0</v>
      </c>
      <c r="AL567" s="106" t="n">
        <v>0</v>
      </c>
      <c r="AM567" s="106" t="n">
        <v>202591.03767552</v>
      </c>
      <c r="AN567" s="114" t="n">
        <v>20259.103767552</v>
      </c>
      <c r="AO567" s="115" t="n">
        <v>38585.4890356795</v>
      </c>
      <c r="AP567" s="112" t="n">
        <f aca="false" ca="false" dt2D="false" dtr="false" t="normal">+N567-'Приложение №2'!E567</f>
        <v>0</v>
      </c>
      <c r="AQ567" s="121" t="n">
        <v>1113195.26</v>
      </c>
      <c r="AR567" s="3" t="n">
        <f aca="false" ca="false" dt2D="false" dtr="false" t="normal">+(K567*10+L567*20)*12*0.85</f>
        <v>237456</v>
      </c>
      <c r="AS567" s="3" t="n">
        <f aca="false" ca="false" dt2D="false" dtr="false" t="normal">+(K567*10+L567*20)*12*30</f>
        <v>8380800</v>
      </c>
      <c r="AT567" s="9" t="n">
        <f aca="false" ca="false" dt2D="false" dtr="false" t="normal">+S567-AS567</f>
        <v>-8380800</v>
      </c>
      <c r="AU567" s="9" t="n"/>
      <c r="AV567" s="9" t="n"/>
      <c r="AW567" s="186" t="n">
        <f aca="false" ca="true" dt2D="false" dtr="false" t="normal">SUBTOTAL(9, AX567:BL567)</f>
        <v>5241164.79903568</v>
      </c>
      <c r="AX567" s="106" t="n">
        <v>0</v>
      </c>
      <c r="AY567" s="106" t="n">
        <v>0</v>
      </c>
      <c r="AZ567" s="106" t="n">
        <v>917077.8</v>
      </c>
      <c r="BA567" s="106" t="n">
        <v>0</v>
      </c>
      <c r="BB567" s="106" t="n">
        <v>0</v>
      </c>
      <c r="BC567" s="106" t="n"/>
      <c r="BD567" s="106" t="n"/>
      <c r="BE567" s="106" t="n">
        <v>0</v>
      </c>
      <c r="BF567" s="106" t="n">
        <v>0</v>
      </c>
      <c r="BG567" s="106" t="n">
        <v>4285501.51</v>
      </c>
      <c r="BH567" s="106" t="n">
        <v>0</v>
      </c>
      <c r="BI567" s="106" t="n">
        <v>0</v>
      </c>
      <c r="BJ567" s="106" t="n"/>
      <c r="BK567" s="114" t="n"/>
      <c r="BL567" s="115" t="n">
        <v>38585.4890356795</v>
      </c>
      <c r="BM567" s="186" t="n">
        <f aca="false" ca="true" dt2D="false" dtr="false" t="normal">SUBTOTAL(9, BN567:CB567)</f>
        <v>5241164.79903568</v>
      </c>
      <c r="BN567" s="106" t="n">
        <v>0</v>
      </c>
      <c r="BO567" s="106" t="n">
        <v>0</v>
      </c>
      <c r="BP567" s="106" t="n">
        <v>917077.8</v>
      </c>
      <c r="BQ567" s="106" t="n">
        <v>0</v>
      </c>
      <c r="BR567" s="106" t="n">
        <v>0</v>
      </c>
      <c r="BS567" s="106" t="n"/>
      <c r="BT567" s="106" t="n"/>
      <c r="BU567" s="106" t="n">
        <v>0</v>
      </c>
      <c r="BV567" s="106" t="n">
        <v>0</v>
      </c>
      <c r="BW567" s="106" t="n">
        <v>4285501.51</v>
      </c>
      <c r="BX567" s="106" t="n">
        <v>0</v>
      </c>
      <c r="BY567" s="106" t="n">
        <v>0</v>
      </c>
      <c r="BZ567" s="106" t="n"/>
      <c r="CA567" s="114" t="n"/>
      <c r="CB567" s="115" t="n">
        <v>38585.4890356795</v>
      </c>
      <c r="CD567" s="116" t="n">
        <f aca="false" ca="false" dt2D="false" dtr="false" t="normal">+CD566+1</f>
        <v>545</v>
      </c>
      <c r="CE567" s="117" t="n">
        <f aca="false" ca="false" dt2D="false" dtr="false" t="normal">+CE566+1</f>
        <v>86</v>
      </c>
      <c r="CF567" s="104" t="s">
        <v>78</v>
      </c>
      <c r="CG567" s="117" t="s">
        <v>317</v>
      </c>
      <c r="CH567" s="108" t="n">
        <f aca="false" ca="true" dt2D="false" dtr="false" t="normal">SUBTOTAL(9, CI567:CW567)</f>
        <v>917077.8</v>
      </c>
      <c r="CI567" s="106" t="n">
        <v>0</v>
      </c>
      <c r="CJ567" s="114" t="n">
        <v>0</v>
      </c>
      <c r="CK567" s="114" t="n">
        <v>917077.8</v>
      </c>
      <c r="CL567" s="114" t="n">
        <v>0</v>
      </c>
      <c r="CM567" s="114" t="n">
        <v>0</v>
      </c>
      <c r="CN567" s="114" t="n"/>
      <c r="CO567" s="106" t="n"/>
      <c r="CP567" s="114" t="n">
        <v>0</v>
      </c>
      <c r="CQ567" s="114" t="n">
        <v>0</v>
      </c>
      <c r="CR567" s="114" t="n"/>
      <c r="CS567" s="114" t="n">
        <v>0</v>
      </c>
      <c r="CT567" s="114" t="n">
        <v>0</v>
      </c>
      <c r="CU567" s="114" t="n"/>
      <c r="CV567" s="114" t="n"/>
      <c r="CW567" s="115" t="n"/>
      <c r="CX567" s="3" t="n">
        <f aca="false" ca="false" dt2D="false" dtr="false" t="normal">+N567-CH567</f>
        <v>0</v>
      </c>
      <c r="CZ567" s="117" t="s">
        <v>317</v>
      </c>
      <c r="DA567" s="113" t="n">
        <f aca="false" ca="true" dt2D="false" dtr="false" t="normal">SUBTOTAL(9, DB567:DP567)</f>
        <v>917077.8</v>
      </c>
      <c r="DB567" s="106" t="n">
        <v>0</v>
      </c>
      <c r="DC567" s="114" t="n">
        <v>0</v>
      </c>
      <c r="DD567" s="114" t="n">
        <v>917077.8</v>
      </c>
      <c r="DE567" s="114" t="n">
        <v>0</v>
      </c>
      <c r="DF567" s="114" t="n">
        <v>0</v>
      </c>
      <c r="DG567" s="114" t="n"/>
      <c r="DH567" s="106" t="n"/>
      <c r="DI567" s="114" t="n">
        <v>0</v>
      </c>
      <c r="DJ567" s="114" t="n">
        <v>0</v>
      </c>
      <c r="DK567" s="114" t="n"/>
      <c r="DL567" s="114" t="n">
        <v>0</v>
      </c>
      <c r="DM567" s="114" t="n">
        <v>0</v>
      </c>
      <c r="DN567" s="114" t="n"/>
      <c r="DO567" s="114" t="n"/>
      <c r="DP567" s="240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</row>
    <row customFormat="true" hidden="false" ht="15" outlineLevel="0" r="568" s="1">
      <c r="A568" s="183" t="n">
        <f aca="false" ca="false" dt2D="false" dtr="false" t="normal">+A567+1</f>
        <v>546</v>
      </c>
      <c r="B568" s="117" t="n">
        <f aca="false" ca="false" dt2D="false" dtr="false" t="normal">+B567+1</f>
        <v>87</v>
      </c>
      <c r="C568" s="246" t="s">
        <v>78</v>
      </c>
      <c r="D568" s="246" t="s">
        <v>318</v>
      </c>
      <c r="E568" s="247" t="n">
        <v>1987</v>
      </c>
      <c r="F568" s="247" t="n">
        <v>2013</v>
      </c>
      <c r="G568" s="247" t="s">
        <v>68</v>
      </c>
      <c r="H568" s="247" t="n">
        <v>5</v>
      </c>
      <c r="I568" s="247" t="n">
        <v>6</v>
      </c>
      <c r="J568" s="196" t="n">
        <v>5156.5</v>
      </c>
      <c r="K568" s="196" t="n">
        <v>4643.15</v>
      </c>
      <c r="L568" s="196" t="n">
        <v>0</v>
      </c>
      <c r="M568" s="248" t="n">
        <v>198</v>
      </c>
      <c r="N568" s="108" t="n">
        <f aca="false" ca="false" dt2D="false" dtr="false" t="normal">SUM(P568:T568)</f>
        <v>3541470.7399999998</v>
      </c>
      <c r="O568" s="196" t="n"/>
      <c r="P568" s="197" t="n"/>
      <c r="Q568" s="197" t="n"/>
      <c r="R568" s="186" t="n">
        <v>2589978.34</v>
      </c>
      <c r="S568" s="186" t="n">
        <v>951492.4</v>
      </c>
      <c r="T568" s="197" t="n"/>
      <c r="U568" s="196" t="n">
        <v>3983.96744218353</v>
      </c>
      <c r="V568" s="196" t="n">
        <v>3983.96744218353</v>
      </c>
      <c r="W568" s="110" t="n">
        <v>2024</v>
      </c>
      <c r="X568" s="9" t="e">
        <f aca="false" ca="false" dt2D="false" dtr="false" t="normal">+#REF!-'[9]Приложение №1'!$P1259</f>
        <v>#REF!</v>
      </c>
      <c r="Z568" s="186" t="n">
        <f aca="false" ca="false" dt2D="false" dtr="false" t="normal">SUM(AA568:AO568)</f>
        <v>19097413.75350882</v>
      </c>
      <c r="AA568" s="196" t="n">
        <v>9161875.31428182</v>
      </c>
      <c r="AB568" s="196" t="n">
        <v>0</v>
      </c>
      <c r="AC568" s="196" t="n">
        <v>3500633.09885595</v>
      </c>
      <c r="AD568" s="196" t="n">
        <v>3697386.85832041</v>
      </c>
      <c r="AE568" s="196" t="n">
        <v>0</v>
      </c>
      <c r="AF568" s="196" t="n"/>
      <c r="AG568" s="196" t="n">
        <v>380388.555332414</v>
      </c>
      <c r="AH568" s="196" t="n">
        <v>0</v>
      </c>
      <c r="AI568" s="196" t="n">
        <v>0</v>
      </c>
      <c r="AJ568" s="196" t="n">
        <v>0</v>
      </c>
      <c r="AK568" s="196" t="n">
        <v>0</v>
      </c>
      <c r="AL568" s="196" t="n">
        <v>0</v>
      </c>
      <c r="AM568" s="196" t="n">
        <v>1800079.68669661</v>
      </c>
      <c r="AN568" s="197" t="n">
        <v>190974.137535088</v>
      </c>
      <c r="AO568" s="198" t="n">
        <v>366076.10248653</v>
      </c>
      <c r="AP568" s="112" t="n">
        <f aca="false" ca="false" dt2D="false" dtr="false" t="normal">+N568-'Приложение №2'!E564</f>
        <v>-5182438.02</v>
      </c>
      <c r="AQ568" s="1" t="n">
        <v>2116377.04</v>
      </c>
      <c r="AR568" s="3" t="n">
        <f aca="false" ca="false" dt2D="false" dtr="false" t="normal">+(K568*10+L568*20)*12*0.85</f>
        <v>473601.3</v>
      </c>
      <c r="AS568" s="3" t="n">
        <f aca="false" ca="false" dt2D="false" dtr="false" t="normal">+(K568*10+L568*20)*12*30</f>
        <v>16715340</v>
      </c>
      <c r="AT568" s="9" t="n">
        <f aca="false" ca="false" dt2D="false" dtr="false" t="normal">+S568-AS568</f>
        <v>-15763847.6</v>
      </c>
      <c r="AU568" s="9" t="e">
        <f aca="false" ca="false" dt2D="false" dtr="false" t="normal">+P568-'[5]Приложение №1'!$P529</f>
        <v>#REF!</v>
      </c>
      <c r="AV568" s="9" t="e">
        <f aca="false" ca="false" dt2D="false" dtr="false" t="normal">+Q568-'[5]Приложение №1'!$Q529</f>
        <v>#REF!</v>
      </c>
      <c r="AW568" s="186" t="n">
        <f aca="false" ca="true" dt2D="false" dtr="false" t="normal">SUBTOTAL(9, AX568:BL568)</f>
        <v>18498158.42917446</v>
      </c>
      <c r="AX568" s="196" t="n">
        <v>9987277.69165114</v>
      </c>
      <c r="AY568" s="196" t="n">
        <v>0</v>
      </c>
      <c r="AZ568" s="196" t="n">
        <v>3500633.09885595</v>
      </c>
      <c r="BA568" s="196" t="n">
        <v>4233998.49295062</v>
      </c>
      <c r="BB568" s="196" t="n">
        <v>0</v>
      </c>
      <c r="BC568" s="196" t="n"/>
      <c r="BD568" s="196" t="n">
        <v>380388.555332414</v>
      </c>
      <c r="BE568" s="196" t="n">
        <v>0</v>
      </c>
      <c r="BF568" s="196" t="n">
        <v>0</v>
      </c>
      <c r="BG568" s="196" t="n">
        <v>0</v>
      </c>
      <c r="BH568" s="196" t="n">
        <v>0</v>
      </c>
      <c r="BI568" s="196" t="n">
        <v>0</v>
      </c>
      <c r="BJ568" s="196" t="n"/>
      <c r="BK568" s="197" t="n"/>
      <c r="BL568" s="199" t="n">
        <v>395860.590384333</v>
      </c>
      <c r="BM568" s="113" t="n">
        <f aca="false" ca="true" dt2D="false" dtr="false" t="normal">SUBTOTAL(9, BN568:CB568)</f>
        <v>14129193.324572697</v>
      </c>
      <c r="BN568" s="106" t="n">
        <v>6213317.02</v>
      </c>
      <c r="BO568" s="106" t="n">
        <v>0</v>
      </c>
      <c r="BP568" s="106" t="n">
        <v>3500633.09885595</v>
      </c>
      <c r="BQ568" s="106" t="n">
        <v>3638994.06</v>
      </c>
      <c r="BR568" s="106" t="n">
        <v>0</v>
      </c>
      <c r="BS568" s="106" t="n"/>
      <c r="BT568" s="106" t="n">
        <v>380388.555332414</v>
      </c>
      <c r="BU568" s="106" t="n">
        <v>0</v>
      </c>
      <c r="BV568" s="106" t="n">
        <v>0</v>
      </c>
      <c r="BW568" s="106" t="n">
        <v>0</v>
      </c>
      <c r="BX568" s="106" t="n">
        <v>0</v>
      </c>
      <c r="BY568" s="106" t="n">
        <v>0</v>
      </c>
      <c r="BZ568" s="106" t="n"/>
      <c r="CA568" s="114" t="n"/>
      <c r="CB568" s="115" t="n">
        <v>395860.590384333</v>
      </c>
      <c r="CD568" s="116" t="n">
        <f aca="false" ca="false" dt2D="false" dtr="false" t="normal">+CD567+1</f>
        <v>546</v>
      </c>
      <c r="CE568" s="117" t="n">
        <f aca="false" ca="false" dt2D="false" dtr="false" t="normal">+CE567+1</f>
        <v>87</v>
      </c>
      <c r="CF568" s="104" t="s">
        <v>78</v>
      </c>
      <c r="CG568" s="117" t="s">
        <v>318</v>
      </c>
      <c r="CH568" s="108" t="n">
        <f aca="false" ca="true" dt2D="false" dtr="false" t="normal">SUBTOTAL(9, CI568:CW568)</f>
        <v>3896493.69</v>
      </c>
      <c r="CI568" s="106" t="n"/>
      <c r="CJ568" s="114" t="n">
        <v>0</v>
      </c>
      <c r="CK568" s="114" t="n">
        <v>3500633.1</v>
      </c>
      <c r="CL568" s="114" t="n"/>
      <c r="CM568" s="114" t="n">
        <v>0</v>
      </c>
      <c r="CN568" s="114" t="n"/>
      <c r="CO568" s="106" t="n"/>
      <c r="CP568" s="114" t="n">
        <v>0</v>
      </c>
      <c r="CQ568" s="114" t="n">
        <v>0</v>
      </c>
      <c r="CR568" s="114" t="n">
        <v>0</v>
      </c>
      <c r="CS568" s="114" t="n">
        <v>0</v>
      </c>
      <c r="CT568" s="114" t="n">
        <v>0</v>
      </c>
      <c r="CU568" s="114" t="n"/>
      <c r="CV568" s="114" t="n"/>
      <c r="CW568" s="115" t="n">
        <v>395860.59</v>
      </c>
      <c r="CX568" s="3" t="n">
        <f aca="false" ca="false" dt2D="false" dtr="false" t="normal">+N568-CH568</f>
        <v>-355022.9500000002</v>
      </c>
      <c r="CZ568" s="117" t="s">
        <v>318</v>
      </c>
      <c r="DA568" s="113" t="n">
        <f aca="false" ca="true" dt2D="false" dtr="false" t="normal">SUBTOTAL(9, DB568:DP568)</f>
        <v>3541470.7385</v>
      </c>
      <c r="DB568" s="106" t="n"/>
      <c r="DC568" s="114" t="n">
        <v>0</v>
      </c>
      <c r="DD568" s="114" t="n">
        <v>3500633.1</v>
      </c>
      <c r="DE568" s="114" t="n"/>
      <c r="DF568" s="114" t="n">
        <v>0</v>
      </c>
      <c r="DG568" s="114" t="n"/>
      <c r="DH568" s="106" t="n"/>
      <c r="DI568" s="114" t="n">
        <v>0</v>
      </c>
      <c r="DJ568" s="114" t="n">
        <v>0</v>
      </c>
      <c r="DK568" s="114" t="n">
        <v>0</v>
      </c>
      <c r="DL568" s="114" t="n">
        <v>0</v>
      </c>
      <c r="DM568" s="114" t="n">
        <v>0</v>
      </c>
      <c r="DN568" s="114" t="n"/>
      <c r="DO568" s="114" t="n"/>
      <c r="DP568" s="115" t="n">
        <f aca="false" ca="false" dt2D="false" dtr="false" t="normal">35510.99*1.15</f>
        <v>40837.638499999994</v>
      </c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</row>
    <row customFormat="true" hidden="false" ht="15" outlineLevel="0" r="569" s="1">
      <c r="A569" s="183" t="n">
        <f aca="false" ca="false" dt2D="false" dtr="false" t="normal">+A568+1</f>
        <v>547</v>
      </c>
      <c r="B569" s="117" t="n">
        <f aca="false" ca="false" dt2D="false" dtr="false" t="normal">+B568+1</f>
        <v>88</v>
      </c>
      <c r="C569" s="104" t="s">
        <v>78</v>
      </c>
      <c r="D569" s="104" t="s">
        <v>584</v>
      </c>
      <c r="E569" s="105" t="n">
        <v>1995</v>
      </c>
      <c r="F569" s="105" t="n">
        <v>1995</v>
      </c>
      <c r="G569" s="105" t="s">
        <v>68</v>
      </c>
      <c r="H569" s="105" t="n">
        <v>5</v>
      </c>
      <c r="I569" s="105" t="n">
        <v>6</v>
      </c>
      <c r="J569" s="106" t="n">
        <v>5276.5</v>
      </c>
      <c r="K569" s="106" t="n">
        <v>4687.4</v>
      </c>
      <c r="L569" s="106" t="n">
        <v>0</v>
      </c>
      <c r="M569" s="107" t="n">
        <v>200</v>
      </c>
      <c r="N569" s="108" t="n">
        <f aca="false" ca="false" dt2D="false" dtr="false" t="normal">SUM(P569:T569)</f>
        <v>3780647.12</v>
      </c>
      <c r="O569" s="106" t="n"/>
      <c r="P569" s="114" t="n"/>
      <c r="Q569" s="114" t="n"/>
      <c r="R569" s="113" t="n">
        <v>3090072.4</v>
      </c>
      <c r="S569" s="113" t="n">
        <v>690574.72</v>
      </c>
      <c r="T569" s="114" t="n"/>
      <c r="U569" s="114" t="n">
        <v>1004.74319164001</v>
      </c>
      <c r="V569" s="114" t="n">
        <v>1236.283020064</v>
      </c>
      <c r="W569" s="110" t="n">
        <v>2024</v>
      </c>
      <c r="X569" s="9" t="e">
        <f aca="false" ca="false" dt2D="false" dtr="false" t="normal">+#REF!-'[9]Приложение №1'!$P604</f>
        <v>#REF!</v>
      </c>
      <c r="Z569" s="113" t="n">
        <f aca="false" ca="false" dt2D="false" dtr="false" t="normal">SUM(AA569:AO569)</f>
        <v>26420103.17313118</v>
      </c>
      <c r="AA569" s="106" t="n">
        <v>0</v>
      </c>
      <c r="AB569" s="106" t="n">
        <v>0</v>
      </c>
      <c r="AC569" s="106" t="n">
        <v>3550073.21940169</v>
      </c>
      <c r="AD569" s="106" t="n">
        <v>0</v>
      </c>
      <c r="AE569" s="106" t="n">
        <v>0</v>
      </c>
      <c r="AF569" s="106" t="n"/>
      <c r="AG569" s="106" t="n">
        <v>0</v>
      </c>
      <c r="AH569" s="106" t="n">
        <v>0</v>
      </c>
      <c r="AI569" s="106" t="n">
        <v>0</v>
      </c>
      <c r="AJ569" s="106" t="n">
        <v>0</v>
      </c>
      <c r="AK569" s="106" t="n">
        <v>19460621.3196496</v>
      </c>
      <c r="AL569" s="106" t="n">
        <v>0</v>
      </c>
      <c r="AM569" s="106" t="n">
        <v>2642010.31731312</v>
      </c>
      <c r="AN569" s="114" t="n">
        <v>264201.031731312</v>
      </c>
      <c r="AO569" s="115" t="n">
        <v>503197.285035457</v>
      </c>
      <c r="AP569" s="112" t="n">
        <f aca="false" ca="false" dt2D="false" dtr="false" t="normal">+N569-'Приложение №2'!E569</f>
        <v>0</v>
      </c>
      <c r="AQ569" s="121" t="n">
        <v>2688838.01</v>
      </c>
      <c r="AR569" s="3" t="n">
        <f aca="false" ca="false" dt2D="false" dtr="false" t="normal">+(K569*10.5+L569*21)*12*0.85</f>
        <v>502020.5399999999</v>
      </c>
      <c r="AS569" s="3" t="n">
        <f aca="false" ca="false" dt2D="false" dtr="false" t="normal">+(K569*10.5+L569*21)*12*30</f>
        <v>17718371.999999996</v>
      </c>
      <c r="AT569" s="9" t="n">
        <f aca="false" ca="false" dt2D="false" dtr="false" t="normal">+S569-AS569</f>
        <v>-17027797.279999997</v>
      </c>
      <c r="AU569" s="9" t="e">
        <f aca="false" ca="false" dt2D="false" dtr="false" t="normal">+P569-'[5]Приложение №1'!$P520</f>
        <v>#REF!</v>
      </c>
      <c r="AV569" s="9" t="e">
        <f aca="false" ca="false" dt2D="false" dtr="false" t="normal">+Q569-'[5]Приложение №1'!$Q520</f>
        <v>#REF!</v>
      </c>
      <c r="AW569" s="186" t="n">
        <f aca="false" ca="true" dt2D="false" dtr="false" t="normal">SUBTOTAL(9, AX569:BL569)</f>
        <v>4709633.236493358</v>
      </c>
      <c r="AX569" s="106" t="n">
        <v>0</v>
      </c>
      <c r="AY569" s="106" t="n">
        <v>0</v>
      </c>
      <c r="AZ569" s="106" t="n">
        <v>4608847.0852324</v>
      </c>
      <c r="BA569" s="106" t="n">
        <v>0</v>
      </c>
      <c r="BB569" s="106" t="n">
        <v>0</v>
      </c>
      <c r="BC569" s="106" t="n"/>
      <c r="BD569" s="106" t="n"/>
      <c r="BE569" s="106" t="n">
        <v>0</v>
      </c>
      <c r="BF569" s="106" t="n">
        <v>0</v>
      </c>
      <c r="BG569" s="106" t="n">
        <v>0</v>
      </c>
      <c r="BH569" s="106" t="n"/>
      <c r="BI569" s="106" t="n">
        <v>0</v>
      </c>
      <c r="BJ569" s="106" t="n"/>
      <c r="BK569" s="114" t="n"/>
      <c r="BL569" s="115" t="n">
        <v>100786.151260958</v>
      </c>
      <c r="BM569" s="186" t="n">
        <f aca="false" ca="true" dt2D="false" dtr="false" t="normal">SUBTOTAL(9, BN569:CB569)</f>
        <v>4709633.236493358</v>
      </c>
      <c r="BN569" s="106" t="n">
        <v>0</v>
      </c>
      <c r="BO569" s="106" t="n">
        <v>0</v>
      </c>
      <c r="BP569" s="106" t="n">
        <v>4608847.0852324</v>
      </c>
      <c r="BQ569" s="106" t="n">
        <v>0</v>
      </c>
      <c r="BR569" s="106" t="n">
        <v>0</v>
      </c>
      <c r="BS569" s="106" t="n"/>
      <c r="BT569" s="106" t="n"/>
      <c r="BU569" s="106" t="n">
        <v>0</v>
      </c>
      <c r="BV569" s="106" t="n">
        <v>0</v>
      </c>
      <c r="BW569" s="106" t="n">
        <v>0</v>
      </c>
      <c r="BX569" s="106" t="n"/>
      <c r="BY569" s="106" t="n">
        <v>0</v>
      </c>
      <c r="BZ569" s="106" t="n"/>
      <c r="CA569" s="114" t="n"/>
      <c r="CB569" s="115" t="n">
        <v>100786.151260958</v>
      </c>
      <c r="CD569" s="116" t="n">
        <f aca="false" ca="false" dt2D="false" dtr="false" t="normal">+CD568+1</f>
        <v>547</v>
      </c>
      <c r="CE569" s="117" t="n">
        <f aca="false" ca="false" dt2D="false" dtr="false" t="normal">+CE568+1</f>
        <v>88</v>
      </c>
      <c r="CF569" s="104" t="s">
        <v>78</v>
      </c>
      <c r="CG569" s="117" t="s">
        <v>584</v>
      </c>
      <c r="CH569" s="108" t="n">
        <f aca="false" ca="true" dt2D="false" dtr="false" t="normal">SUBTOTAL(9, CI569:CW569)</f>
        <v>3881433.27</v>
      </c>
      <c r="CI569" s="106" t="n">
        <v>0</v>
      </c>
      <c r="CJ569" s="114" t="n">
        <v>0</v>
      </c>
      <c r="CK569" s="114" t="n">
        <v>3780647.12</v>
      </c>
      <c r="CL569" s="114" t="n">
        <v>0</v>
      </c>
      <c r="CM569" s="114" t="n">
        <v>0</v>
      </c>
      <c r="CN569" s="114" t="n"/>
      <c r="CO569" s="106" t="n"/>
      <c r="CP569" s="114" t="n">
        <v>0</v>
      </c>
      <c r="CQ569" s="114" t="n">
        <v>0</v>
      </c>
      <c r="CR569" s="114" t="n">
        <v>0</v>
      </c>
      <c r="CS569" s="114" t="n"/>
      <c r="CT569" s="114" t="n">
        <v>0</v>
      </c>
      <c r="CU569" s="114" t="n"/>
      <c r="CV569" s="114" t="n"/>
      <c r="CW569" s="115" t="n">
        <v>100786.15</v>
      </c>
      <c r="CX569" s="3" t="n">
        <f aca="false" ca="false" dt2D="false" dtr="false" t="normal">+N569-CH569</f>
        <v>-100786.1499999999</v>
      </c>
      <c r="CZ569" s="117" t="s">
        <v>584</v>
      </c>
      <c r="DA569" s="113" t="n">
        <f aca="false" ca="true" dt2D="false" dtr="false" t="normal">SUBTOTAL(9, DB569:DP569)</f>
        <v>3780647.12</v>
      </c>
      <c r="DB569" s="106" t="n">
        <v>0</v>
      </c>
      <c r="DC569" s="114" t="n">
        <v>0</v>
      </c>
      <c r="DD569" s="114" t="n">
        <v>3780647.12</v>
      </c>
      <c r="DE569" s="114" t="n">
        <v>0</v>
      </c>
      <c r="DF569" s="114" t="n">
        <v>0</v>
      </c>
      <c r="DG569" s="114" t="n"/>
      <c r="DH569" s="106" t="n"/>
      <c r="DI569" s="114" t="n">
        <v>0</v>
      </c>
      <c r="DJ569" s="114" t="n">
        <v>0</v>
      </c>
      <c r="DK569" s="114" t="n">
        <v>0</v>
      </c>
      <c r="DL569" s="114" t="n"/>
      <c r="DM569" s="114" t="n">
        <v>0</v>
      </c>
      <c r="DN569" s="114" t="n"/>
      <c r="DO569" s="114" t="n"/>
      <c r="DP569" s="240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</row>
    <row customFormat="true" hidden="false" ht="15" outlineLevel="0" r="570" s="1">
      <c r="A570" s="183" t="n">
        <f aca="false" ca="false" dt2D="false" dtr="false" t="normal">+A569+1</f>
        <v>548</v>
      </c>
      <c r="B570" s="117" t="n">
        <f aca="false" ca="false" dt2D="false" dtr="false" t="normal">+B569+1</f>
        <v>89</v>
      </c>
      <c r="C570" s="104" t="s">
        <v>78</v>
      </c>
      <c r="D570" s="104" t="s">
        <v>319</v>
      </c>
      <c r="E570" s="105" t="n">
        <v>1987</v>
      </c>
      <c r="F570" s="105" t="n">
        <v>2008</v>
      </c>
      <c r="G570" s="105" t="s">
        <v>68</v>
      </c>
      <c r="H570" s="105" t="n">
        <v>5</v>
      </c>
      <c r="I570" s="105" t="n">
        <v>6</v>
      </c>
      <c r="J570" s="106" t="n">
        <v>5142.4</v>
      </c>
      <c r="K570" s="106" t="n">
        <v>4585</v>
      </c>
      <c r="L570" s="106" t="n">
        <v>0</v>
      </c>
      <c r="M570" s="107" t="n">
        <v>184</v>
      </c>
      <c r="N570" s="108" t="n">
        <f aca="false" ca="false" dt2D="false" dtr="false" t="normal">SUM(P570:T570)</f>
        <v>3512775.78</v>
      </c>
      <c r="O570" s="106" t="n"/>
      <c r="P570" s="114" t="n"/>
      <c r="Q570" s="114" t="n"/>
      <c r="R570" s="114" t="n"/>
      <c r="S570" s="113" t="n">
        <v>3512775.78</v>
      </c>
      <c r="T570" s="114" t="n"/>
      <c r="U570" s="106" t="n">
        <v>842.864558947285</v>
      </c>
      <c r="V570" s="106" t="n">
        <v>842.864558947285</v>
      </c>
      <c r="W570" s="110" t="n">
        <v>2024</v>
      </c>
      <c r="X570" s="9" t="e">
        <f aca="false" ca="false" dt2D="false" dtr="false" t="normal">+#REF!-'[9]Приложение №1'!$P1366</f>
        <v>#REF!</v>
      </c>
      <c r="Z570" s="113" t="n">
        <f aca="false" ca="false" dt2D="false" dtr="false" t="normal">SUM(AA570:AO570)</f>
        <v>18940870.80401968</v>
      </c>
      <c r="AA570" s="106" t="n">
        <v>9086774.72720437</v>
      </c>
      <c r="AB570" s="106" t="n">
        <v>0</v>
      </c>
      <c r="AC570" s="106" t="n">
        <v>3471938.14374594</v>
      </c>
      <c r="AD570" s="106" t="n">
        <v>3667079.09771605</v>
      </c>
      <c r="AE570" s="106" t="n">
        <v>0</v>
      </c>
      <c r="AF570" s="106" t="n"/>
      <c r="AG570" s="106" t="n">
        <v>377270.48148366</v>
      </c>
      <c r="AH570" s="106" t="n">
        <v>0</v>
      </c>
      <c r="AI570" s="106" t="n">
        <v>0</v>
      </c>
      <c r="AJ570" s="106" t="n">
        <v>0</v>
      </c>
      <c r="AK570" s="106" t="n">
        <v>0</v>
      </c>
      <c r="AL570" s="106" t="n">
        <v>0</v>
      </c>
      <c r="AM570" s="106" t="n">
        <v>1785324.2969298</v>
      </c>
      <c r="AN570" s="114" t="n">
        <v>189408.708040197</v>
      </c>
      <c r="AO570" s="115" t="n">
        <v>363075.348899663</v>
      </c>
      <c r="AP570" s="112" t="n">
        <f aca="false" ca="false" dt2D="false" dtr="false" t="normal">+N570-'Приложение №2'!E570</f>
        <v>0</v>
      </c>
      <c r="AQ570" s="9" t="n">
        <f aca="false" ca="false" dt2D="false" dtr="false" t="normal">2190820.19-R227</f>
        <v>1012699.6099999999</v>
      </c>
      <c r="AR570" s="3" t="n">
        <f aca="false" ca="false" dt2D="false" dtr="false" t="normal">+(K570*10+L570*20)*12*0.85</f>
        <v>467670</v>
      </c>
      <c r="AS570" s="3" t="n">
        <f aca="false" ca="false" dt2D="false" dtr="false" t="normal">+(K570*10+L570*20)*12*30-S227</f>
        <v>7935123.289999999</v>
      </c>
      <c r="AT570" s="9" t="n">
        <f aca="false" ca="false" dt2D="false" dtr="false" t="normal">+S570-AS570</f>
        <v>-4422347.51</v>
      </c>
      <c r="AU570" s="9" t="e">
        <f aca="false" ca="false" dt2D="false" dtr="false" t="normal">+P570-'[5]Приложение №1'!$P636</f>
        <v>#REF!</v>
      </c>
      <c r="AV570" s="9" t="e">
        <f aca="false" ca="false" dt2D="false" dtr="false" t="normal">+Q570-'[5]Приложение №1'!$Q636</f>
        <v>#REF!</v>
      </c>
      <c r="AW570" s="113" t="n">
        <f aca="false" ca="true" dt2D="false" dtr="false" t="normal">SUBTOTAL(9, AX570:BL570)</f>
        <v>3864534.002773303</v>
      </c>
      <c r="AX570" s="106" t="n"/>
      <c r="AY570" s="106" t="n">
        <v>0</v>
      </c>
      <c r="AZ570" s="106" t="n">
        <v>3471938.14374594</v>
      </c>
      <c r="BA570" s="106" t="n"/>
      <c r="BB570" s="106" t="n">
        <v>0</v>
      </c>
      <c r="BC570" s="106" t="n"/>
      <c r="BD570" s="106" t="n"/>
      <c r="BE570" s="106" t="n">
        <v>0</v>
      </c>
      <c r="BF570" s="106" t="n">
        <v>0</v>
      </c>
      <c r="BG570" s="106" t="n">
        <v>0</v>
      </c>
      <c r="BH570" s="106" t="n">
        <v>0</v>
      </c>
      <c r="BI570" s="106" t="n">
        <v>0</v>
      </c>
      <c r="BJ570" s="106" t="n"/>
      <c r="BK570" s="114" t="n"/>
      <c r="BL570" s="115" t="n">
        <v>392595.859027363</v>
      </c>
      <c r="BM570" s="113" t="n">
        <f aca="false" ca="true" dt2D="false" dtr="false" t="normal">SUBTOTAL(9, BN570:CB570)</f>
        <v>3864534.002773303</v>
      </c>
      <c r="BN570" s="106" t="n"/>
      <c r="BO570" s="106" t="n">
        <v>0</v>
      </c>
      <c r="BP570" s="106" t="n">
        <v>3471938.14374594</v>
      </c>
      <c r="BQ570" s="106" t="n"/>
      <c r="BR570" s="106" t="n">
        <v>0</v>
      </c>
      <c r="BS570" s="106" t="n"/>
      <c r="BT570" s="106" t="n"/>
      <c r="BU570" s="106" t="n">
        <v>0</v>
      </c>
      <c r="BV570" s="106" t="n">
        <v>0</v>
      </c>
      <c r="BW570" s="106" t="n">
        <v>0</v>
      </c>
      <c r="BX570" s="106" t="n">
        <v>0</v>
      </c>
      <c r="BY570" s="106" t="n">
        <v>0</v>
      </c>
      <c r="BZ570" s="106" t="n"/>
      <c r="CA570" s="114" t="n"/>
      <c r="CB570" s="115" t="n">
        <v>392595.859027363</v>
      </c>
      <c r="CD570" s="116" t="n">
        <f aca="false" ca="false" dt2D="false" dtr="false" t="normal">+CD569+1</f>
        <v>548</v>
      </c>
      <c r="CE570" s="117" t="n">
        <f aca="false" ca="false" dt2D="false" dtr="false" t="normal">+CE569+1</f>
        <v>89</v>
      </c>
      <c r="CF570" s="104" t="s">
        <v>78</v>
      </c>
      <c r="CG570" s="117" t="s">
        <v>319</v>
      </c>
      <c r="CH570" s="108" t="n">
        <f aca="false" ca="true" dt2D="false" dtr="false" t="normal">SUBTOTAL(9, CI570:CW570)</f>
        <v>3864534</v>
      </c>
      <c r="CI570" s="106" t="n"/>
      <c r="CJ570" s="114" t="n">
        <v>0</v>
      </c>
      <c r="CK570" s="114" t="n">
        <v>3471938.14</v>
      </c>
      <c r="CL570" s="114" t="n"/>
      <c r="CM570" s="114" t="n">
        <v>0</v>
      </c>
      <c r="CN570" s="114" t="n"/>
      <c r="CO570" s="106" t="n"/>
      <c r="CP570" s="114" t="n">
        <v>0</v>
      </c>
      <c r="CQ570" s="114" t="n">
        <v>0</v>
      </c>
      <c r="CR570" s="114" t="n">
        <v>0</v>
      </c>
      <c r="CS570" s="114" t="n">
        <v>0</v>
      </c>
      <c r="CT570" s="114" t="n">
        <v>0</v>
      </c>
      <c r="CU570" s="114" t="n"/>
      <c r="CV570" s="114" t="n"/>
      <c r="CW570" s="115" t="n">
        <v>392595.86</v>
      </c>
      <c r="CX570" s="3" t="n">
        <f aca="false" ca="false" dt2D="false" dtr="false" t="normal">+N570-CH570</f>
        <v>-351758.2200000002</v>
      </c>
      <c r="CZ570" s="117" t="s">
        <v>319</v>
      </c>
      <c r="DA570" s="113" t="n">
        <f aca="false" ca="true" dt2D="false" dtr="false" t="normal">SUBTOTAL(9, DB570:DP570)</f>
        <v>3512775.7785</v>
      </c>
      <c r="DB570" s="106" t="n"/>
      <c r="DC570" s="114" t="n">
        <v>0</v>
      </c>
      <c r="DD570" s="114" t="n">
        <v>3471938.14</v>
      </c>
      <c r="DE570" s="114" t="n"/>
      <c r="DF570" s="114" t="n">
        <v>0</v>
      </c>
      <c r="DG570" s="114" t="n"/>
      <c r="DH570" s="106" t="n"/>
      <c r="DI570" s="114" t="n">
        <v>0</v>
      </c>
      <c r="DJ570" s="114" t="n">
        <v>0</v>
      </c>
      <c r="DK570" s="114" t="n">
        <v>0</v>
      </c>
      <c r="DL570" s="114" t="n">
        <v>0</v>
      </c>
      <c r="DM570" s="114" t="n">
        <v>0</v>
      </c>
      <c r="DN570" s="114" t="n"/>
      <c r="DO570" s="114" t="n"/>
      <c r="DP570" s="115" t="n">
        <f aca="false" ca="false" dt2D="false" dtr="false" t="normal">35510.99*1.15</f>
        <v>40837.638499999994</v>
      </c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</row>
    <row customFormat="true" hidden="false" ht="15" outlineLevel="0" r="571" s="1">
      <c r="A571" s="183" t="n">
        <f aca="false" ca="false" dt2D="false" dtr="false" t="normal">+A570+1</f>
        <v>549</v>
      </c>
      <c r="B571" s="117" t="n">
        <f aca="false" ca="false" dt2D="false" dtr="false" t="normal">+B570+1</f>
        <v>90</v>
      </c>
      <c r="C571" s="104" t="s">
        <v>78</v>
      </c>
      <c r="D571" s="104" t="s">
        <v>320</v>
      </c>
      <c r="E571" s="105" t="n">
        <v>1988</v>
      </c>
      <c r="F571" s="105" t="n">
        <v>2008</v>
      </c>
      <c r="G571" s="105" t="s">
        <v>68</v>
      </c>
      <c r="H571" s="105" t="n">
        <v>5</v>
      </c>
      <c r="I571" s="105" t="n">
        <v>6</v>
      </c>
      <c r="J571" s="106" t="n">
        <v>5139.5</v>
      </c>
      <c r="K571" s="106" t="n">
        <v>4552.6</v>
      </c>
      <c r="L571" s="106" t="n">
        <v>68.4</v>
      </c>
      <c r="M571" s="107" t="n">
        <v>203</v>
      </c>
      <c r="N571" s="108" t="n">
        <f aca="false" ca="false" dt2D="false" dtr="false" t="normal">SUM(P571:T571)</f>
        <v>3516485.69</v>
      </c>
      <c r="O571" s="106" t="n"/>
      <c r="P571" s="114" t="n"/>
      <c r="Q571" s="114" t="n"/>
      <c r="R571" s="114" t="n"/>
      <c r="S571" s="113" t="n">
        <v>3516485.69</v>
      </c>
      <c r="T571" s="114" t="n"/>
      <c r="U571" s="106" t="n">
        <v>837.433817463257</v>
      </c>
      <c r="V571" s="106" t="n">
        <v>837.433817463257</v>
      </c>
      <c r="W571" s="110" t="n">
        <v>2024</v>
      </c>
      <c r="X571" s="9" t="e">
        <f aca="false" ca="false" dt2D="false" dtr="false" t="normal">+#REF!-'[9]Приложение №1'!$P1367</f>
        <v>#REF!</v>
      </c>
      <c r="Z571" s="113" t="n">
        <f aca="false" ca="false" dt2D="false" dtr="false" t="normal">SUM(AA571:AO571)</f>
        <v>19009395.42381734</v>
      </c>
      <c r="AA571" s="106" t="n">
        <v>9139483.84636691</v>
      </c>
      <c r="AB571" s="106" t="n">
        <v>0</v>
      </c>
      <c r="AC571" s="106" t="n">
        <v>3475648.04559393</v>
      </c>
      <c r="AD571" s="106" t="n">
        <v>3670997.51531397</v>
      </c>
      <c r="AE571" s="106" t="n">
        <v>0</v>
      </c>
      <c r="AF571" s="106" t="n"/>
      <c r="AG571" s="106" t="n">
        <v>377673.609764898</v>
      </c>
      <c r="AH571" s="106" t="n">
        <v>0</v>
      </c>
      <c r="AI571" s="106" t="n">
        <v>0</v>
      </c>
      <c r="AJ571" s="106" t="n">
        <v>0</v>
      </c>
      <c r="AK571" s="106" t="n">
        <v>0</v>
      </c>
      <c r="AL571" s="106" t="n">
        <v>0</v>
      </c>
      <c r="AM571" s="106" t="n">
        <v>1791094.83046236</v>
      </c>
      <c r="AN571" s="114" t="n">
        <v>190093.954238173</v>
      </c>
      <c r="AO571" s="115" t="n">
        <v>364403.6220771</v>
      </c>
      <c r="AP571" s="112" t="n">
        <f aca="false" ca="false" dt2D="false" dtr="false" t="normal">+N571-'Приложение №2'!E571</f>
        <v>0</v>
      </c>
      <c r="AQ571" s="9" t="n">
        <f aca="false" ca="false" dt2D="false" dtr="false" t="normal">2180464.78-R228</f>
        <v>815894.8950962198</v>
      </c>
      <c r="AR571" s="3" t="n">
        <f aca="false" ca="false" dt2D="false" dtr="false" t="normal">+(K571*10+L571*20)*12*0.85</f>
        <v>478318.8</v>
      </c>
      <c r="AS571" s="3" t="n">
        <f aca="false" ca="false" dt2D="false" dtr="false" t="normal">+(K571*10+L571*20)*12*30-S228</f>
        <v>8503852.224903781</v>
      </c>
      <c r="AT571" s="9" t="n">
        <f aca="false" ca="false" dt2D="false" dtr="false" t="normal">+S571-AS571</f>
        <v>-4987366.5349037815</v>
      </c>
      <c r="AU571" s="9" t="e">
        <f aca="false" ca="false" dt2D="false" dtr="false" t="normal">+P571-'[5]Приложение №1'!$P636</f>
        <v>#REF!</v>
      </c>
      <c r="AV571" s="9" t="e">
        <f aca="false" ca="false" dt2D="false" dtr="false" t="normal">+Q571-'[5]Приложение №1'!$Q636</f>
        <v>#REF!</v>
      </c>
      <c r="AW571" s="113" t="n">
        <f aca="false" ca="true" dt2D="false" dtr="false" t="normal">SUBTOTAL(9, AX571:BL571)</f>
        <v>3869781.6704977048</v>
      </c>
      <c r="AX571" s="106" t="n"/>
      <c r="AY571" s="106" t="n">
        <v>0</v>
      </c>
      <c r="AZ571" s="106" t="n">
        <v>3475648.04559393</v>
      </c>
      <c r="BA571" s="106" t="n"/>
      <c r="BB571" s="106" t="n">
        <v>0</v>
      </c>
      <c r="BC571" s="106" t="n"/>
      <c r="BD571" s="106" t="n"/>
      <c r="BE571" s="106" t="n">
        <v>0</v>
      </c>
      <c r="BF571" s="106" t="n">
        <v>0</v>
      </c>
      <c r="BG571" s="106" t="n">
        <v>0</v>
      </c>
      <c r="BH571" s="106" t="n">
        <v>0</v>
      </c>
      <c r="BI571" s="106" t="n">
        <v>0</v>
      </c>
      <c r="BJ571" s="106" t="n"/>
      <c r="BK571" s="114" t="n"/>
      <c r="BL571" s="115" t="n">
        <v>394133.624903775</v>
      </c>
      <c r="BM571" s="113" t="n">
        <f aca="false" ca="true" dt2D="false" dtr="false" t="normal">SUBTOTAL(9, BN571:CB571)</f>
        <v>3869781.6704977048</v>
      </c>
      <c r="BN571" s="106" t="n"/>
      <c r="BO571" s="106" t="n">
        <v>0</v>
      </c>
      <c r="BP571" s="106" t="n">
        <v>3475648.04559393</v>
      </c>
      <c r="BQ571" s="106" t="n"/>
      <c r="BR571" s="106" t="n">
        <v>0</v>
      </c>
      <c r="BS571" s="106" t="n"/>
      <c r="BT571" s="106" t="n"/>
      <c r="BU571" s="106" t="n">
        <v>0</v>
      </c>
      <c r="BV571" s="106" t="n">
        <v>0</v>
      </c>
      <c r="BW571" s="106" t="n">
        <v>0</v>
      </c>
      <c r="BX571" s="106" t="n">
        <v>0</v>
      </c>
      <c r="BY571" s="106" t="n">
        <v>0</v>
      </c>
      <c r="BZ571" s="106" t="n"/>
      <c r="CA571" s="114" t="n"/>
      <c r="CB571" s="115" t="n">
        <v>394133.624903775</v>
      </c>
      <c r="CD571" s="116" t="n">
        <f aca="false" ca="false" dt2D="false" dtr="false" t="normal">+CD570+1</f>
        <v>549</v>
      </c>
      <c r="CE571" s="117" t="n">
        <f aca="false" ca="false" dt2D="false" dtr="false" t="normal">+CE570+1</f>
        <v>90</v>
      </c>
      <c r="CF571" s="104" t="s">
        <v>78</v>
      </c>
      <c r="CG571" s="117" t="s">
        <v>320</v>
      </c>
      <c r="CH571" s="108" t="n">
        <f aca="false" ca="true" dt2D="false" dtr="false" t="normal">SUBTOTAL(9, CI571:CW571)</f>
        <v>3869781.67</v>
      </c>
      <c r="CI571" s="106" t="n"/>
      <c r="CJ571" s="114" t="n">
        <v>0</v>
      </c>
      <c r="CK571" s="114" t="n">
        <v>3475648.05</v>
      </c>
      <c r="CL571" s="114" t="n"/>
      <c r="CM571" s="114" t="n">
        <v>0</v>
      </c>
      <c r="CN571" s="114" t="n"/>
      <c r="CO571" s="106" t="n"/>
      <c r="CP571" s="114" t="n">
        <v>0</v>
      </c>
      <c r="CQ571" s="114" t="n">
        <v>0</v>
      </c>
      <c r="CR571" s="114" t="n">
        <v>0</v>
      </c>
      <c r="CS571" s="114" t="n">
        <v>0</v>
      </c>
      <c r="CT571" s="114" t="n">
        <v>0</v>
      </c>
      <c r="CU571" s="114" t="n"/>
      <c r="CV571" s="114" t="n"/>
      <c r="CW571" s="115" t="n">
        <v>394133.62</v>
      </c>
      <c r="CX571" s="3" t="n">
        <f aca="false" ca="false" dt2D="false" dtr="false" t="normal">+N571-CH571</f>
        <v>-353295.98</v>
      </c>
      <c r="CZ571" s="117" t="s">
        <v>320</v>
      </c>
      <c r="DA571" s="113" t="n">
        <f aca="false" ca="true" dt2D="false" dtr="false" t="normal">SUBTOTAL(9, DB571:DP571)</f>
        <v>3516485.6884999997</v>
      </c>
      <c r="DB571" s="106" t="n"/>
      <c r="DC571" s="114" t="n">
        <v>0</v>
      </c>
      <c r="DD571" s="114" t="n">
        <v>3475648.05</v>
      </c>
      <c r="DE571" s="114" t="n"/>
      <c r="DF571" s="114" t="n">
        <v>0</v>
      </c>
      <c r="DG571" s="114" t="n"/>
      <c r="DH571" s="106" t="n"/>
      <c r="DI571" s="114" t="n">
        <v>0</v>
      </c>
      <c r="DJ571" s="114" t="n">
        <v>0</v>
      </c>
      <c r="DK571" s="114" t="n">
        <v>0</v>
      </c>
      <c r="DL571" s="114" t="n">
        <v>0</v>
      </c>
      <c r="DM571" s="114" t="n">
        <v>0</v>
      </c>
      <c r="DN571" s="114" t="n"/>
      <c r="DO571" s="114" t="n"/>
      <c r="DP571" s="115" t="n">
        <f aca="false" ca="false" dt2D="false" dtr="false" t="normal">35510.99*1.15</f>
        <v>40837.638499999994</v>
      </c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</row>
    <row customFormat="true" hidden="false" ht="15" outlineLevel="0" r="572" s="1">
      <c r="A572" s="183" t="n">
        <f aca="false" ca="false" dt2D="false" dtr="false" t="normal">+A571+1</f>
        <v>550</v>
      </c>
      <c r="B572" s="117" t="n">
        <f aca="false" ca="false" dt2D="false" dtr="false" t="normal">+B571+1</f>
        <v>91</v>
      </c>
      <c r="C572" s="104" t="s">
        <v>78</v>
      </c>
      <c r="D572" s="104" t="s">
        <v>585</v>
      </c>
      <c r="E572" s="105" t="n">
        <v>1989</v>
      </c>
      <c r="F572" s="105" t="n">
        <v>2016</v>
      </c>
      <c r="G572" s="105" t="s">
        <v>68</v>
      </c>
      <c r="H572" s="105" t="n">
        <v>5</v>
      </c>
      <c r="I572" s="105" t="n">
        <v>8</v>
      </c>
      <c r="J572" s="106" t="n">
        <v>7135.2</v>
      </c>
      <c r="K572" s="106" t="n">
        <v>6073.2</v>
      </c>
      <c r="L572" s="106" t="n">
        <v>1062</v>
      </c>
      <c r="M572" s="107" t="n">
        <v>253</v>
      </c>
      <c r="N572" s="108" t="n">
        <f aca="false" ca="false" dt2D="false" dtr="false" t="normal">SUM(P572:T572)</f>
        <v>39374232.56</v>
      </c>
      <c r="O572" s="106" t="n"/>
      <c r="P572" s="114" t="n"/>
      <c r="Q572" s="114" t="n"/>
      <c r="R572" s="113" t="n">
        <v>4432237.84</v>
      </c>
      <c r="S572" s="113" t="n">
        <v>30985416</v>
      </c>
      <c r="T572" s="113" t="n">
        <v>3956578.72</v>
      </c>
      <c r="U572" s="114" t="n">
        <v>6625.05224329843</v>
      </c>
      <c r="V572" s="114" t="n">
        <v>1238.283020064</v>
      </c>
      <c r="W572" s="110" t="n">
        <v>2024</v>
      </c>
      <c r="X572" s="9" t="e">
        <f aca="false" ca="false" dt2D="false" dtr="false" t="normal">+#REF!-'[9]Приложение №1'!$P977</f>
        <v>#REF!</v>
      </c>
      <c r="Z572" s="113" t="n">
        <f aca="false" ca="false" dt2D="false" dtr="false" t="normal">SUM(AA572:AO572)</f>
        <v>28889172.43190783</v>
      </c>
      <c r="AA572" s="106" t="n">
        <v>0</v>
      </c>
      <c r="AB572" s="106" t="n">
        <v>0</v>
      </c>
      <c r="AC572" s="106" t="n">
        <v>0</v>
      </c>
      <c r="AD572" s="106" t="n">
        <v>0</v>
      </c>
      <c r="AE572" s="106" t="n">
        <v>0</v>
      </c>
      <c r="AF572" s="106" t="n"/>
      <c r="AG572" s="106" t="n">
        <v>0</v>
      </c>
      <c r="AH572" s="106" t="n">
        <v>0</v>
      </c>
      <c r="AI572" s="106" t="n">
        <v>0</v>
      </c>
      <c r="AJ572" s="106" t="n">
        <v>0</v>
      </c>
      <c r="AK572" s="106" t="n">
        <v>28074124.097605</v>
      </c>
      <c r="AL572" s="106" t="n">
        <v>0</v>
      </c>
      <c r="AM572" s="106" t="n">
        <v>177124.1</v>
      </c>
      <c r="AN572" s="106" t="n">
        <v>24000</v>
      </c>
      <c r="AO572" s="115" t="n">
        <v>613924.234302828</v>
      </c>
      <c r="AP572" s="112" t="n">
        <f aca="false" ca="false" dt2D="false" dtr="false" t="normal">+N572-'Приложение №2'!E572</f>
        <v>0</v>
      </c>
      <c r="AQ572" s="121" t="n">
        <v>3554317.72</v>
      </c>
      <c r="AR572" s="3" t="n">
        <f aca="false" ca="false" dt2D="false" dtr="false" t="normal">+(K572*10.5+L572*21)*12*0.85</f>
        <v>877920.12</v>
      </c>
      <c r="AS572" s="3" t="n">
        <f aca="false" ca="false" dt2D="false" dtr="false" t="normal">+(K572*10.5+L572*21)*12*30</f>
        <v>30985416.000000004</v>
      </c>
      <c r="AT572" s="9" t="n">
        <f aca="false" ca="false" dt2D="false" dtr="false" t="normal">+S572-AS572</f>
        <v>0</v>
      </c>
      <c r="AU572" s="9" t="e">
        <f aca="false" ca="false" dt2D="false" dtr="false" t="normal">+P572-'[5]Приложение №1'!$P522</f>
        <v>#REF!</v>
      </c>
      <c r="AV572" s="9" t="e">
        <f aca="false" ca="false" dt2D="false" dtr="false" t="normal">+Q572-'[5]Приложение №1'!$Q522</f>
        <v>#REF!</v>
      </c>
      <c r="AW572" s="186" t="n">
        <f aca="false" ca="true" dt2D="false" dtr="false" t="normal">SUBTOTAL(9, AX572:BL572)</f>
        <v>40235267.284</v>
      </c>
      <c r="AX572" s="106" t="n">
        <v>0</v>
      </c>
      <c r="AY572" s="106" t="n">
        <v>0</v>
      </c>
      <c r="AZ572" s="106" t="n">
        <v>0</v>
      </c>
      <c r="BA572" s="106" t="n">
        <v>0</v>
      </c>
      <c r="BB572" s="106" t="n">
        <v>0</v>
      </c>
      <c r="BC572" s="106" t="n"/>
      <c r="BD572" s="106" t="n"/>
      <c r="BE572" s="106" t="n">
        <v>0</v>
      </c>
      <c r="BF572" s="106" t="n">
        <v>0</v>
      </c>
      <c r="BG572" s="106" t="n">
        <v>0</v>
      </c>
      <c r="BH572" s="106" t="n">
        <v>39374232.5641224</v>
      </c>
      <c r="BI572" s="106" t="n">
        <v>0</v>
      </c>
      <c r="BJ572" s="106" t="n"/>
      <c r="BK572" s="106" t="n"/>
      <c r="BL572" s="115" t="n">
        <v>861034.7198776</v>
      </c>
      <c r="BM572" s="186" t="n">
        <f aca="false" ca="true" dt2D="false" dtr="false" t="normal">SUBTOTAL(9, BN572:CB572)</f>
        <v>40235267.284</v>
      </c>
      <c r="BN572" s="106" t="n">
        <v>0</v>
      </c>
      <c r="BO572" s="106" t="n">
        <v>0</v>
      </c>
      <c r="BP572" s="106" t="n">
        <v>0</v>
      </c>
      <c r="BQ572" s="106" t="n">
        <v>0</v>
      </c>
      <c r="BR572" s="106" t="n">
        <v>0</v>
      </c>
      <c r="BS572" s="106" t="n"/>
      <c r="BT572" s="106" t="n"/>
      <c r="BU572" s="106" t="n">
        <v>0</v>
      </c>
      <c r="BV572" s="106" t="n">
        <v>0</v>
      </c>
      <c r="BW572" s="106" t="n">
        <v>0</v>
      </c>
      <c r="BX572" s="106" t="n">
        <v>39374232.5641224</v>
      </c>
      <c r="BY572" s="106" t="n">
        <v>0</v>
      </c>
      <c r="BZ572" s="106" t="n"/>
      <c r="CA572" s="106" t="n"/>
      <c r="CB572" s="115" t="n">
        <v>861034.7198776</v>
      </c>
      <c r="CD572" s="116" t="n">
        <f aca="false" ca="false" dt2D="false" dtr="false" t="normal">+CD571+1</f>
        <v>550</v>
      </c>
      <c r="CE572" s="117" t="n">
        <f aca="false" ca="false" dt2D="false" dtr="false" t="normal">+CE571+1</f>
        <v>91</v>
      </c>
      <c r="CF572" s="104" t="s">
        <v>78</v>
      </c>
      <c r="CG572" s="117" t="s">
        <v>585</v>
      </c>
      <c r="CH572" s="108" t="n">
        <f aca="false" ca="true" dt2D="false" dtr="false" t="normal">SUBTOTAL(9, CI572:CW572)</f>
        <v>40235267.28</v>
      </c>
      <c r="CI572" s="106" t="n">
        <v>0</v>
      </c>
      <c r="CJ572" s="114" t="n">
        <v>0</v>
      </c>
      <c r="CK572" s="114" t="n">
        <v>0</v>
      </c>
      <c r="CL572" s="114" t="n">
        <v>0</v>
      </c>
      <c r="CM572" s="114" t="n">
        <v>0</v>
      </c>
      <c r="CN572" s="114" t="n"/>
      <c r="CO572" s="106" t="n"/>
      <c r="CP572" s="114" t="n">
        <v>0</v>
      </c>
      <c r="CQ572" s="114" t="n">
        <v>0</v>
      </c>
      <c r="CR572" s="114" t="n">
        <v>0</v>
      </c>
      <c r="CS572" s="114" t="n">
        <v>39374232.56</v>
      </c>
      <c r="CT572" s="114" t="n">
        <v>0</v>
      </c>
      <c r="CU572" s="114" t="n"/>
      <c r="CV572" s="114" t="n"/>
      <c r="CW572" s="115" t="n">
        <v>861034.72</v>
      </c>
      <c r="CX572" s="3" t="n">
        <f aca="false" ca="false" dt2D="false" dtr="false" t="normal">+N572-CH572</f>
        <v>-861034.7199999988</v>
      </c>
      <c r="CZ572" s="117" t="s">
        <v>585</v>
      </c>
      <c r="DA572" s="113" t="n">
        <f aca="false" ca="true" dt2D="false" dtr="false" t="normal">SUBTOTAL(9, DB572:DP572)</f>
        <v>39374232.56</v>
      </c>
      <c r="DB572" s="106" t="n">
        <v>0</v>
      </c>
      <c r="DC572" s="114" t="n">
        <v>0</v>
      </c>
      <c r="DD572" s="114" t="n">
        <v>0</v>
      </c>
      <c r="DE572" s="114" t="n">
        <v>0</v>
      </c>
      <c r="DF572" s="114" t="n">
        <v>0</v>
      </c>
      <c r="DG572" s="114" t="n"/>
      <c r="DH572" s="106" t="n"/>
      <c r="DI572" s="114" t="n">
        <v>0</v>
      </c>
      <c r="DJ572" s="114" t="n">
        <v>0</v>
      </c>
      <c r="DK572" s="114" t="n">
        <v>0</v>
      </c>
      <c r="DL572" s="114" t="n">
        <v>39374232.56</v>
      </c>
      <c r="DM572" s="114" t="n">
        <v>0</v>
      </c>
      <c r="DN572" s="114" t="n"/>
      <c r="DO572" s="114" t="n"/>
      <c r="DP572" s="240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</row>
    <row customFormat="true" hidden="false" ht="15" outlineLevel="0" r="573" s="1">
      <c r="A573" s="183" t="n">
        <f aca="false" ca="false" dt2D="false" dtr="false" t="normal">+A572+1</f>
        <v>551</v>
      </c>
      <c r="B573" s="117" t="n">
        <f aca="false" ca="false" dt2D="false" dtr="false" t="normal">+B572+1</f>
        <v>92</v>
      </c>
      <c r="C573" s="104" t="s">
        <v>78</v>
      </c>
      <c r="D573" s="104" t="s">
        <v>586</v>
      </c>
      <c r="E573" s="105" t="n">
        <v>1991</v>
      </c>
      <c r="F573" s="105" t="n">
        <v>2010</v>
      </c>
      <c r="G573" s="105" t="s">
        <v>68</v>
      </c>
      <c r="H573" s="105" t="n">
        <v>5</v>
      </c>
      <c r="I573" s="105" t="n">
        <v>5</v>
      </c>
      <c r="J573" s="106" t="n">
        <v>4721.9</v>
      </c>
      <c r="K573" s="106" t="n">
        <v>4156.5</v>
      </c>
      <c r="L573" s="106" t="n">
        <v>0</v>
      </c>
      <c r="M573" s="107" t="n">
        <v>161</v>
      </c>
      <c r="N573" s="108" t="n">
        <f aca="false" ca="false" dt2D="false" dtr="false" t="normal">SUM(P573:T573)</f>
        <v>22015417.980000004</v>
      </c>
      <c r="O573" s="106" t="n"/>
      <c r="P573" s="114" t="n">
        <v>586390.28</v>
      </c>
      <c r="Q573" s="114" t="n"/>
      <c r="R573" s="113" t="n">
        <v>2919129.96</v>
      </c>
      <c r="S573" s="113" t="n">
        <v>15711570</v>
      </c>
      <c r="T573" s="113" t="n">
        <v>2798327.74</v>
      </c>
      <c r="U573" s="114" t="n">
        <v>5502.09542875316</v>
      </c>
      <c r="V573" s="114" t="n">
        <v>1240.283020064</v>
      </c>
      <c r="W573" s="110" t="n">
        <v>2024</v>
      </c>
      <c r="X573" s="9" t="e">
        <f aca="false" ca="false" dt2D="false" dtr="false" t="normal">+#REF!-'[9]Приложение №1'!$P1361</f>
        <v>#REF!</v>
      </c>
      <c r="Z573" s="113" t="n">
        <f aca="false" ca="false" dt2D="false" dtr="false" t="normal">SUM(AA573:AO573)</f>
        <v>13211921.580525165</v>
      </c>
      <c r="AA573" s="106" t="n">
        <v>8244815.90268704</v>
      </c>
      <c r="AB573" s="106" t="n">
        <v>0</v>
      </c>
      <c r="AC573" s="106" t="n">
        <v>0</v>
      </c>
      <c r="AD573" s="106" t="n">
        <v>3327296.31458162</v>
      </c>
      <c r="AE573" s="106" t="n">
        <v>0</v>
      </c>
      <c r="AF573" s="106" t="n"/>
      <c r="AG573" s="106" t="n">
        <v>0</v>
      </c>
      <c r="AH573" s="106" t="n">
        <v>0</v>
      </c>
      <c r="AI573" s="106" t="n">
        <v>0</v>
      </c>
      <c r="AJ573" s="106" t="n">
        <v>0</v>
      </c>
      <c r="AK573" s="106" t="n">
        <v>0</v>
      </c>
      <c r="AL573" s="106" t="n">
        <v>0</v>
      </c>
      <c r="AM573" s="106" t="n">
        <v>1254631.49074826</v>
      </c>
      <c r="AN573" s="114" t="n">
        <v>132119.215805252</v>
      </c>
      <c r="AO573" s="115" t="n">
        <v>253058.656702993</v>
      </c>
      <c r="AP573" s="112" t="n">
        <f aca="false" ca="false" dt2D="false" dtr="false" t="normal">+N573-'Приложение №2'!E573</f>
        <v>0</v>
      </c>
      <c r="AQ573" s="121" t="n">
        <v>2473968.81</v>
      </c>
      <c r="AR573" s="3" t="n">
        <f aca="false" ca="false" dt2D="false" dtr="false" t="normal">+(K573*10.5+L573*21)*12*0.85</f>
        <v>445161.14999999997</v>
      </c>
      <c r="AS573" s="3" t="n">
        <f aca="false" ca="false" dt2D="false" dtr="false" t="normal">+(K573*10.5+L573*21)*12*30</f>
        <v>15711570</v>
      </c>
      <c r="AT573" s="9" t="n">
        <f aca="false" ca="false" dt2D="false" dtr="false" t="normal">+S573-AS573</f>
        <v>0</v>
      </c>
      <c r="AU573" s="9" t="e">
        <f aca="false" ca="false" dt2D="false" dtr="false" t="normal">+P573-'[5]Приложение №1'!$P524</f>
        <v>#REF!</v>
      </c>
      <c r="AV573" s="9" t="e">
        <f aca="false" ca="false" dt2D="false" dtr="false" t="normal">+Q573-'[5]Приложение №1'!$Q524</f>
        <v>#REF!</v>
      </c>
      <c r="AW573" s="186" t="n">
        <f aca="false" ca="true" dt2D="false" dtr="false" t="normal">SUBTOTAL(9, AX573:BL573)</f>
        <v>22869459.649612546</v>
      </c>
      <c r="AX573" s="106" t="n">
        <v>13891614.2865311</v>
      </c>
      <c r="AY573" s="106" t="n">
        <v>0</v>
      </c>
      <c r="AZ573" s="106" t="n">
        <v>4086844.07342418</v>
      </c>
      <c r="BA573" s="106" t="n">
        <v>3952915.92649548</v>
      </c>
      <c r="BB573" s="106" t="n">
        <v>0</v>
      </c>
      <c r="BC573" s="106" t="n"/>
      <c r="BD573" s="106" t="n">
        <v>448678.926660076</v>
      </c>
      <c r="BE573" s="106" t="n">
        <v>0</v>
      </c>
      <c r="BF573" s="106" t="n">
        <v>0</v>
      </c>
      <c r="BG573" s="106" t="n">
        <v>0</v>
      </c>
      <c r="BH573" s="106" t="n">
        <v>0</v>
      </c>
      <c r="BI573" s="106" t="n">
        <v>0</v>
      </c>
      <c r="BJ573" s="106" t="n"/>
      <c r="BK573" s="114" t="n"/>
      <c r="BL573" s="115" t="n">
        <v>489406.436501707</v>
      </c>
      <c r="BM573" s="186" t="n">
        <f aca="false" ca="true" dt2D="false" dtr="false" t="normal">SUBTOTAL(9, BN573:CB573)</f>
        <v>22869459.649612546</v>
      </c>
      <c r="BN573" s="106" t="n">
        <v>13891614.2865311</v>
      </c>
      <c r="BO573" s="106" t="n">
        <v>0</v>
      </c>
      <c r="BP573" s="106" t="n">
        <v>4086844.07342418</v>
      </c>
      <c r="BQ573" s="106" t="n">
        <v>3952915.92649548</v>
      </c>
      <c r="BR573" s="106" t="n">
        <v>0</v>
      </c>
      <c r="BS573" s="106" t="n"/>
      <c r="BT573" s="106" t="n">
        <v>448678.926660076</v>
      </c>
      <c r="BU573" s="106" t="n">
        <v>0</v>
      </c>
      <c r="BV573" s="106" t="n">
        <v>0</v>
      </c>
      <c r="BW573" s="106" t="n">
        <v>0</v>
      </c>
      <c r="BX573" s="106" t="n">
        <v>0</v>
      </c>
      <c r="BY573" s="106" t="n">
        <v>0</v>
      </c>
      <c r="BZ573" s="106" t="n"/>
      <c r="CA573" s="114" t="n"/>
      <c r="CB573" s="115" t="n">
        <v>489406.436501707</v>
      </c>
      <c r="CD573" s="116" t="n">
        <f aca="false" ca="false" dt2D="false" dtr="false" t="normal">+CD572+1</f>
        <v>551</v>
      </c>
      <c r="CE573" s="117" t="n">
        <f aca="false" ca="false" dt2D="false" dtr="false" t="normal">+CE572+1</f>
        <v>92</v>
      </c>
      <c r="CF573" s="104" t="s">
        <v>78</v>
      </c>
      <c r="CG573" s="117" t="s">
        <v>586</v>
      </c>
      <c r="CH573" s="108" t="n">
        <f aca="false" ca="true" dt2D="false" dtr="false" t="normal">SUBTOTAL(9, CI573:CW573)</f>
        <v>22504824.419999998</v>
      </c>
      <c r="CI573" s="106" t="n">
        <v>13891614.29</v>
      </c>
      <c r="CJ573" s="114" t="n">
        <v>0</v>
      </c>
      <c r="CK573" s="114" t="n">
        <v>3810136.93</v>
      </c>
      <c r="CL573" s="243" t="n">
        <v>4313666.76</v>
      </c>
      <c r="CM573" s="114" t="n">
        <v>0</v>
      </c>
      <c r="CN573" s="114" t="n"/>
      <c r="CO573" s="106" t="n"/>
      <c r="CP573" s="114" t="n">
        <v>0</v>
      </c>
      <c r="CQ573" s="114" t="n">
        <v>0</v>
      </c>
      <c r="CR573" s="114" t="n">
        <v>0</v>
      </c>
      <c r="CS573" s="114" t="n">
        <v>0</v>
      </c>
      <c r="CT573" s="114" t="n">
        <v>0</v>
      </c>
      <c r="CU573" s="114" t="n"/>
      <c r="CV573" s="114" t="n"/>
      <c r="CW573" s="115" t="n">
        <v>489406.44</v>
      </c>
      <c r="CX573" s="3" t="n">
        <f aca="false" ca="false" dt2D="false" dtr="false" t="normal">+N573-CH573</f>
        <v>-489406.4399999939</v>
      </c>
      <c r="CZ573" s="117" t="s">
        <v>586</v>
      </c>
      <c r="DA573" s="113" t="n">
        <f aca="false" ca="true" dt2D="false" dtr="false" t="normal">SUBTOTAL(9, DB573:DP573)</f>
        <v>22015417.979999997</v>
      </c>
      <c r="DB573" s="106" t="n">
        <v>13891614.29</v>
      </c>
      <c r="DC573" s="114" t="n">
        <v>0</v>
      </c>
      <c r="DD573" s="114" t="n">
        <v>3810136.93</v>
      </c>
      <c r="DE573" s="243" t="n">
        <v>4313666.76</v>
      </c>
      <c r="DF573" s="114" t="n">
        <v>0</v>
      </c>
      <c r="DG573" s="114" t="n"/>
      <c r="DH573" s="106" t="n"/>
      <c r="DI573" s="114" t="n">
        <v>0</v>
      </c>
      <c r="DJ573" s="114" t="n">
        <v>0</v>
      </c>
      <c r="DK573" s="114" t="n">
        <v>0</v>
      </c>
      <c r="DL573" s="114" t="n">
        <v>0</v>
      </c>
      <c r="DM573" s="114" t="n">
        <v>0</v>
      </c>
      <c r="DN573" s="114" t="n"/>
      <c r="DO573" s="114" t="n"/>
      <c r="DP573" s="240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</row>
    <row customFormat="true" hidden="false" ht="15" outlineLevel="0" r="574" s="1">
      <c r="A574" s="183" t="n">
        <f aca="false" ca="false" dt2D="false" dtr="false" t="normal">+A573+1</f>
        <v>552</v>
      </c>
      <c r="B574" s="117" t="n">
        <f aca="false" ca="false" dt2D="false" dtr="false" t="normal">+B573+1</f>
        <v>93</v>
      </c>
      <c r="C574" s="104" t="s">
        <v>78</v>
      </c>
      <c r="D574" s="104" t="s">
        <v>587</v>
      </c>
      <c r="E574" s="105" t="n">
        <v>1991</v>
      </c>
      <c r="F574" s="105" t="n">
        <v>1999</v>
      </c>
      <c r="G574" s="105" t="s">
        <v>68</v>
      </c>
      <c r="H574" s="105" t="n">
        <v>2</v>
      </c>
      <c r="I574" s="105" t="n">
        <v>8</v>
      </c>
      <c r="J574" s="106" t="n">
        <v>1042.9</v>
      </c>
      <c r="K574" s="106" t="n">
        <v>988.8</v>
      </c>
      <c r="L574" s="106" t="n">
        <v>54.1</v>
      </c>
      <c r="M574" s="107" t="n">
        <v>39</v>
      </c>
      <c r="N574" s="108" t="n">
        <f aca="false" ca="false" dt2D="false" dtr="false" t="normal">SUM(P574:T574)</f>
        <v>12254316.469999999</v>
      </c>
      <c r="O574" s="106" t="n"/>
      <c r="P574" s="113" t="n">
        <v>1714925.77</v>
      </c>
      <c r="Q574" s="114" t="n"/>
      <c r="R574" s="113" t="n">
        <v>704790.02</v>
      </c>
      <c r="S574" s="113" t="n">
        <v>4146660</v>
      </c>
      <c r="T574" s="113" t="n">
        <v>5687940.68</v>
      </c>
      <c r="U574" s="114" t="n">
        <v>12664.131824465</v>
      </c>
      <c r="V574" s="114" t="n">
        <v>1242.283020064</v>
      </c>
      <c r="W574" s="110" t="n">
        <v>2024</v>
      </c>
      <c r="X574" s="9" t="e">
        <f aca="false" ca="false" dt2D="false" dtr="false" t="normal">+#REF!-'[9]Приложение №1'!$P606</f>
        <v>#REF!</v>
      </c>
      <c r="Z574" s="113" t="n">
        <f aca="false" ca="false" dt2D="false" dtr="false" t="normal">SUM(AA574:AO574)</f>
        <v>11134371.56</v>
      </c>
      <c r="AA574" s="106" t="n">
        <v>0</v>
      </c>
      <c r="AB574" s="106" t="n">
        <v>0</v>
      </c>
      <c r="AC574" s="106" t="n">
        <v>0</v>
      </c>
      <c r="AD574" s="106" t="n">
        <v>0</v>
      </c>
      <c r="AE574" s="106" t="n">
        <v>0</v>
      </c>
      <c r="AF574" s="106" t="n"/>
      <c r="AG574" s="106" t="n">
        <v>0</v>
      </c>
      <c r="AH574" s="106" t="n">
        <v>0</v>
      </c>
      <c r="AI574" s="106" t="n">
        <v>0</v>
      </c>
      <c r="AJ574" s="106" t="n">
        <v>0</v>
      </c>
      <c r="AK574" s="106" t="n">
        <v>9697525.44766824</v>
      </c>
      <c r="AL574" s="106" t="n">
        <v>0</v>
      </c>
      <c r="AM574" s="106" t="n">
        <v>1113437.156</v>
      </c>
      <c r="AN574" s="114" t="n">
        <v>111343.7156</v>
      </c>
      <c r="AO574" s="115" t="n">
        <v>212065.24073176</v>
      </c>
      <c r="AP574" s="112" t="n">
        <f aca="false" ca="false" dt2D="false" dtr="false" t="normal">+N574-'Приложение №2'!E574</f>
        <v>0</v>
      </c>
      <c r="AQ574" s="121" t="n">
        <v>587301.32</v>
      </c>
      <c r="AR574" s="3" t="n">
        <f aca="false" ca="false" dt2D="false" dtr="false" t="normal">+(K574*10.5+L574*21)*12*0.85</f>
        <v>117488.7</v>
      </c>
      <c r="AS574" s="3" t="n">
        <f aca="false" ca="false" dt2D="false" dtr="false" t="normal">+(K574*10.5+L574*21)*12*30</f>
        <v>4146660</v>
      </c>
      <c r="AT574" s="9" t="n">
        <f aca="false" ca="false" dt2D="false" dtr="false" t="normal">+S574-AS574</f>
        <v>0</v>
      </c>
      <c r="AU574" s="9" t="e">
        <f aca="false" ca="false" dt2D="false" dtr="false" t="normal">+P574-'[5]Приложение №1'!$P525</f>
        <v>#REF!</v>
      </c>
      <c r="AV574" s="9" t="e">
        <f aca="false" ca="false" dt2D="false" dtr="false" t="normal">+Q574-'[5]Приложение №1'!$Q525</f>
        <v>#REF!</v>
      </c>
      <c r="AW574" s="186" t="n">
        <f aca="false" ca="true" dt2D="false" dtr="false" t="normal">SUBTOTAL(9, AX574:BL574)</f>
        <v>12522293.548031064</v>
      </c>
      <c r="AX574" s="106" t="n">
        <v>0</v>
      </c>
      <c r="AY574" s="106" t="n">
        <v>0</v>
      </c>
      <c r="AZ574" s="106" t="n">
        <v>0</v>
      </c>
      <c r="BA574" s="106" t="n">
        <v>0</v>
      </c>
      <c r="BB574" s="106" t="n">
        <v>0</v>
      </c>
      <c r="BC574" s="106" t="n"/>
      <c r="BD574" s="106" t="n"/>
      <c r="BE574" s="106" t="n">
        <v>0</v>
      </c>
      <c r="BF574" s="106" t="n">
        <v>0</v>
      </c>
      <c r="BG574" s="106" t="n">
        <v>0</v>
      </c>
      <c r="BH574" s="106" t="n">
        <v>12254316.4661032</v>
      </c>
      <c r="BI574" s="106" t="n">
        <v>0</v>
      </c>
      <c r="BJ574" s="106" t="n"/>
      <c r="BK574" s="114" t="n"/>
      <c r="BL574" s="115" t="n">
        <v>267977.081927864</v>
      </c>
      <c r="BM574" s="186" t="n">
        <f aca="false" ca="true" dt2D="false" dtr="false" t="normal">SUBTOTAL(9, BN574:CB574)</f>
        <v>12522293.548031064</v>
      </c>
      <c r="BN574" s="106" t="n">
        <v>0</v>
      </c>
      <c r="BO574" s="106" t="n">
        <v>0</v>
      </c>
      <c r="BP574" s="106" t="n">
        <v>0</v>
      </c>
      <c r="BQ574" s="106" t="n">
        <v>0</v>
      </c>
      <c r="BR574" s="106" t="n">
        <v>0</v>
      </c>
      <c r="BS574" s="106" t="n"/>
      <c r="BT574" s="106" t="n"/>
      <c r="BU574" s="106" t="n">
        <v>0</v>
      </c>
      <c r="BV574" s="106" t="n">
        <v>0</v>
      </c>
      <c r="BW574" s="106" t="n">
        <v>0</v>
      </c>
      <c r="BX574" s="106" t="n">
        <v>12254316.4661032</v>
      </c>
      <c r="BY574" s="106" t="n">
        <v>0</v>
      </c>
      <c r="BZ574" s="106" t="n"/>
      <c r="CA574" s="114" t="n"/>
      <c r="CB574" s="115" t="n">
        <v>267977.081927864</v>
      </c>
      <c r="CD574" s="116" t="n">
        <f aca="false" ca="false" dt2D="false" dtr="false" t="normal">+CD573+1</f>
        <v>552</v>
      </c>
      <c r="CE574" s="117" t="n">
        <f aca="false" ca="false" dt2D="false" dtr="false" t="normal">+CE573+1</f>
        <v>93</v>
      </c>
      <c r="CF574" s="104" t="s">
        <v>78</v>
      </c>
      <c r="CG574" s="117" t="s">
        <v>587</v>
      </c>
      <c r="CH574" s="108" t="n">
        <f aca="false" ca="true" dt2D="false" dtr="false" t="normal">SUBTOTAL(9, CI574:CW574)</f>
        <v>12522293.55</v>
      </c>
      <c r="CI574" s="106" t="n">
        <v>0</v>
      </c>
      <c r="CJ574" s="114" t="n">
        <v>0</v>
      </c>
      <c r="CK574" s="114" t="n">
        <v>0</v>
      </c>
      <c r="CL574" s="114" t="n">
        <v>0</v>
      </c>
      <c r="CM574" s="114" t="n">
        <v>0</v>
      </c>
      <c r="CN574" s="114" t="n"/>
      <c r="CO574" s="106" t="n"/>
      <c r="CP574" s="114" t="n">
        <v>0</v>
      </c>
      <c r="CQ574" s="114" t="n">
        <v>0</v>
      </c>
      <c r="CR574" s="114" t="n">
        <v>0</v>
      </c>
      <c r="CS574" s="114" t="n">
        <v>12254316.47</v>
      </c>
      <c r="CT574" s="114" t="n">
        <v>0</v>
      </c>
      <c r="CU574" s="114" t="n"/>
      <c r="CV574" s="114" t="n"/>
      <c r="CW574" s="115" t="n">
        <v>267977.08</v>
      </c>
      <c r="CX574" s="3" t="n">
        <f aca="false" ca="false" dt2D="false" dtr="false" t="normal">+N574-CH574</f>
        <v>-267977.08000000194</v>
      </c>
      <c r="CZ574" s="117" t="s">
        <v>587</v>
      </c>
      <c r="DA574" s="113" t="n">
        <f aca="false" ca="true" dt2D="false" dtr="false" t="normal">SUBTOTAL(9, DB574:DP574)</f>
        <v>12254316.47</v>
      </c>
      <c r="DB574" s="106" t="n">
        <v>0</v>
      </c>
      <c r="DC574" s="114" t="n">
        <v>0</v>
      </c>
      <c r="DD574" s="114" t="n">
        <v>0</v>
      </c>
      <c r="DE574" s="114" t="n">
        <v>0</v>
      </c>
      <c r="DF574" s="114" t="n">
        <v>0</v>
      </c>
      <c r="DG574" s="114" t="n"/>
      <c r="DH574" s="106" t="n"/>
      <c r="DI574" s="114" t="n">
        <v>0</v>
      </c>
      <c r="DJ574" s="114" t="n">
        <v>0</v>
      </c>
      <c r="DK574" s="114" t="n">
        <v>0</v>
      </c>
      <c r="DL574" s="114" t="n">
        <v>12254316.47</v>
      </c>
      <c r="DM574" s="114" t="n">
        <v>0</v>
      </c>
      <c r="DN574" s="114" t="n"/>
      <c r="DO574" s="114" t="n"/>
      <c r="DP574" s="240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</row>
    <row customFormat="true" hidden="false" ht="15" outlineLevel="0" r="575" s="1">
      <c r="A575" s="183" t="n">
        <f aca="false" ca="false" dt2D="false" dtr="false" t="normal">+A574+1</f>
        <v>553</v>
      </c>
      <c r="B575" s="117" t="n">
        <f aca="false" ca="false" dt2D="false" dtr="false" t="normal">+B574+1</f>
        <v>94</v>
      </c>
      <c r="C575" s="104" t="s">
        <v>78</v>
      </c>
      <c r="D575" s="104" t="s">
        <v>588</v>
      </c>
      <c r="E575" s="105" t="s">
        <v>103</v>
      </c>
      <c r="F575" s="105" t="n"/>
      <c r="G575" s="105" t="s">
        <v>68</v>
      </c>
      <c r="H575" s="105" t="s">
        <v>104</v>
      </c>
      <c r="I575" s="105" t="s">
        <v>187</v>
      </c>
      <c r="J575" s="106" t="n">
        <v>6626.4</v>
      </c>
      <c r="K575" s="106" t="n">
        <v>4862.4</v>
      </c>
      <c r="L575" s="106" t="n">
        <v>725.8</v>
      </c>
      <c r="M575" s="107" t="n">
        <v>218</v>
      </c>
      <c r="N575" s="108" t="n">
        <f aca="false" ca="false" dt2D="false" dtr="false" t="normal">SUM(P575:T575)</f>
        <v>11232795.55</v>
      </c>
      <c r="O575" s="106" t="n"/>
      <c r="P575" s="114" t="n"/>
      <c r="Q575" s="114" t="n"/>
      <c r="R575" s="113" t="n">
        <v>3567807.31</v>
      </c>
      <c r="S575" s="113" t="n">
        <v>7664988.24</v>
      </c>
      <c r="T575" s="114" t="n">
        <v>0</v>
      </c>
      <c r="U575" s="114" t="n">
        <v>2652.41791966419</v>
      </c>
      <c r="V575" s="114" t="n">
        <v>1243.283020064</v>
      </c>
      <c r="W575" s="110" t="n">
        <v>2024</v>
      </c>
      <c r="X575" s="9" t="n"/>
      <c r="Z575" s="136" t="n"/>
      <c r="AA575" s="9" t="n"/>
      <c r="AB575" s="9" t="n"/>
      <c r="AC575" s="9" t="n"/>
      <c r="AD575" s="9" t="n"/>
      <c r="AE575" s="9" t="n"/>
      <c r="AF575" s="9" t="n"/>
      <c r="AG575" s="9" t="n"/>
      <c r="AH575" s="9" t="n"/>
      <c r="AI575" s="9" t="n"/>
      <c r="AJ575" s="9" t="n"/>
      <c r="AK575" s="9" t="n"/>
      <c r="AL575" s="9" t="n"/>
      <c r="AM575" s="9" t="n"/>
      <c r="AN575" s="137" t="n"/>
      <c r="AO575" s="137" t="n"/>
      <c r="AP575" s="112" t="n">
        <f aca="false" ca="false" dt2D="false" dtr="false" t="normal">+N575-'Приложение №2'!E575</f>
        <v>0</v>
      </c>
      <c r="AQ575" s="1" t="n">
        <v>3430207.28</v>
      </c>
      <c r="AR575" s="3" t="n">
        <f aca="false" ca="false" dt2D="false" dtr="false" t="normal">+(K575*10+L575*20)*12*0.85</f>
        <v>644028</v>
      </c>
      <c r="AS575" s="3" t="n">
        <f aca="false" ca="false" dt2D="false" dtr="false" t="normal">+(K575*10+L575*20)*12*30</f>
        <v>22730400</v>
      </c>
      <c r="AT575" s="9" t="n">
        <f aca="false" ca="false" dt2D="false" dtr="false" t="normal">+S575-AS575</f>
        <v>-15065411.76</v>
      </c>
      <c r="AW575" s="113" t="n">
        <f aca="false" ca="true" dt2D="false" dtr="false" t="normal">SUBTOTAL(9, AX575:BL575)</f>
        <v>12897116.892575147</v>
      </c>
      <c r="AX575" s="106" t="n"/>
      <c r="AY575" s="106" t="n"/>
      <c r="AZ575" s="106" t="n"/>
      <c r="BA575" s="106" t="n"/>
      <c r="BB575" s="106" t="n"/>
      <c r="BC575" s="106" t="n"/>
      <c r="BD575" s="106" t="n"/>
      <c r="BE575" s="106" t="n"/>
      <c r="BF575" s="106" t="n"/>
      <c r="BG575" s="106" t="n">
        <v>11232795.5460559</v>
      </c>
      <c r="BH575" s="106" t="n"/>
      <c r="BI575" s="106" t="n"/>
      <c r="BJ575" s="106" t="n">
        <v>1289711.68925751</v>
      </c>
      <c r="BK575" s="114" t="n">
        <v>128971.168925751</v>
      </c>
      <c r="BL575" s="115" t="n">
        <v>245638.488335986</v>
      </c>
      <c r="BM575" s="113" t="n">
        <f aca="false" ca="true" dt2D="false" dtr="false" t="normal">SUBTOTAL(9, BN575:CB575)</f>
        <v>12897116.892575147</v>
      </c>
      <c r="BN575" s="106" t="n"/>
      <c r="BO575" s="106" t="n"/>
      <c r="BP575" s="106" t="n"/>
      <c r="BQ575" s="106" t="n"/>
      <c r="BR575" s="106" t="n"/>
      <c r="BS575" s="106" t="n"/>
      <c r="BT575" s="106" t="n"/>
      <c r="BU575" s="106" t="n"/>
      <c r="BV575" s="106" t="n"/>
      <c r="BW575" s="106" t="n">
        <v>11232795.5460559</v>
      </c>
      <c r="BX575" s="106" t="n"/>
      <c r="BY575" s="106" t="n"/>
      <c r="BZ575" s="106" t="n">
        <v>1289711.68925751</v>
      </c>
      <c r="CA575" s="114" t="n">
        <v>128971.168925751</v>
      </c>
      <c r="CB575" s="115" t="n">
        <v>245638.488335986</v>
      </c>
      <c r="CD575" s="116" t="n">
        <f aca="false" ca="false" dt2D="false" dtr="false" t="normal">+CD574+1</f>
        <v>553</v>
      </c>
      <c r="CE575" s="117" t="n">
        <f aca="false" ca="false" dt2D="false" dtr="false" t="normal">+CE574+1</f>
        <v>94</v>
      </c>
      <c r="CF575" s="104" t="s">
        <v>78</v>
      </c>
      <c r="CG575" s="117" t="s">
        <v>588</v>
      </c>
      <c r="CH575" s="108" t="n">
        <f aca="false" ca="true" dt2D="false" dtr="false" t="normal">SUBTOTAL(9, CI575:CW575)</f>
        <v>11232795.55</v>
      </c>
      <c r="CI575" s="106" t="n"/>
      <c r="CJ575" s="114" t="n"/>
      <c r="CK575" s="114" t="n"/>
      <c r="CL575" s="114" t="n"/>
      <c r="CM575" s="114" t="n"/>
      <c r="CN575" s="114" t="n"/>
      <c r="CO575" s="106" t="n"/>
      <c r="CP575" s="114" t="n"/>
      <c r="CQ575" s="114" t="n"/>
      <c r="CR575" s="114" t="n">
        <v>11232795.55</v>
      </c>
      <c r="CS575" s="114" t="n"/>
      <c r="CT575" s="114" t="n"/>
      <c r="CU575" s="114" t="n"/>
      <c r="CV575" s="114" t="n"/>
      <c r="CW575" s="115" t="n"/>
      <c r="CX575" s="3" t="n">
        <f aca="false" ca="false" dt2D="false" dtr="false" t="normal">+N575-CH575</f>
        <v>0</v>
      </c>
      <c r="CZ575" s="117" t="s">
        <v>588</v>
      </c>
      <c r="DA575" s="113" t="n">
        <f aca="false" ca="true" dt2D="false" dtr="false" t="normal">SUBTOTAL(9, DB575:DP575)</f>
        <v>11232795.55</v>
      </c>
      <c r="DB575" s="106" t="n"/>
      <c r="DC575" s="114" t="n"/>
      <c r="DD575" s="114" t="n"/>
      <c r="DE575" s="114" t="n"/>
      <c r="DF575" s="114" t="n"/>
      <c r="DG575" s="114" t="n"/>
      <c r="DH575" s="106" t="n"/>
      <c r="DI575" s="114" t="n"/>
      <c r="DJ575" s="114" t="n"/>
      <c r="DK575" s="114" t="n">
        <v>11232795.55</v>
      </c>
      <c r="DL575" s="114" t="n"/>
      <c r="DM575" s="114" t="n"/>
      <c r="DN575" s="241" t="n"/>
      <c r="DO575" s="241" t="n"/>
      <c r="DP575" s="240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</row>
    <row customFormat="true" hidden="false" ht="15" outlineLevel="0" r="576" s="1">
      <c r="A576" s="183" t="n">
        <f aca="false" ca="false" dt2D="false" dtr="false" t="normal">+A575+1</f>
        <v>554</v>
      </c>
      <c r="B576" s="117" t="n">
        <f aca="false" ca="false" dt2D="false" dtr="false" t="normal">+B575+1</f>
        <v>95</v>
      </c>
      <c r="C576" s="104" t="s">
        <v>78</v>
      </c>
      <c r="D576" s="104" t="s">
        <v>589</v>
      </c>
      <c r="E576" s="105" t="s">
        <v>103</v>
      </c>
      <c r="F576" s="105" t="n"/>
      <c r="G576" s="105" t="s">
        <v>68</v>
      </c>
      <c r="H576" s="105" t="s">
        <v>104</v>
      </c>
      <c r="I576" s="105" t="s">
        <v>187</v>
      </c>
      <c r="J576" s="106" t="n">
        <v>6832.2</v>
      </c>
      <c r="K576" s="106" t="n">
        <v>5772.1</v>
      </c>
      <c r="L576" s="106" t="n">
        <v>17</v>
      </c>
      <c r="M576" s="107" t="n">
        <v>245</v>
      </c>
      <c r="N576" s="108" t="n">
        <f aca="false" ca="false" dt2D="false" dtr="false" t="normal">SUM(P576:T576)</f>
        <v>11636623.01</v>
      </c>
      <c r="O576" s="106" t="n"/>
      <c r="P576" s="114" t="n"/>
      <c r="Q576" s="114" t="n"/>
      <c r="R576" s="113" t="n">
        <v>3316701.11</v>
      </c>
      <c r="S576" s="113" t="n">
        <v>8319921.9</v>
      </c>
      <c r="T576" s="114" t="n">
        <v>0</v>
      </c>
      <c r="U576" s="114" t="n">
        <v>2314.71699402387</v>
      </c>
      <c r="V576" s="114" t="n">
        <v>1244.283020064</v>
      </c>
      <c r="W576" s="110" t="n">
        <v>2024</v>
      </c>
      <c r="X576" s="9" t="n"/>
      <c r="Z576" s="136" t="n"/>
      <c r="AA576" s="9" t="n"/>
      <c r="AB576" s="9" t="n"/>
      <c r="AC576" s="9" t="n"/>
      <c r="AD576" s="9" t="n"/>
      <c r="AE576" s="9" t="n"/>
      <c r="AF576" s="9" t="n"/>
      <c r="AG576" s="9" t="n"/>
      <c r="AH576" s="9" t="n"/>
      <c r="AI576" s="9" t="n"/>
      <c r="AJ576" s="9" t="n"/>
      <c r="AK576" s="9" t="n"/>
      <c r="AL576" s="9" t="n"/>
      <c r="AM576" s="9" t="n"/>
      <c r="AN576" s="137" t="n"/>
      <c r="AO576" s="137" t="n"/>
      <c r="AP576" s="112" t="n">
        <f aca="false" ca="false" dt2D="false" dtr="false" t="normal">+N576-'Приложение №2'!E576</f>
        <v>0</v>
      </c>
      <c r="AQ576" s="1" t="n">
        <v>3176080.11</v>
      </c>
      <c r="AR576" s="3" t="n">
        <f aca="false" ca="false" dt2D="false" dtr="false" t="normal">+(K576*10+L576*20)*12*0.85</f>
        <v>592222.2</v>
      </c>
      <c r="AS576" s="3" t="n">
        <f aca="false" ca="false" dt2D="false" dtr="false" t="normal">+(K576*10+L576*20)*12*30</f>
        <v>20901960</v>
      </c>
      <c r="AT576" s="9" t="n">
        <f aca="false" ca="false" dt2D="false" dtr="false" t="normal">+S576-AS576</f>
        <v>-12582038.1</v>
      </c>
      <c r="AW576" s="113" t="n">
        <f aca="false" ca="true" dt2D="false" dtr="false" t="normal">SUBTOTAL(9, AX576:BL576)</f>
        <v>13360777.961205186</v>
      </c>
      <c r="AX576" s="106" t="n"/>
      <c r="AY576" s="106" t="n"/>
      <c r="AZ576" s="106" t="n"/>
      <c r="BA576" s="106" t="n"/>
      <c r="BB576" s="106" t="n"/>
      <c r="BC576" s="106" t="n"/>
      <c r="BD576" s="106" t="n"/>
      <c r="BE576" s="106" t="n"/>
      <c r="BF576" s="106" t="n"/>
      <c r="BG576" s="106" t="n">
        <v>11636623.0084235</v>
      </c>
      <c r="BH576" s="106" t="n"/>
      <c r="BI576" s="106" t="n"/>
      <c r="BJ576" s="106" t="n">
        <v>1336077.79612052</v>
      </c>
      <c r="BK576" s="114" t="n">
        <v>133607.779612052</v>
      </c>
      <c r="BL576" s="115" t="n">
        <v>254469.377049114</v>
      </c>
      <c r="BM576" s="113" t="n">
        <f aca="false" ca="true" dt2D="false" dtr="false" t="normal">SUBTOTAL(9, BN576:CB576)</f>
        <v>13360777.961205186</v>
      </c>
      <c r="BN576" s="106" t="n"/>
      <c r="BO576" s="106" t="n"/>
      <c r="BP576" s="106" t="n"/>
      <c r="BQ576" s="106" t="n"/>
      <c r="BR576" s="106" t="n"/>
      <c r="BS576" s="106" t="n"/>
      <c r="BT576" s="106" t="n"/>
      <c r="BU576" s="106" t="n"/>
      <c r="BV576" s="106" t="n"/>
      <c r="BW576" s="106" t="n">
        <v>11636623.0084235</v>
      </c>
      <c r="BX576" s="106" t="n"/>
      <c r="BY576" s="106" t="n"/>
      <c r="BZ576" s="106" t="n">
        <v>1336077.79612052</v>
      </c>
      <c r="CA576" s="114" t="n">
        <v>133607.779612052</v>
      </c>
      <c r="CB576" s="115" t="n">
        <v>254469.377049114</v>
      </c>
      <c r="CD576" s="116" t="n">
        <f aca="false" ca="false" dt2D="false" dtr="false" t="normal">+CD575+1</f>
        <v>554</v>
      </c>
      <c r="CE576" s="117" t="n">
        <f aca="false" ca="false" dt2D="false" dtr="false" t="normal">+CE575+1</f>
        <v>95</v>
      </c>
      <c r="CF576" s="104" t="s">
        <v>78</v>
      </c>
      <c r="CG576" s="117" t="s">
        <v>589</v>
      </c>
      <c r="CH576" s="108" t="n">
        <f aca="false" ca="true" dt2D="false" dtr="false" t="normal">SUBTOTAL(9, CI576:CW576)</f>
        <v>11636623.01</v>
      </c>
      <c r="CI576" s="106" t="n"/>
      <c r="CJ576" s="114" t="n"/>
      <c r="CK576" s="114" t="n"/>
      <c r="CL576" s="114" t="n"/>
      <c r="CM576" s="114" t="n"/>
      <c r="CN576" s="114" t="n"/>
      <c r="CO576" s="106" t="n"/>
      <c r="CP576" s="114" t="n"/>
      <c r="CQ576" s="114" t="n"/>
      <c r="CR576" s="114" t="n">
        <v>11636623.01</v>
      </c>
      <c r="CS576" s="114" t="n"/>
      <c r="CT576" s="114" t="n"/>
      <c r="CU576" s="114" t="n"/>
      <c r="CV576" s="114" t="n"/>
      <c r="CW576" s="115" t="n"/>
      <c r="CX576" s="3" t="n">
        <f aca="false" ca="false" dt2D="false" dtr="false" t="normal">+N576-CH576</f>
        <v>0</v>
      </c>
      <c r="CZ576" s="117" t="s">
        <v>589</v>
      </c>
      <c r="DA576" s="113" t="n">
        <f aca="false" ca="true" dt2D="false" dtr="false" t="normal">SUBTOTAL(9, DB576:DP576)</f>
        <v>11636623.01</v>
      </c>
      <c r="DB576" s="106" t="n"/>
      <c r="DC576" s="114" t="n"/>
      <c r="DD576" s="114" t="n"/>
      <c r="DE576" s="114" t="n"/>
      <c r="DF576" s="114" t="n"/>
      <c r="DG576" s="114" t="n"/>
      <c r="DH576" s="106" t="n"/>
      <c r="DI576" s="114" t="n"/>
      <c r="DJ576" s="114" t="n"/>
      <c r="DK576" s="114" t="n">
        <v>11636623.01</v>
      </c>
      <c r="DL576" s="114" t="n"/>
      <c r="DM576" s="114" t="n"/>
      <c r="DN576" s="241" t="n"/>
      <c r="DO576" s="241" t="n"/>
      <c r="DP576" s="240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</row>
    <row customFormat="true" hidden="false" ht="15" outlineLevel="0" r="577" s="1">
      <c r="A577" s="183" t="n">
        <f aca="false" ca="false" dt2D="false" dtr="false" t="normal">+A576+1</f>
        <v>555</v>
      </c>
      <c r="B577" s="117" t="n">
        <f aca="false" ca="false" dt2D="false" dtr="false" t="normal">+B576+1</f>
        <v>96</v>
      </c>
      <c r="C577" s="104" t="s">
        <v>78</v>
      </c>
      <c r="D577" s="104" t="s">
        <v>109</v>
      </c>
      <c r="E577" s="105" t="n">
        <v>1992</v>
      </c>
      <c r="F577" s="105" t="n">
        <v>2009</v>
      </c>
      <c r="G577" s="105" t="s">
        <v>68</v>
      </c>
      <c r="H577" s="105" t="n">
        <v>9</v>
      </c>
      <c r="I577" s="105" t="n">
        <v>1</v>
      </c>
      <c r="J577" s="106" t="n">
        <v>3320.9</v>
      </c>
      <c r="K577" s="106" t="n">
        <v>2870.8</v>
      </c>
      <c r="L577" s="106" t="n">
        <v>0</v>
      </c>
      <c r="M577" s="107" t="n">
        <v>115</v>
      </c>
      <c r="N577" s="108" t="n">
        <f aca="false" ca="false" dt2D="false" dtr="false" t="normal">SUM(P577:T577)</f>
        <v>15416520.850000001</v>
      </c>
      <c r="O577" s="106" t="n"/>
      <c r="P577" s="113" t="n"/>
      <c r="Q577" s="114" t="n"/>
      <c r="R577" s="113" t="n">
        <v>408486.13</v>
      </c>
      <c r="S577" s="113" t="n">
        <v>12158576.35</v>
      </c>
      <c r="T577" s="113" t="n">
        <v>2849458.37</v>
      </c>
      <c r="U577" s="114" t="n">
        <v>5617.51822364187</v>
      </c>
      <c r="V577" s="114" t="n">
        <v>1245.283020064</v>
      </c>
      <c r="W577" s="110" t="n">
        <v>2024</v>
      </c>
      <c r="X577" s="9" t="e">
        <f aca="false" ca="false" dt2D="false" dtr="false" t="normal">+#REF!-'[9]Приложение №1'!$P372</f>
        <v>#REF!</v>
      </c>
      <c r="Z577" s="113" t="n">
        <f aca="false" ca="false" dt2D="false" dtr="false" t="normal">SUM(AA577:AO577)</f>
        <v>14776696.027288169</v>
      </c>
      <c r="AA577" s="106" t="n">
        <v>6885723.99988861</v>
      </c>
      <c r="AB577" s="106" t="n">
        <v>2754946.32070448</v>
      </c>
      <c r="AC577" s="106" t="n">
        <v>2034797.55329931</v>
      </c>
      <c r="AD577" s="106" t="n">
        <v>1300328.92009633</v>
      </c>
      <c r="AE577" s="106" t="n">
        <v>0</v>
      </c>
      <c r="AF577" s="106" t="n"/>
      <c r="AG577" s="106" t="n">
        <v>0</v>
      </c>
      <c r="AH577" s="106" t="n">
        <v>0</v>
      </c>
      <c r="AI577" s="106" t="n">
        <v>0</v>
      </c>
      <c r="AJ577" s="106" t="n">
        <v>0</v>
      </c>
      <c r="AK577" s="106" t="n">
        <v>0</v>
      </c>
      <c r="AL577" s="106" t="n">
        <v>0</v>
      </c>
      <c r="AM577" s="106" t="n">
        <v>1369377.87757248</v>
      </c>
      <c r="AN577" s="114" t="n">
        <v>147766.960272882</v>
      </c>
      <c r="AO577" s="115" t="n">
        <v>283754.395454076</v>
      </c>
      <c r="AP577" s="112" t="n">
        <f aca="false" ca="false" dt2D="false" dtr="false" t="normal">+N577-'Приложение №2'!E577</f>
        <v>0</v>
      </c>
      <c r="AQ577" s="9" t="n">
        <f aca="false" ca="false" dt2D="false" dtr="false" t="normal">2273243.45-R53</f>
        <v>426154.65000000014</v>
      </c>
      <c r="AR577" s="3" t="n">
        <f aca="false" ca="false" dt2D="false" dtr="false" t="normal">+(K577*13.95+L577*23.65)*12*0.85</f>
        <v>408486.13200000004</v>
      </c>
      <c r="AS577" s="3" t="n">
        <f aca="false" ca="false" dt2D="false" dtr="false" t="normal">+(K577*13.95+L577*23.65)*12*30-S53</f>
        <v>14417157.600000001</v>
      </c>
      <c r="AT577" s="9" t="n">
        <f aca="false" ca="false" dt2D="false" dtr="false" t="normal">+S577-AS577</f>
        <v>-2258581.250000002</v>
      </c>
      <c r="AU577" s="9" t="e">
        <f aca="false" ca="false" dt2D="false" dtr="false" t="normal">+P577-'[5]Приложение №1'!$P527</f>
        <v>#REF!</v>
      </c>
      <c r="AV577" s="9" t="e">
        <f aca="false" ca="false" dt2D="false" dtr="false" t="normal">+Q577-'[5]Приложение №1'!$Q527</f>
        <v>#REF!</v>
      </c>
      <c r="AW577" s="186" t="n">
        <f aca="false" ca="true" dt2D="false" dtr="false" t="normal">SUBTOTAL(9, AX577:BL577)</f>
        <v>16126771.31643109</v>
      </c>
      <c r="AX577" s="106" t="n">
        <v>8180916.30932576</v>
      </c>
      <c r="AY577" s="106" t="n">
        <v>3273146.77247199</v>
      </c>
      <c r="AZ577" s="106" t="n">
        <v>2417539.31616076</v>
      </c>
      <c r="BA577" s="106" t="n">
        <v>1544918.45303067</v>
      </c>
      <c r="BB577" s="106" t="n">
        <v>0</v>
      </c>
      <c r="BC577" s="106" t="n"/>
      <c r="BD577" s="106" t="n">
        <v>365137.559270285</v>
      </c>
      <c r="BE577" s="106" t="n">
        <v>0</v>
      </c>
      <c r="BF577" s="106" t="n">
        <v>0</v>
      </c>
      <c r="BG577" s="106" t="n">
        <v>0</v>
      </c>
      <c r="BH577" s="106" t="n">
        <v>0</v>
      </c>
      <c r="BI577" s="106" t="n">
        <v>0</v>
      </c>
      <c r="BJ577" s="106" t="n"/>
      <c r="BK577" s="114" t="n"/>
      <c r="BL577" s="115" t="n">
        <v>345112.906171625</v>
      </c>
      <c r="BM577" s="186" t="n">
        <f aca="false" ca="true" dt2D="false" dtr="false" t="normal">SUBTOTAL(9, BN577:CB577)</f>
        <v>16126771.31643109</v>
      </c>
      <c r="BN577" s="106" t="n">
        <v>8180916.30932576</v>
      </c>
      <c r="BO577" s="106" t="n">
        <v>3273146.77247199</v>
      </c>
      <c r="BP577" s="106" t="n">
        <v>2417539.31616076</v>
      </c>
      <c r="BQ577" s="106" t="n">
        <v>1544918.45303067</v>
      </c>
      <c r="BR577" s="106" t="n">
        <v>0</v>
      </c>
      <c r="BS577" s="106" t="n"/>
      <c r="BT577" s="106" t="n">
        <v>365137.559270285</v>
      </c>
      <c r="BU577" s="106" t="n">
        <v>0</v>
      </c>
      <c r="BV577" s="106" t="n">
        <v>0</v>
      </c>
      <c r="BW577" s="106" t="n">
        <v>0</v>
      </c>
      <c r="BX577" s="106" t="n">
        <v>0</v>
      </c>
      <c r="BY577" s="106" t="n">
        <v>0</v>
      </c>
      <c r="BZ577" s="106" t="n"/>
      <c r="CA577" s="114" t="n"/>
      <c r="CB577" s="115" t="n">
        <v>345112.906171625</v>
      </c>
      <c r="CD577" s="116" t="n">
        <f aca="false" ca="false" dt2D="false" dtr="false" t="normal">+CD576+1</f>
        <v>555</v>
      </c>
      <c r="CE577" s="117" t="n">
        <f aca="false" ca="false" dt2D="false" dtr="false" t="normal">+CE576+1</f>
        <v>96</v>
      </c>
      <c r="CF577" s="104" t="s">
        <v>78</v>
      </c>
      <c r="CG577" s="117" t="s">
        <v>109</v>
      </c>
      <c r="CH577" s="108" t="n">
        <f aca="false" ca="true" dt2D="false" dtr="false" t="normal">SUBTOTAL(9, CI577:CW577)</f>
        <v>15416520.85</v>
      </c>
      <c r="CI577" s="106" t="n">
        <v>8180916.31</v>
      </c>
      <c r="CJ577" s="114" t="n">
        <v>3273146.77</v>
      </c>
      <c r="CK577" s="114" t="n">
        <v>2417539.32</v>
      </c>
      <c r="CL577" s="114" t="n">
        <v>1544918.45</v>
      </c>
      <c r="CM577" s="114" t="n">
        <v>0</v>
      </c>
      <c r="CN577" s="114" t="n"/>
      <c r="CO577" s="106" t="n"/>
      <c r="CP577" s="114" t="n">
        <v>0</v>
      </c>
      <c r="CQ577" s="114" t="n">
        <v>0</v>
      </c>
      <c r="CR577" s="114" t="n">
        <v>0</v>
      </c>
      <c r="CS577" s="114" t="n">
        <v>0</v>
      </c>
      <c r="CT577" s="114" t="n">
        <v>0</v>
      </c>
      <c r="CU577" s="114" t="n"/>
      <c r="CV577" s="114" t="n"/>
      <c r="CW577" s="115" t="n"/>
      <c r="CX577" s="3" t="n">
        <f aca="false" ca="false" dt2D="false" dtr="false" t="normal">+N577-CH577</f>
        <v>0</v>
      </c>
      <c r="CZ577" s="117" t="s">
        <v>109</v>
      </c>
      <c r="DA577" s="113" t="n">
        <f aca="false" ca="true" dt2D="false" dtr="false" t="normal">SUBTOTAL(9, DB577:DP577)</f>
        <v>15416520.85</v>
      </c>
      <c r="DB577" s="106" t="n">
        <v>8180916.31</v>
      </c>
      <c r="DC577" s="114" t="n">
        <v>3273146.77</v>
      </c>
      <c r="DD577" s="114" t="n">
        <v>2417539.32</v>
      </c>
      <c r="DE577" s="114" t="n">
        <v>1544918.45</v>
      </c>
      <c r="DF577" s="114" t="n">
        <v>0</v>
      </c>
      <c r="DG577" s="114" t="n"/>
      <c r="DH577" s="106" t="n"/>
      <c r="DI577" s="114" t="n">
        <v>0</v>
      </c>
      <c r="DJ577" s="114" t="n">
        <v>0</v>
      </c>
      <c r="DK577" s="114" t="n">
        <v>0</v>
      </c>
      <c r="DL577" s="114" t="n">
        <v>0</v>
      </c>
      <c r="DM577" s="114" t="n">
        <v>0</v>
      </c>
      <c r="DN577" s="114" t="n"/>
      <c r="DO577" s="114" t="n"/>
      <c r="DP577" s="11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</row>
    <row customFormat="true" hidden="false" ht="15" outlineLevel="0" r="578" s="1">
      <c r="A578" s="183" t="n">
        <f aca="false" ca="false" dt2D="false" dtr="false" t="normal">+A577+1</f>
        <v>556</v>
      </c>
      <c r="B578" s="117" t="n">
        <f aca="false" ca="false" dt2D="false" dtr="false" t="normal">+B577+1</f>
        <v>97</v>
      </c>
      <c r="C578" s="104" t="s">
        <v>78</v>
      </c>
      <c r="D578" s="104" t="s">
        <v>323</v>
      </c>
      <c r="E578" s="105" t="n">
        <v>1991</v>
      </c>
      <c r="F578" s="105" t="n">
        <v>2009</v>
      </c>
      <c r="G578" s="105" t="s">
        <v>68</v>
      </c>
      <c r="H578" s="105" t="n">
        <v>5</v>
      </c>
      <c r="I578" s="105" t="n">
        <v>2</v>
      </c>
      <c r="J578" s="106" t="n">
        <v>3315.2</v>
      </c>
      <c r="K578" s="106" t="n">
        <v>2614.7</v>
      </c>
      <c r="L578" s="106" t="n">
        <v>667.8</v>
      </c>
      <c r="M578" s="107" t="n">
        <v>88</v>
      </c>
      <c r="N578" s="108" t="n">
        <f aca="false" ca="false" dt2D="false" dtr="false" t="normal">SUM(P578:T578)</f>
        <v>927231.11</v>
      </c>
      <c r="O578" s="106" t="n"/>
      <c r="P578" s="114" t="n"/>
      <c r="Q578" s="114" t="n"/>
      <c r="R578" s="113" t="n">
        <v>131935.41</v>
      </c>
      <c r="S578" s="113" t="n">
        <v>795295.7</v>
      </c>
      <c r="T578" s="190" t="n">
        <v>0</v>
      </c>
      <c r="U578" s="114" t="n">
        <v>1032.78654360319</v>
      </c>
      <c r="V578" s="114" t="n">
        <v>1032.78654360319</v>
      </c>
      <c r="W578" s="110" t="n">
        <v>2024</v>
      </c>
      <c r="X578" s="9" t="e">
        <f aca="false" ca="false" dt2D="false" dtr="false" t="normal">+#REF!-'[9]Приложение №1'!$P1331</f>
        <v>#REF!</v>
      </c>
      <c r="Z578" s="113" t="n">
        <f aca="false" ca="false" dt2D="false" dtr="false" t="normal">SUM(AA578:AO578)</f>
        <v>5124059.07092951</v>
      </c>
      <c r="AA578" s="106" t="n">
        <v>0</v>
      </c>
      <c r="AB578" s="106" t="n">
        <v>0</v>
      </c>
      <c r="AC578" s="106" t="n">
        <v>2132209.30292372</v>
      </c>
      <c r="AD578" s="106" t="n">
        <v>2252050.53862833</v>
      </c>
      <c r="AE578" s="106" t="n">
        <v>0</v>
      </c>
      <c r="AF578" s="106" t="n"/>
      <c r="AG578" s="106" t="n">
        <v>0</v>
      </c>
      <c r="AH578" s="106" t="n">
        <v>0</v>
      </c>
      <c r="AI578" s="106" t="n">
        <v>0</v>
      </c>
      <c r="AJ578" s="106" t="n">
        <v>0</v>
      </c>
      <c r="AK578" s="106" t="n">
        <v>0</v>
      </c>
      <c r="AL578" s="106" t="n">
        <v>0</v>
      </c>
      <c r="AM578" s="106" t="n">
        <v>592683.755560446</v>
      </c>
      <c r="AN578" s="114" t="n">
        <v>51240.5907092951</v>
      </c>
      <c r="AO578" s="115" t="n">
        <v>95874.8831077191</v>
      </c>
      <c r="AP578" s="112" t="n">
        <f aca="false" ca="false" dt2D="false" dtr="false" t="normal">+N578-'Приложение №2'!E578</f>
        <v>0</v>
      </c>
      <c r="AQ578" s="1" t="n">
        <v>1371575.02</v>
      </c>
      <c r="AR578" s="3" t="n">
        <f aca="false" ca="false" dt2D="false" dtr="false" t="normal">+(K578*10+L578*20)*12*0.85</f>
        <v>402930.6</v>
      </c>
      <c r="AS578" s="3" t="n">
        <f aca="false" ca="false" dt2D="false" dtr="false" t="normal">+(K578*10+L578*20)*12*30</f>
        <v>14221080</v>
      </c>
      <c r="AT578" s="9" t="n">
        <f aca="false" ca="false" dt2D="false" dtr="false" t="normal">+S578-AS578</f>
        <v>-13425784.3</v>
      </c>
      <c r="AW578" s="113" t="n">
        <f aca="false" ca="true" dt2D="false" dtr="false" t="normal">SUBTOTAL(9, AX578:BL578)</f>
        <v>3390121.8293774603</v>
      </c>
      <c r="AX578" s="106" t="n">
        <v>0</v>
      </c>
      <c r="AY578" s="106" t="n">
        <v>0</v>
      </c>
      <c r="AZ578" s="106" t="n">
        <v>927231.11</v>
      </c>
      <c r="BA578" s="106" t="n">
        <v>1740087.49</v>
      </c>
      <c r="BB578" s="106" t="n">
        <v>0</v>
      </c>
      <c r="BC578" s="106" t="n"/>
      <c r="BD578" s="106" t="n"/>
      <c r="BE578" s="106" t="n">
        <v>0</v>
      </c>
      <c r="BF578" s="106" t="n">
        <v>0</v>
      </c>
      <c r="BG578" s="106" t="n">
        <v>0</v>
      </c>
      <c r="BH578" s="106" t="n">
        <v>0</v>
      </c>
      <c r="BI578" s="106" t="n">
        <v>0</v>
      </c>
      <c r="BJ578" s="106" t="n">
        <v>575687.755560446</v>
      </c>
      <c r="BK578" s="114" t="n">
        <v>51240.5907092951</v>
      </c>
      <c r="BL578" s="187" t="n">
        <v>95874.8831077191</v>
      </c>
      <c r="BM578" s="113" t="n">
        <f aca="false" ca="true" dt2D="false" dtr="false" t="normal">SUBTOTAL(9, BN578:CB578)</f>
        <v>3390121.8293774603</v>
      </c>
      <c r="BN578" s="106" t="n">
        <v>0</v>
      </c>
      <c r="BO578" s="106" t="n">
        <v>0</v>
      </c>
      <c r="BP578" s="106" t="n">
        <v>927231.11</v>
      </c>
      <c r="BQ578" s="106" t="n">
        <v>1740087.49</v>
      </c>
      <c r="BR578" s="106" t="n">
        <v>0</v>
      </c>
      <c r="BS578" s="106" t="n"/>
      <c r="BT578" s="106" t="n"/>
      <c r="BU578" s="106" t="n">
        <v>0</v>
      </c>
      <c r="BV578" s="106" t="n">
        <v>0</v>
      </c>
      <c r="BW578" s="106" t="n">
        <v>0</v>
      </c>
      <c r="BX578" s="106" t="n">
        <v>0</v>
      </c>
      <c r="BY578" s="106" t="n">
        <v>0</v>
      </c>
      <c r="BZ578" s="106" t="n">
        <v>575687.755560446</v>
      </c>
      <c r="CA578" s="114" t="n">
        <v>51240.5907092951</v>
      </c>
      <c r="CB578" s="115" t="n">
        <v>95874.8831077191</v>
      </c>
      <c r="CD578" s="116" t="n">
        <f aca="false" ca="false" dt2D="false" dtr="false" t="normal">+CD577+1</f>
        <v>556</v>
      </c>
      <c r="CE578" s="117" t="n">
        <f aca="false" ca="false" dt2D="false" dtr="false" t="normal">+CE577+1</f>
        <v>97</v>
      </c>
      <c r="CF578" s="104" t="s">
        <v>78</v>
      </c>
      <c r="CG578" s="117" t="s">
        <v>323</v>
      </c>
      <c r="CH578" s="108" t="n">
        <f aca="false" ca="true" dt2D="false" dtr="false" t="normal">SUBTOTAL(9, CI578:CW578)</f>
        <v>927231.11</v>
      </c>
      <c r="CI578" s="106" t="n">
        <v>0</v>
      </c>
      <c r="CJ578" s="114" t="n">
        <v>0</v>
      </c>
      <c r="CK578" s="114" t="n">
        <v>927231.11</v>
      </c>
      <c r="CL578" s="114" t="n"/>
      <c r="CM578" s="114" t="n">
        <v>0</v>
      </c>
      <c r="CN578" s="114" t="n"/>
      <c r="CO578" s="106" t="n"/>
      <c r="CP578" s="114" t="n">
        <v>0</v>
      </c>
      <c r="CQ578" s="114" t="n">
        <v>0</v>
      </c>
      <c r="CR578" s="114" t="n">
        <v>0</v>
      </c>
      <c r="CS578" s="114" t="n">
        <v>0</v>
      </c>
      <c r="CT578" s="114" t="n">
        <v>0</v>
      </c>
      <c r="CU578" s="114" t="n"/>
      <c r="CV578" s="114" t="n"/>
      <c r="CW578" s="115" t="n"/>
      <c r="CX578" s="3" t="n">
        <f aca="false" ca="false" dt2D="false" dtr="false" t="normal">+N578-CH578</f>
        <v>0</v>
      </c>
      <c r="CZ578" s="117" t="s">
        <v>323</v>
      </c>
      <c r="DA578" s="113" t="n">
        <f aca="false" ca="true" dt2D="false" dtr="false" t="normal">SUBTOTAL(9, DB578:DP578)</f>
        <v>927231.11</v>
      </c>
      <c r="DB578" s="106" t="n">
        <v>0</v>
      </c>
      <c r="DC578" s="114" t="n">
        <v>0</v>
      </c>
      <c r="DD578" s="114" t="n">
        <v>927231.11</v>
      </c>
      <c r="DE578" s="114" t="n"/>
      <c r="DF578" s="114" t="n">
        <v>0</v>
      </c>
      <c r="DG578" s="114" t="n"/>
      <c r="DH578" s="106" t="n"/>
      <c r="DI578" s="114" t="n">
        <v>0</v>
      </c>
      <c r="DJ578" s="114" t="n">
        <v>0</v>
      </c>
      <c r="DK578" s="114" t="n">
        <v>0</v>
      </c>
      <c r="DL578" s="114" t="n">
        <v>0</v>
      </c>
      <c r="DM578" s="114" t="n">
        <v>0</v>
      </c>
      <c r="DN578" s="241" t="n"/>
      <c r="DO578" s="241" t="n"/>
      <c r="DP578" s="240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</row>
    <row customFormat="true" hidden="false" ht="15" outlineLevel="0" r="579" s="1">
      <c r="A579" s="183" t="n">
        <f aca="false" ca="false" dt2D="false" dtr="false" t="normal">+A578+1</f>
        <v>557</v>
      </c>
      <c r="B579" s="117" t="n">
        <f aca="false" ca="false" dt2D="false" dtr="false" t="normal">+B578+1</f>
        <v>98</v>
      </c>
      <c r="C579" s="104" t="s">
        <v>590</v>
      </c>
      <c r="D579" s="104" t="s">
        <v>591</v>
      </c>
      <c r="E579" s="105" t="n">
        <v>1993</v>
      </c>
      <c r="F579" s="105" t="s">
        <v>592</v>
      </c>
      <c r="G579" s="105" t="s">
        <v>68</v>
      </c>
      <c r="H579" s="105" t="n">
        <v>9</v>
      </c>
      <c r="I579" s="105" t="n">
        <v>3</v>
      </c>
      <c r="J579" s="106" t="n">
        <v>10078.2</v>
      </c>
      <c r="K579" s="106" t="n">
        <v>8569.9</v>
      </c>
      <c r="L579" s="106" t="n">
        <v>245.1</v>
      </c>
      <c r="M579" s="107" t="n">
        <v>295</v>
      </c>
      <c r="N579" s="108" t="n">
        <f aca="false" ca="false" dt2D="false" dtr="false" t="normal">SUM(P579:T579)</f>
        <v>9581814.6</v>
      </c>
      <c r="O579" s="106" t="n"/>
      <c r="P579" s="113" t="n"/>
      <c r="Q579" s="114" t="n"/>
      <c r="R579" s="113" t="n">
        <v>1280989.54</v>
      </c>
      <c r="S579" s="113" t="n">
        <v>0</v>
      </c>
      <c r="T579" s="3" t="n">
        <v>8300825.06</v>
      </c>
      <c r="U579" s="114" t="n">
        <v>1141.20351462678</v>
      </c>
      <c r="V579" s="114" t="n">
        <v>1245.283020064</v>
      </c>
      <c r="W579" s="110" t="n">
        <v>2024</v>
      </c>
      <c r="X579" s="9" t="e">
        <f aca="false" ca="false" dt2D="false" dtr="false" t="normal">+#REF!-'[9]Приложение №1'!$P217</f>
        <v>#REF!</v>
      </c>
      <c r="Z579" s="113" t="n">
        <f aca="false" ca="false" dt2D="false" dtr="false" t="normal">SUM(AA579:AO579)</f>
        <v>9780000</v>
      </c>
      <c r="AA579" s="106" t="n"/>
      <c r="AB579" s="106" t="n"/>
      <c r="AC579" s="106" t="n"/>
      <c r="AD579" s="106" t="n"/>
      <c r="AE579" s="106" t="n"/>
      <c r="AF579" s="106" t="n"/>
      <c r="AG579" s="106" t="n"/>
      <c r="AH579" s="106" t="n">
        <v>9062814.6</v>
      </c>
      <c r="AL579" s="106" t="n"/>
      <c r="AM579" s="106" t="n">
        <v>489000</v>
      </c>
      <c r="AN579" s="106" t="n">
        <v>30000</v>
      </c>
      <c r="AO579" s="106" t="n">
        <v>198185.4</v>
      </c>
      <c r="AP579" s="112" t="n">
        <f aca="false" ca="false" dt2D="false" dtr="false" t="normal">+N579-'Приложение №2'!E579</f>
        <v>0</v>
      </c>
      <c r="AQ579" s="121" t="n">
        <v>2453</v>
      </c>
      <c r="AR579" s="3" t="n">
        <f aca="false" ca="false" dt2D="false" dtr="false" t="normal">+(K579*13.95+L579*23.65)*12*0.85</f>
        <v>1278536.544</v>
      </c>
      <c r="AS579" s="3" t="n">
        <f aca="false" ca="false" dt2D="false" dtr="false" t="normal">+(K579*13.95+L579*23.65)*12*30</f>
        <v>45124819.2</v>
      </c>
      <c r="AT579" s="9" t="n">
        <f aca="false" ca="false" dt2D="false" dtr="false" t="normal">+S579-AS579</f>
        <v>-45124819.2</v>
      </c>
      <c r="AU579" s="9" t="e">
        <f aca="false" ca="false" dt2D="false" dtr="false" t="normal">+P579-'[5]Приложение №1'!$P528</f>
        <v>#REF!</v>
      </c>
      <c r="AV579" s="9" t="e">
        <f aca="false" ca="false" dt2D="false" dtr="false" t="normal">+Q579-'[5]Приложение №1'!$Q528</f>
        <v>#REF!</v>
      </c>
      <c r="AW579" s="186" t="n">
        <f aca="false" ca="true" dt2D="false" dtr="false" t="normal">SUBTOTAL(9, AX579:BL579)</f>
        <v>9780000</v>
      </c>
      <c r="AX579" s="106" t="n"/>
      <c r="AY579" s="106" t="n"/>
      <c r="AZ579" s="106" t="n"/>
      <c r="BA579" s="106" t="n"/>
      <c r="BB579" s="106" t="n"/>
      <c r="BC579" s="106" t="n"/>
      <c r="BD579" s="106" t="n"/>
      <c r="BE579" s="106" t="n">
        <v>9062814.6</v>
      </c>
      <c r="BF579" s="106" t="n"/>
      <c r="BG579" s="106" t="n"/>
      <c r="BH579" s="106" t="n"/>
      <c r="BI579" s="106" t="n"/>
      <c r="BJ579" s="106" t="n">
        <v>489000</v>
      </c>
      <c r="BK579" s="114" t="n">
        <v>30000</v>
      </c>
      <c r="BL579" s="115" t="n">
        <v>198185.4</v>
      </c>
      <c r="BM579" s="186" t="n">
        <f aca="false" ca="true" dt2D="false" dtr="false" t="normal">SUBTOTAL(9, BN579:CB579)</f>
        <v>9780000</v>
      </c>
      <c r="BN579" s="106" t="n"/>
      <c r="BO579" s="106" t="n"/>
      <c r="BP579" s="106" t="n"/>
      <c r="BQ579" s="106" t="n"/>
      <c r="BR579" s="106" t="n"/>
      <c r="BS579" s="106" t="n"/>
      <c r="BT579" s="106" t="n"/>
      <c r="BU579" s="106" t="n">
        <v>9062814.6</v>
      </c>
      <c r="BV579" s="106" t="n"/>
      <c r="BW579" s="106" t="n"/>
      <c r="BX579" s="106" t="n"/>
      <c r="BY579" s="106" t="n"/>
      <c r="BZ579" s="106" t="n">
        <v>489000</v>
      </c>
      <c r="CA579" s="114" t="n">
        <v>30000</v>
      </c>
      <c r="CB579" s="115" t="n">
        <v>198185.4</v>
      </c>
      <c r="CD579" s="116" t="n">
        <f aca="false" ca="false" dt2D="false" dtr="false" t="normal">+CD578+1</f>
        <v>557</v>
      </c>
      <c r="CE579" s="117" t="n">
        <f aca="false" ca="false" dt2D="false" dtr="false" t="normal">+CE578+1</f>
        <v>98</v>
      </c>
      <c r="CF579" s="104" t="s">
        <v>590</v>
      </c>
      <c r="CG579" s="117" t="s">
        <v>591</v>
      </c>
      <c r="CH579" s="108" t="n">
        <f aca="false" ca="true" dt2D="false" dtr="false" t="normal">SUBTOTAL(9, CI579:CW579)</f>
        <v>9780000</v>
      </c>
      <c r="CI579" s="106" t="n"/>
      <c r="CJ579" s="114" t="n"/>
      <c r="CK579" s="114" t="n"/>
      <c r="CL579" s="114" t="n"/>
      <c r="CM579" s="114" t="n"/>
      <c r="CN579" s="114" t="n"/>
      <c r="CO579" s="106" t="n"/>
      <c r="CP579" s="114" t="n">
        <v>9062814.6</v>
      </c>
      <c r="CQ579" s="114" t="n"/>
      <c r="CR579" s="114" t="n"/>
      <c r="CS579" s="114" t="n"/>
      <c r="CT579" s="114" t="n"/>
      <c r="CU579" s="114" t="n">
        <v>489000</v>
      </c>
      <c r="CV579" s="114" t="n">
        <v>30000</v>
      </c>
      <c r="CW579" s="115" t="n">
        <v>198185.4</v>
      </c>
      <c r="CX579" s="3" t="n">
        <f aca="false" ca="false" dt2D="false" dtr="false" t="normal">+N579-CH579</f>
        <v>-198185.40000000037</v>
      </c>
      <c r="CZ579" s="117" t="s">
        <v>591</v>
      </c>
      <c r="DA579" s="113" t="n">
        <f aca="false" ca="true" dt2D="false" dtr="false" t="normal">SUBTOTAL(9, DB579:DP579)</f>
        <v>9581814.6</v>
      </c>
      <c r="DB579" s="106" t="n"/>
      <c r="DC579" s="114" t="n"/>
      <c r="DD579" s="114" t="n"/>
      <c r="DE579" s="114" t="n"/>
      <c r="DF579" s="114" t="n"/>
      <c r="DG579" s="114" t="n"/>
      <c r="DH579" s="106" t="n"/>
      <c r="DI579" s="114" t="n">
        <v>9062814.6</v>
      </c>
      <c r="DJ579" s="114" t="n"/>
      <c r="DK579" s="114" t="n"/>
      <c r="DL579" s="114" t="n"/>
      <c r="DM579" s="114" t="n"/>
      <c r="DN579" s="114" t="n">
        <v>489000</v>
      </c>
      <c r="DO579" s="114" t="n">
        <v>30000</v>
      </c>
      <c r="DP579" s="240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</row>
    <row customFormat="true" hidden="false" ht="15" outlineLevel="0" r="580" s="1">
      <c r="A580" s="183" t="n">
        <f aca="false" ca="false" dt2D="false" dtr="false" t="normal">+A579+1</f>
        <v>558</v>
      </c>
      <c r="B580" s="117" t="n">
        <f aca="false" ca="false" dt2D="false" dtr="false" t="normal">+B579+1</f>
        <v>99</v>
      </c>
      <c r="C580" s="104" t="s">
        <v>78</v>
      </c>
      <c r="D580" s="104" t="s">
        <v>593</v>
      </c>
      <c r="E580" s="105" t="n">
        <v>1989</v>
      </c>
      <c r="F580" s="105" t="n">
        <v>2009</v>
      </c>
      <c r="G580" s="105" t="s">
        <v>68</v>
      </c>
      <c r="H580" s="105" t="n">
        <v>9</v>
      </c>
      <c r="I580" s="105" t="n">
        <v>1</v>
      </c>
      <c r="J580" s="106" t="n">
        <v>3239.5</v>
      </c>
      <c r="K580" s="106" t="n">
        <v>2720.9</v>
      </c>
      <c r="L580" s="106" t="n">
        <v>63.8</v>
      </c>
      <c r="M580" s="107" t="n">
        <v>112</v>
      </c>
      <c r="N580" s="108" t="n">
        <f aca="false" ca="false" dt2D="false" dtr="false" t="normal">SUM(P580:T580)</f>
        <v>10847661.43</v>
      </c>
      <c r="O580" s="106" t="n"/>
      <c r="P580" s="114" t="n"/>
      <c r="Q580" s="114" t="n"/>
      <c r="R580" s="113" t="n">
        <v>2380602.06</v>
      </c>
      <c r="S580" s="113" t="n">
        <v>8467059.37</v>
      </c>
      <c r="T580" s="114" t="n"/>
      <c r="U580" s="114" t="n">
        <v>4666.62163552669</v>
      </c>
      <c r="V580" s="114" t="n">
        <v>1246.283020064</v>
      </c>
      <c r="W580" s="110" t="n">
        <v>2024</v>
      </c>
      <c r="X580" s="9" t="e">
        <f aca="false" ca="false" dt2D="false" dtr="false" t="normal">+#REF!-'[9]Приложение №1'!$P1364</f>
        <v>#REF!</v>
      </c>
      <c r="Z580" s="113" t="n">
        <f aca="false" ca="false" dt2D="false" dtr="false" t="normal">SUM(AA580:AO580)</f>
        <v>10076605.06225801</v>
      </c>
      <c r="AA580" s="106" t="n">
        <v>6679650.68975831</v>
      </c>
      <c r="AB580" s="106" t="n">
        <v>0</v>
      </c>
      <c r="AC580" s="106" t="n">
        <v>1973900.91160118</v>
      </c>
      <c r="AD580" s="106" t="n">
        <v>0</v>
      </c>
      <c r="AE580" s="106" t="n">
        <v>0</v>
      </c>
      <c r="AF580" s="106" t="n"/>
      <c r="AG580" s="106" t="n">
        <v>296767.557107195</v>
      </c>
      <c r="AH580" s="106" t="n">
        <v>0</v>
      </c>
      <c r="AI580" s="106" t="n">
        <v>0</v>
      </c>
      <c r="AJ580" s="106" t="n">
        <v>0</v>
      </c>
      <c r="AK580" s="106" t="n">
        <v>0</v>
      </c>
      <c r="AL580" s="106" t="n">
        <v>0</v>
      </c>
      <c r="AM580" s="106" t="n">
        <v>829794.5006333</v>
      </c>
      <c r="AN580" s="114" t="n">
        <v>100766.05062258</v>
      </c>
      <c r="AO580" s="115" t="n">
        <v>195725.352535446</v>
      </c>
      <c r="AP580" s="112" t="n">
        <f aca="false" ca="false" dt2D="false" dtr="false" t="normal">+N580-'Приложение №2'!E580</f>
        <v>0</v>
      </c>
      <c r="AQ580" s="121" t="n">
        <v>1978054.72</v>
      </c>
      <c r="AR580" s="3" t="n">
        <f aca="false" ca="false" dt2D="false" dtr="false" t="normal">+(K580*13.95+L580*23.65)*12*0.85</f>
        <v>402547.335</v>
      </c>
      <c r="AS580" s="3" t="n">
        <f aca="false" ca="false" dt2D="false" dtr="false" t="normal">+(K580*13.95+L580*23.65)*12*30</f>
        <v>14207553.000000002</v>
      </c>
      <c r="AT580" s="9" t="n">
        <f aca="false" ca="false" dt2D="false" dtr="false" t="normal">+S580-AS580</f>
        <v>-5740493.630000003</v>
      </c>
      <c r="AU580" s="9" t="e">
        <f aca="false" ca="false" dt2D="false" dtr="false" t="normal">+P580-'[5]Приложение №1'!$P529</f>
        <v>#REF!</v>
      </c>
      <c r="AV580" s="9" t="e">
        <f aca="false" ca="false" dt2D="false" dtr="false" t="normal">+Q580-'[5]Приложение №1'!$Q529</f>
        <v>#REF!</v>
      </c>
      <c r="AW580" s="186" t="n">
        <f aca="false" ca="true" dt2D="false" dtr="false" t="normal">SUBTOTAL(9, AX580:BL580)</f>
        <v>12697410.808104586</v>
      </c>
      <c r="AX580" s="106" t="n">
        <v>7935557.2128255</v>
      </c>
      <c r="AY580" s="106" t="n">
        <v>0</v>
      </c>
      <c r="AZ580" s="106" t="n">
        <v>2345033.34739894</v>
      </c>
      <c r="BA580" s="106" t="n">
        <v>1498583.81501829</v>
      </c>
      <c r="BB580" s="106" t="n">
        <v>0</v>
      </c>
      <c r="BC580" s="106" t="n"/>
      <c r="BD580" s="106" t="n">
        <v>354186.485056417</v>
      </c>
      <c r="BE580" s="106" t="n">
        <v>0</v>
      </c>
      <c r="BF580" s="106" t="n">
        <v>0</v>
      </c>
      <c r="BG580" s="106" t="n">
        <v>0</v>
      </c>
      <c r="BH580" s="106" t="n">
        <v>0</v>
      </c>
      <c r="BI580" s="106" t="n">
        <v>0</v>
      </c>
      <c r="BJ580" s="106" t="n">
        <v>298717.92</v>
      </c>
      <c r="BK580" s="114" t="n"/>
      <c r="BL580" s="115" t="n">
        <v>265332.027805438</v>
      </c>
      <c r="BM580" s="186" t="n">
        <f aca="false" ca="true" dt2D="false" dtr="false" t="normal">SUBTOTAL(9, BN580:CB580)</f>
        <v>12697410.808104586</v>
      </c>
      <c r="BN580" s="106" t="n">
        <v>7935557.2128255</v>
      </c>
      <c r="BO580" s="106" t="n">
        <v>0</v>
      </c>
      <c r="BP580" s="106" t="n">
        <v>2345033.34739894</v>
      </c>
      <c r="BQ580" s="106" t="n">
        <v>1498583.81501829</v>
      </c>
      <c r="BR580" s="106" t="n">
        <v>0</v>
      </c>
      <c r="BS580" s="106" t="n"/>
      <c r="BT580" s="106" t="n">
        <v>354186.485056417</v>
      </c>
      <c r="BU580" s="106" t="n">
        <v>0</v>
      </c>
      <c r="BV580" s="106" t="n">
        <v>0</v>
      </c>
      <c r="BW580" s="106" t="n">
        <v>0</v>
      </c>
      <c r="BX580" s="106" t="n">
        <v>0</v>
      </c>
      <c r="BY580" s="106" t="n">
        <v>0</v>
      </c>
      <c r="BZ580" s="106" t="n">
        <v>298717.92</v>
      </c>
      <c r="CA580" s="114" t="n"/>
      <c r="CB580" s="115" t="n">
        <v>265332.027805438</v>
      </c>
      <c r="CD580" s="116" t="n">
        <f aca="false" ca="false" dt2D="false" dtr="false" t="normal">+CD579+1</f>
        <v>558</v>
      </c>
      <c r="CE580" s="117" t="n">
        <f aca="false" ca="false" dt2D="false" dtr="false" t="normal">+CE579+1</f>
        <v>99</v>
      </c>
      <c r="CF580" s="104" t="s">
        <v>78</v>
      </c>
      <c r="CG580" s="117" t="s">
        <v>593</v>
      </c>
      <c r="CH580" s="108" t="n">
        <f aca="false" ca="true" dt2D="false" dtr="false" t="normal">SUBTOTAL(9, CI580:CW580)</f>
        <v>11112993.459999999</v>
      </c>
      <c r="CI580" s="106" t="n">
        <v>7935557.21</v>
      </c>
      <c r="CJ580" s="114" t="n">
        <v>0</v>
      </c>
      <c r="CK580" s="114" t="n">
        <v>1456052.11</v>
      </c>
      <c r="CL580" s="243" t="n">
        <v>1456052.11</v>
      </c>
      <c r="CM580" s="114" t="n">
        <v>0</v>
      </c>
      <c r="CN580" s="114" t="n"/>
      <c r="CO580" s="106" t="n"/>
      <c r="CP580" s="114" t="n">
        <v>0</v>
      </c>
      <c r="CQ580" s="114" t="n">
        <v>0</v>
      </c>
      <c r="CR580" s="114" t="n">
        <v>0</v>
      </c>
      <c r="CS580" s="114" t="n">
        <v>0</v>
      </c>
      <c r="CT580" s="114" t="n">
        <v>0</v>
      </c>
      <c r="CU580" s="114" t="n"/>
      <c r="CV580" s="114" t="n"/>
      <c r="CW580" s="115" t="n">
        <v>265332.03</v>
      </c>
      <c r="CX580" s="3" t="n">
        <f aca="false" ca="false" dt2D="false" dtr="false" t="normal">+N580-CH580</f>
        <v>-265332.02999999933</v>
      </c>
      <c r="CZ580" s="117" t="s">
        <v>593</v>
      </c>
      <c r="DA580" s="113" t="n">
        <f aca="false" ca="true" dt2D="false" dtr="false" t="normal">SUBTOTAL(9, DB580:DP580)</f>
        <v>10847661.43</v>
      </c>
      <c r="DB580" s="106" t="n">
        <v>7935557.21</v>
      </c>
      <c r="DC580" s="114" t="n">
        <v>0</v>
      </c>
      <c r="DD580" s="114" t="n">
        <v>1456052.11</v>
      </c>
      <c r="DE580" s="243" t="n">
        <v>1456052.11</v>
      </c>
      <c r="DF580" s="114" t="n">
        <v>0</v>
      </c>
      <c r="DG580" s="114" t="n"/>
      <c r="DH580" s="106" t="n"/>
      <c r="DI580" s="114" t="n">
        <v>0</v>
      </c>
      <c r="DJ580" s="114" t="n">
        <v>0</v>
      </c>
      <c r="DK580" s="114" t="n">
        <v>0</v>
      </c>
      <c r="DL580" s="114" t="n">
        <v>0</v>
      </c>
      <c r="DM580" s="114" t="n">
        <v>0</v>
      </c>
      <c r="DN580" s="241" t="n"/>
      <c r="DO580" s="241" t="n"/>
      <c r="DP580" s="240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</row>
    <row customFormat="true" hidden="false" ht="15" outlineLevel="0" r="581" s="129">
      <c r="A581" s="183" t="n">
        <f aca="false" ca="false" dt2D="false" dtr="false" t="normal">+A580+1</f>
        <v>559</v>
      </c>
      <c r="B581" s="117" t="n">
        <f aca="false" ca="false" dt2D="false" dtr="false" t="normal">+B580+1</f>
        <v>100</v>
      </c>
      <c r="C581" s="104" t="s">
        <v>78</v>
      </c>
      <c r="D581" s="104" t="s">
        <v>478</v>
      </c>
      <c r="E581" s="105" t="s">
        <v>267</v>
      </c>
      <c r="F581" s="105" t="n"/>
      <c r="G581" s="105" t="s">
        <v>68</v>
      </c>
      <c r="H581" s="105" t="s">
        <v>126</v>
      </c>
      <c r="I581" s="105" t="s">
        <v>232</v>
      </c>
      <c r="J581" s="106" t="n">
        <v>3182.4</v>
      </c>
      <c r="K581" s="106" t="n">
        <v>2718.2</v>
      </c>
      <c r="L581" s="106" t="n">
        <v>0</v>
      </c>
      <c r="M581" s="107" t="n">
        <v>99</v>
      </c>
      <c r="N581" s="108" t="n">
        <f aca="false" ca="false" dt2D="false" dtr="false" t="normal">SUM(P581:T581)</f>
        <v>8101220.33</v>
      </c>
      <c r="O581" s="106" t="n">
        <v>0</v>
      </c>
      <c r="P581" s="114" t="n"/>
      <c r="Q581" s="114" t="n"/>
      <c r="R581" s="113" t="n">
        <v>1542838.5</v>
      </c>
      <c r="S581" s="113" t="n">
        <v>6558381.83</v>
      </c>
      <c r="T581" s="114" t="n">
        <v>0</v>
      </c>
      <c r="U581" s="106" t="n">
        <v>4870.98769327849</v>
      </c>
      <c r="V581" s="106" t="n">
        <v>4870.98769327849</v>
      </c>
      <c r="W581" s="110" t="n">
        <v>2024</v>
      </c>
      <c r="X581" s="129" t="n">
        <v>1300878.49</v>
      </c>
      <c r="Y581" s="129" t="n">
        <f aca="false" ca="false" dt2D="false" dtr="false" t="normal">+(K581*12.08+L581*20.47)*12</f>
        <v>394030.272</v>
      </c>
      <c r="AA581" s="130" t="e">
        <f aca="false" ca="false" dt2D="false" dtr="false" t="normal">+N581-'[8]Приложение № 2'!E232</f>
        <v>#REF!</v>
      </c>
      <c r="AD581" s="130" t="e">
        <f aca="false" ca="false" dt2D="false" dtr="false" t="normal">+N581-'[8]Приложение № 2'!E232</f>
        <v>#REF!</v>
      </c>
      <c r="AP581" s="112" t="n">
        <f aca="false" ca="false" dt2D="false" dtr="false" t="normal">+N581-'Приложение №2'!E581</f>
        <v>0</v>
      </c>
      <c r="AQ581" s="129" t="n">
        <v>1686354.74</v>
      </c>
      <c r="AR581" s="3" t="n">
        <f aca="false" ca="false" dt2D="false" dtr="false" t="normal">+(K581*13.29+L581*22.52)*12*0.85</f>
        <v>368473.7556</v>
      </c>
      <c r="AS581" s="3" t="n">
        <f aca="false" ca="false" dt2D="false" dtr="false" t="normal">+(K581*13.29+L581*22.52)*12*30</f>
        <v>13004956.079999998</v>
      </c>
      <c r="AT581" s="9" t="n">
        <f aca="false" ca="false" dt2D="false" dtr="false" t="normal">+S581-AS581</f>
        <v>-6446574.249999998</v>
      </c>
      <c r="AU581" s="9" t="e">
        <f aca="false" ca="false" dt2D="false" dtr="false" t="normal">+P581-'[5]Приложение №1'!$P246</f>
        <v>#REF!</v>
      </c>
      <c r="AV581" s="9" t="e">
        <f aca="false" ca="false" dt2D="false" dtr="false" t="normal">+Q581-'[5]Приложение №1'!$Q246</f>
        <v>#REF!</v>
      </c>
      <c r="AW581" s="113" t="n">
        <f aca="false" ca="true" dt2D="false" dtr="false" t="normal">SUBTOTAL(9, AX581:BL581)</f>
        <v>13240318.7478696</v>
      </c>
      <c r="AX581" s="106" t="n">
        <v>8101220.32634613</v>
      </c>
      <c r="AY581" s="106" t="n">
        <v>0</v>
      </c>
      <c r="AZ581" s="106" t="n">
        <v>2455002.51496745</v>
      </c>
      <c r="BA581" s="106" t="n">
        <v>1423274.54159961</v>
      </c>
      <c r="BB581" s="106" t="n"/>
      <c r="BC581" s="106" t="n"/>
      <c r="BD581" s="106" t="n">
        <v>295198.034328078</v>
      </c>
      <c r="BE581" s="106" t="n"/>
      <c r="BF581" s="106" t="n"/>
      <c r="BG581" s="106" t="n"/>
      <c r="BH581" s="106" t="n"/>
      <c r="BI581" s="106" t="n"/>
      <c r="BJ581" s="106" t="n">
        <v>696095.606906596</v>
      </c>
      <c r="BK581" s="114" t="n"/>
      <c r="BL581" s="115" t="n">
        <v>269527.723721733</v>
      </c>
      <c r="BM581" s="113" t="n">
        <f aca="false" ca="true" dt2D="false" dtr="false" t="normal">SUBTOTAL(9, BN581:CB581)</f>
        <v>13240318.7478696</v>
      </c>
      <c r="BN581" s="106" t="n">
        <v>8101220.32634613</v>
      </c>
      <c r="BO581" s="106" t="n">
        <v>0</v>
      </c>
      <c r="BP581" s="106" t="n">
        <v>2455002.51496745</v>
      </c>
      <c r="BQ581" s="106" t="n">
        <v>1423274.54159961</v>
      </c>
      <c r="BR581" s="106" t="n"/>
      <c r="BS581" s="106" t="n"/>
      <c r="BT581" s="106" t="n">
        <v>295198.034328078</v>
      </c>
      <c r="BU581" s="106" t="n"/>
      <c r="BV581" s="106" t="n"/>
      <c r="BW581" s="106" t="n"/>
      <c r="BX581" s="106" t="n"/>
      <c r="BY581" s="106" t="n"/>
      <c r="BZ581" s="106" t="n">
        <v>696095.606906596</v>
      </c>
      <c r="CA581" s="114" t="n"/>
      <c r="CB581" s="115" t="n">
        <v>269527.723721733</v>
      </c>
      <c r="CD581" s="116" t="n">
        <f aca="false" ca="false" dt2D="false" dtr="false" t="normal">+CD580+1</f>
        <v>559</v>
      </c>
      <c r="CE581" s="117" t="n">
        <f aca="false" ca="false" dt2D="false" dtr="false" t="normal">+CE580+1</f>
        <v>100</v>
      </c>
      <c r="CF581" s="104" t="s">
        <v>78</v>
      </c>
      <c r="CG581" s="117" t="s">
        <v>478</v>
      </c>
      <c r="CH581" s="108" t="n">
        <f aca="false" ca="true" dt2D="false" dtr="false" t="normal">SUBTOTAL(9, CI581:CW581)</f>
        <v>8101220.33</v>
      </c>
      <c r="CI581" s="106" t="n">
        <v>8101220.33</v>
      </c>
      <c r="CJ581" s="114" t="n">
        <v>0</v>
      </c>
      <c r="CK581" s="114" t="n"/>
      <c r="CL581" s="114" t="n"/>
      <c r="CM581" s="114" t="n"/>
      <c r="CN581" s="114" t="n"/>
      <c r="CO581" s="106" t="n"/>
      <c r="CP581" s="114" t="n"/>
      <c r="CQ581" s="114" t="n"/>
      <c r="CR581" s="114" t="n"/>
      <c r="CS581" s="114" t="n"/>
      <c r="CT581" s="114" t="n"/>
      <c r="CU581" s="114" t="n"/>
      <c r="CV581" s="114" t="n"/>
      <c r="CW581" s="115" t="n"/>
      <c r="CX581" s="3" t="n">
        <f aca="false" ca="false" dt2D="false" dtr="false" t="normal">+N581-CH581</f>
        <v>0</v>
      </c>
      <c r="CZ581" s="117" t="s">
        <v>478</v>
      </c>
      <c r="DA581" s="113" t="n">
        <f aca="false" ca="true" dt2D="false" dtr="false" t="normal">SUBTOTAL(9, DB581:DP581)</f>
        <v>8101220.33</v>
      </c>
      <c r="DB581" s="106" t="n">
        <v>8101220.33</v>
      </c>
      <c r="DC581" s="114" t="n">
        <v>0</v>
      </c>
      <c r="DD581" s="114" t="n"/>
      <c r="DE581" s="114" t="n"/>
      <c r="DF581" s="114" t="n"/>
      <c r="DG581" s="114" t="n"/>
      <c r="DH581" s="106" t="n"/>
      <c r="DI581" s="114" t="n"/>
      <c r="DJ581" s="114" t="n"/>
      <c r="DK581" s="114" t="n"/>
      <c r="DL581" s="114" t="n"/>
      <c r="DM581" s="114" t="n"/>
      <c r="DN581" s="241" t="n"/>
      <c r="DO581" s="241" t="n"/>
      <c r="DP581" s="240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</row>
    <row customFormat="true" hidden="false" ht="15" outlineLevel="0" r="582" s="1">
      <c r="A582" s="183" t="n">
        <f aca="false" ca="false" dt2D="false" dtr="false" t="normal">+A581+1</f>
        <v>560</v>
      </c>
      <c r="B582" s="117" t="n">
        <f aca="false" ca="false" dt2D="false" dtr="false" t="normal">+B581+1</f>
        <v>101</v>
      </c>
      <c r="C582" s="104" t="s">
        <v>81</v>
      </c>
      <c r="D582" s="104" t="s">
        <v>594</v>
      </c>
      <c r="E582" s="105" t="n">
        <v>1993</v>
      </c>
      <c r="F582" s="105" t="n">
        <v>2007</v>
      </c>
      <c r="G582" s="105" t="s">
        <v>68</v>
      </c>
      <c r="H582" s="105" t="n">
        <v>9</v>
      </c>
      <c r="I582" s="105" t="n">
        <v>1</v>
      </c>
      <c r="J582" s="106" t="n">
        <v>2855.54</v>
      </c>
      <c r="K582" s="106" t="n">
        <v>2487.9</v>
      </c>
      <c r="L582" s="106" t="n">
        <v>367.64</v>
      </c>
      <c r="M582" s="107" t="n">
        <v>94</v>
      </c>
      <c r="N582" s="108" t="n">
        <f aca="false" ca="false" dt2D="false" dtr="false" t="normal">SUM(P582:T582)</f>
        <v>3517263.77</v>
      </c>
      <c r="O582" s="106" t="n"/>
      <c r="P582" s="113" t="n"/>
      <c r="Q582" s="114" t="n"/>
      <c r="R582" s="113" t="n">
        <v>1390815.35</v>
      </c>
      <c r="S582" s="1" t="n">
        <v>0</v>
      </c>
      <c r="T582" s="113" t="n">
        <v>2126448.42</v>
      </c>
      <c r="U582" s="114" t="n">
        <v>1443.5306885325</v>
      </c>
      <c r="V582" s="114" t="n">
        <v>1247.283020064</v>
      </c>
      <c r="W582" s="110" t="n">
        <v>2024</v>
      </c>
      <c r="X582" s="9" t="e">
        <f aca="false" ca="false" dt2D="false" dtr="false" t="normal">+#REF!-'[9]Приложение №1'!$P219</f>
        <v>#REF!</v>
      </c>
      <c r="Z582" s="113" t="n">
        <f aca="false" ca="false" dt2D="false" dtr="false" t="normal">SUM(AA582:AO582)</f>
        <v>14648835.946255352</v>
      </c>
      <c r="AA582" s="106" t="n">
        <v>5957914.86404616</v>
      </c>
      <c r="AB582" s="106" t="n">
        <v>2383734.1772688</v>
      </c>
      <c r="AC582" s="106" t="n">
        <v>1760621.04556076</v>
      </c>
      <c r="AD582" s="106" t="n">
        <v>1125117.56226598</v>
      </c>
      <c r="AE582" s="106" t="n">
        <v>0</v>
      </c>
      <c r="AF582" s="106" t="n"/>
      <c r="AG582" s="106" t="n">
        <v>264701.841724541</v>
      </c>
      <c r="AH582" s="106" t="n">
        <v>0</v>
      </c>
      <c r="AI582" s="106" t="n">
        <v>2607417.52093473</v>
      </c>
      <c r="AJ582" s="106" t="n">
        <v>0</v>
      </c>
      <c r="AK582" s="106" t="n">
        <v>0</v>
      </c>
      <c r="AL582" s="106" t="n">
        <v>0</v>
      </c>
      <c r="AM582" s="106" t="n">
        <v>80780.05</v>
      </c>
      <c r="AN582" s="114" t="n">
        <v>160221.222434617</v>
      </c>
      <c r="AO582" s="115" t="n">
        <v>308327.662019764</v>
      </c>
      <c r="AP582" s="112" t="n">
        <f aca="false" ca="false" dt2D="false" dtr="false" t="normal">+N582-'Приложение №2'!E582</f>
        <v>0</v>
      </c>
      <c r="AR582" s="3" t="n">
        <f aca="false" ca="false" dt2D="false" dtr="false" t="normal">+(K582*13.95+L582*23.65)*12*0.85</f>
        <v>442689.0882</v>
      </c>
      <c r="AS582" s="3" t="n">
        <f aca="false" ca="false" dt2D="false" dtr="false" t="normal">+(K582*13.95+L582*23.65)*12*30</f>
        <v>15624320.760000002</v>
      </c>
      <c r="AT582" s="9" t="n">
        <f aca="false" ca="false" dt2D="false" dtr="false" t="normal">+S582-AS582</f>
        <v>-15624320.760000002</v>
      </c>
      <c r="AU582" s="9" t="e">
        <f aca="false" ca="false" dt2D="false" dtr="false" t="normal">+P582-'[5]Приложение №1'!$P530</f>
        <v>#REF!</v>
      </c>
      <c r="AV582" s="9" t="e">
        <f aca="false" ca="false" dt2D="false" dtr="false" t="normal">+Q582-'[5]Приложение №1'!$Q530</f>
        <v>#REF!</v>
      </c>
      <c r="AW582" s="186" t="n">
        <f aca="false" ca="true" dt2D="false" dtr="false" t="normal">SUBTOTAL(9, AX582:BL582)</f>
        <v>3591360.0000000023</v>
      </c>
      <c r="AX582" s="106" t="n"/>
      <c r="AY582" s="106" t="n"/>
      <c r="AZ582" s="106" t="n"/>
      <c r="BA582" s="106" t="n"/>
      <c r="BB582" s="106" t="n"/>
      <c r="BC582" s="106" t="n"/>
      <c r="BD582" s="106" t="n"/>
      <c r="BE582" s="106" t="n">
        <v>3388344.64606988</v>
      </c>
      <c r="BF582" s="106" t="n"/>
      <c r="BG582" s="106" t="n"/>
      <c r="BH582" s="106" t="n"/>
      <c r="BI582" s="106" t="n"/>
      <c r="BJ582" s="196" t="n">
        <v>104919.1190784</v>
      </c>
      <c r="BK582" s="114" t="n">
        <v>24000</v>
      </c>
      <c r="BL582" s="115" t="n">
        <v>74096.2348517222</v>
      </c>
      <c r="BM582" s="186" t="n">
        <f aca="false" ca="true" dt2D="false" dtr="false" t="normal">SUBTOTAL(9, BN582:CB582)</f>
        <v>3591360.0000000023</v>
      </c>
      <c r="BN582" s="106" t="n"/>
      <c r="BO582" s="106" t="n"/>
      <c r="BP582" s="106" t="n"/>
      <c r="BQ582" s="106" t="n"/>
      <c r="BR582" s="106" t="n"/>
      <c r="BS582" s="106" t="n"/>
      <c r="BT582" s="106" t="n"/>
      <c r="BU582" s="106" t="n">
        <v>3388344.64606988</v>
      </c>
      <c r="BV582" s="106" t="n"/>
      <c r="BW582" s="106" t="n"/>
      <c r="BX582" s="106" t="n"/>
      <c r="BY582" s="106" t="n"/>
      <c r="BZ582" s="196" t="n">
        <v>104919.1190784</v>
      </c>
      <c r="CA582" s="114" t="n">
        <v>24000</v>
      </c>
      <c r="CB582" s="115" t="n">
        <v>74096.2348517222</v>
      </c>
      <c r="CD582" s="116" t="n">
        <f aca="false" ca="false" dt2D="false" dtr="false" t="normal">+CD581+1</f>
        <v>560</v>
      </c>
      <c r="CE582" s="117" t="n">
        <f aca="false" ca="false" dt2D="false" dtr="false" t="normal">+CE581+1</f>
        <v>101</v>
      </c>
      <c r="CF582" s="104" t="s">
        <v>590</v>
      </c>
      <c r="CG582" s="117" t="s">
        <v>594</v>
      </c>
      <c r="CH582" s="108" t="n">
        <f aca="false" ca="true" dt2D="false" dtr="false" t="normal">SUBTOTAL(9, CI582:CW582)</f>
        <v>3591360</v>
      </c>
      <c r="CI582" s="106" t="n"/>
      <c r="CJ582" s="114" t="n"/>
      <c r="CK582" s="114" t="n"/>
      <c r="CL582" s="114" t="n"/>
      <c r="CM582" s="114" t="n"/>
      <c r="CN582" s="114" t="n"/>
      <c r="CO582" s="106" t="n"/>
      <c r="CP582" s="114" t="n">
        <v>3388344.65</v>
      </c>
      <c r="CQ582" s="114" t="n"/>
      <c r="CR582" s="114" t="n"/>
      <c r="CS582" s="114" t="n"/>
      <c r="CT582" s="114" t="n"/>
      <c r="CU582" s="114" t="n">
        <v>104919.12</v>
      </c>
      <c r="CV582" s="114" t="n">
        <v>24000</v>
      </c>
      <c r="CW582" s="115" t="n">
        <v>74096.23</v>
      </c>
      <c r="CX582" s="3" t="n">
        <f aca="false" ca="false" dt2D="false" dtr="false" t="normal">+N582-CH582</f>
        <v>-74096.22999999998</v>
      </c>
      <c r="CZ582" s="117" t="s">
        <v>594</v>
      </c>
      <c r="DA582" s="113" t="n">
        <f aca="false" ca="true" dt2D="false" dtr="false" t="normal">SUBTOTAL(9, DB582:DP582)</f>
        <v>3517263.77</v>
      </c>
      <c r="DB582" s="106" t="n"/>
      <c r="DC582" s="114" t="n"/>
      <c r="DD582" s="114" t="n"/>
      <c r="DE582" s="114" t="n"/>
      <c r="DF582" s="114" t="n"/>
      <c r="DG582" s="114" t="n"/>
      <c r="DH582" s="106" t="n"/>
      <c r="DI582" s="114" t="n">
        <v>3388344.65</v>
      </c>
      <c r="DJ582" s="114" t="n"/>
      <c r="DK582" s="114" t="n"/>
      <c r="DL582" s="114" t="n"/>
      <c r="DM582" s="114" t="n"/>
      <c r="DN582" s="114" t="n">
        <v>104919.12</v>
      </c>
      <c r="DO582" s="114" t="n">
        <v>24000</v>
      </c>
      <c r="DP582" s="240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</row>
    <row customFormat="true" hidden="false" ht="15" outlineLevel="0" r="583" s="1">
      <c r="A583" s="183" t="n">
        <f aca="false" ca="false" dt2D="false" dtr="false" t="normal">+A582+1</f>
        <v>561</v>
      </c>
      <c r="B583" s="117" t="n">
        <f aca="false" ca="false" dt2D="false" dtr="false" t="normal">+B582+1</f>
        <v>102</v>
      </c>
      <c r="C583" s="104" t="s">
        <v>78</v>
      </c>
      <c r="D583" s="104" t="s">
        <v>595</v>
      </c>
      <c r="E583" s="105" t="n">
        <v>1990</v>
      </c>
      <c r="F583" s="105" t="n">
        <v>2017</v>
      </c>
      <c r="G583" s="105" t="s">
        <v>68</v>
      </c>
      <c r="H583" s="105" t="n">
        <v>9</v>
      </c>
      <c r="I583" s="105" t="n">
        <v>1</v>
      </c>
      <c r="J583" s="106" t="n">
        <v>3220.3</v>
      </c>
      <c r="K583" s="106" t="n">
        <v>2758.2</v>
      </c>
      <c r="L583" s="106" t="n">
        <v>90</v>
      </c>
      <c r="M583" s="107" t="n">
        <v>102</v>
      </c>
      <c r="N583" s="108" t="n">
        <f aca="false" ca="false" dt2D="false" dtr="false" t="normal">SUM(P583:T583)</f>
        <v>9892552.73</v>
      </c>
      <c r="O583" s="106" t="n"/>
      <c r="P583" s="114" t="n"/>
      <c r="Q583" s="114" t="n"/>
      <c r="R583" s="113" t="n">
        <v>1238401.57</v>
      </c>
      <c r="S583" s="113" t="n">
        <v>8654151.16</v>
      </c>
      <c r="T583" s="113" t="n"/>
      <c r="U583" s="106" t="n">
        <v>5066.74606444872</v>
      </c>
      <c r="V583" s="106" t="n">
        <v>5066.74606444872</v>
      </c>
      <c r="W583" s="110" t="n">
        <v>2024</v>
      </c>
      <c r="X583" s="9" t="e">
        <f aca="false" ca="false" dt2D="false" dtr="false" t="normal">+#REF!-'[9]Приложение №1'!$P983</f>
        <v>#REF!</v>
      </c>
      <c r="Z583" s="113" t="n">
        <f aca="false" ca="false" dt2D="false" dtr="false" t="normal">SUM(AA583:AO583)</f>
        <v>10585519.119685266</v>
      </c>
      <c r="AA583" s="106" t="n">
        <v>6602013.76826736</v>
      </c>
      <c r="AB583" s="106" t="n"/>
      <c r="AC583" s="106" t="n">
        <v>1950958.45589165</v>
      </c>
      <c r="AD583" s="106" t="n"/>
      <c r="AE583" s="106" t="n">
        <v>0</v>
      </c>
      <c r="AF583" s="106" t="n"/>
      <c r="AG583" s="106" t="n">
        <v>293318.257046113</v>
      </c>
      <c r="AH583" s="106" t="n">
        <v>0</v>
      </c>
      <c r="AI583" s="106" t="n">
        <v>0</v>
      </c>
      <c r="AJ583" s="106" t="n">
        <v>0</v>
      </c>
      <c r="AK583" s="106" t="n">
        <v>0</v>
      </c>
      <c r="AL583" s="106" t="n">
        <v>0</v>
      </c>
      <c r="AM583" s="106" t="n">
        <v>1316014.34444657</v>
      </c>
      <c r="AN583" s="114" t="n">
        <v>144737.06182413</v>
      </c>
      <c r="AO583" s="115" t="n">
        <v>278477.232209445</v>
      </c>
      <c r="AP583" s="112" t="n">
        <f aca="false" ca="false" dt2D="false" dtr="false" t="normal">+N583-'Приложение №2'!E583</f>
        <v>0</v>
      </c>
      <c r="AQ583" s="1" t="n">
        <v>1638244.38</v>
      </c>
      <c r="AR583" s="3" t="n">
        <f aca="false" ca="false" dt2D="false" dtr="false" t="normal">+(K583*13.29+L583*22.52)*12*0.85</f>
        <v>394569.4356</v>
      </c>
      <c r="AS583" s="3" t="e">
        <f aca="false" ca="false" dt2D="false" dtr="false" t="normal">+(K583*13.29+L583*22.52)*12*30-'[7]КПКР 2021 оплата по источникам'!$BG$1185-'[7]КПКР 2021 оплата по источникам'!$BG$1187</f>
        <v>#REF!</v>
      </c>
      <c r="AT583" s="9" t="e">
        <f aca="false" ca="false" dt2D="false" dtr="false" t="normal">+S583-AS583</f>
        <v>#REF!</v>
      </c>
      <c r="AU583" s="9" t="e">
        <f aca="false" ca="false" dt2D="false" dtr="false" t="normal">+P583-'[5]Приложение №1'!$P247</f>
        <v>#REF!</v>
      </c>
      <c r="AV583" s="9" t="e">
        <f aca="false" ca="false" dt2D="false" dtr="false" t="normal">+Q583-'[5]Приложение №1'!$Q247</f>
        <v>#REF!</v>
      </c>
      <c r="AW583" s="113" t="n">
        <f aca="false" ca="true" dt2D="false" dtr="false" t="normal">SUBTOTAL(9, AX583:BL583)</f>
        <v>14431106.14076286</v>
      </c>
      <c r="AX583" s="106" t="n">
        <v>8116513.10861838</v>
      </c>
      <c r="AY583" s="106" t="n">
        <v>0</v>
      </c>
      <c r="AZ583" s="106" t="n">
        <v>0</v>
      </c>
      <c r="BA583" s="106" t="n">
        <v>0</v>
      </c>
      <c r="BB583" s="106" t="n">
        <v>0</v>
      </c>
      <c r="BC583" s="106" t="n"/>
      <c r="BD583" s="106" t="n">
        <v>362263.061276865</v>
      </c>
      <c r="BE583" s="106" t="n">
        <v>0</v>
      </c>
      <c r="BF583" s="106" t="n">
        <v>0</v>
      </c>
      <c r="BG583" s="106" t="n">
        <v>5643504.29945529</v>
      </c>
      <c r="BH583" s="106" t="n">
        <v>0</v>
      </c>
      <c r="BI583" s="106" t="n">
        <v>0</v>
      </c>
      <c r="BJ583" s="106" t="n"/>
      <c r="BK583" s="114" t="n"/>
      <c r="BL583" s="115" t="n">
        <v>308825.671412325</v>
      </c>
      <c r="BM583" s="113" t="n">
        <f aca="false" ca="true" dt2D="false" dtr="false" t="normal">SUBTOTAL(9, BN583:CB583)</f>
        <v>14431106.14076286</v>
      </c>
      <c r="BN583" s="106" t="n">
        <v>8116513.10861838</v>
      </c>
      <c r="BO583" s="106" t="n">
        <v>0</v>
      </c>
      <c r="BP583" s="106" t="n">
        <v>0</v>
      </c>
      <c r="BQ583" s="106" t="n">
        <v>0</v>
      </c>
      <c r="BR583" s="106" t="n">
        <v>0</v>
      </c>
      <c r="BS583" s="106" t="n"/>
      <c r="BT583" s="106" t="n">
        <v>362263.061276865</v>
      </c>
      <c r="BU583" s="106" t="n">
        <v>0</v>
      </c>
      <c r="BV583" s="106" t="n">
        <v>0</v>
      </c>
      <c r="BW583" s="106" t="n">
        <v>5643504.29945529</v>
      </c>
      <c r="BX583" s="106" t="n">
        <v>0</v>
      </c>
      <c r="BY583" s="106" t="n">
        <v>0</v>
      </c>
      <c r="BZ583" s="106" t="n"/>
      <c r="CA583" s="114" t="n"/>
      <c r="CB583" s="115" t="n">
        <v>308825.671412325</v>
      </c>
      <c r="CD583" s="116" t="n">
        <f aca="false" ca="false" dt2D="false" dtr="false" t="normal">+CD582+1</f>
        <v>561</v>
      </c>
      <c r="CE583" s="117" t="n">
        <f aca="false" ca="false" dt2D="false" dtr="false" t="normal">+CE582+1</f>
        <v>102</v>
      </c>
      <c r="CF583" s="104" t="s">
        <v>78</v>
      </c>
      <c r="CG583" s="117" t="s">
        <v>595</v>
      </c>
      <c r="CH583" s="108" t="n">
        <f aca="false" ca="true" dt2D="false" dtr="false" t="normal">SUBTOTAL(9, CI583:CW583)</f>
        <v>10201378.4</v>
      </c>
      <c r="CI583" s="106" t="n">
        <v>6480351.24</v>
      </c>
      <c r="CJ583" s="114" t="n">
        <v>0</v>
      </c>
      <c r="CK583" s="114" t="n">
        <v>0</v>
      </c>
      <c r="CL583" s="114" t="n">
        <v>0</v>
      </c>
      <c r="CM583" s="114" t="n">
        <v>0</v>
      </c>
      <c r="CN583" s="114" t="n"/>
      <c r="CO583" s="106" t="n"/>
      <c r="CP583" s="114" t="n">
        <v>0</v>
      </c>
      <c r="CQ583" s="114" t="n">
        <v>0</v>
      </c>
      <c r="CR583" s="114" t="n">
        <v>3412201.49</v>
      </c>
      <c r="CS583" s="114" t="n">
        <v>0</v>
      </c>
      <c r="CT583" s="114" t="n">
        <v>0</v>
      </c>
      <c r="CU583" s="114" t="n"/>
      <c r="CV583" s="114" t="n"/>
      <c r="CW583" s="115" t="n">
        <v>308825.67</v>
      </c>
      <c r="CX583" s="3" t="n">
        <f aca="false" ca="false" dt2D="false" dtr="false" t="normal">+N583-CH583</f>
        <v>-308825.6699999999</v>
      </c>
      <c r="CZ583" s="117" t="s">
        <v>595</v>
      </c>
      <c r="DA583" s="113" t="n">
        <f aca="false" ca="true" dt2D="false" dtr="false" t="normal">SUBTOTAL(9, DB583:DP583)</f>
        <v>9892552.73</v>
      </c>
      <c r="DB583" s="106" t="n">
        <v>6480351.24</v>
      </c>
      <c r="DC583" s="114" t="n">
        <v>0</v>
      </c>
      <c r="DD583" s="114" t="n">
        <v>0</v>
      </c>
      <c r="DE583" s="114" t="n">
        <v>0</v>
      </c>
      <c r="DF583" s="114" t="n">
        <v>0</v>
      </c>
      <c r="DG583" s="114" t="n"/>
      <c r="DH583" s="106" t="n"/>
      <c r="DI583" s="114" t="n">
        <v>0</v>
      </c>
      <c r="DJ583" s="114" t="n">
        <v>0</v>
      </c>
      <c r="DK583" s="114" t="n">
        <v>3412201.49</v>
      </c>
      <c r="DL583" s="114" t="n">
        <v>0</v>
      </c>
      <c r="DM583" s="114" t="n">
        <v>0</v>
      </c>
      <c r="DN583" s="114" t="n"/>
      <c r="DO583" s="114" t="n"/>
      <c r="DP583" s="240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</row>
    <row customFormat="true" hidden="false" ht="15" outlineLevel="0" r="584" s="129">
      <c r="A584" s="183" t="n">
        <f aca="false" ca="false" dt2D="false" dtr="false" t="normal">+A583+1</f>
        <v>562</v>
      </c>
      <c r="B584" s="117" t="n">
        <f aca="false" ca="false" dt2D="false" dtr="false" t="normal">+B583+1</f>
        <v>103</v>
      </c>
      <c r="C584" s="104" t="s">
        <v>81</v>
      </c>
      <c r="D584" s="104" t="s">
        <v>596</v>
      </c>
      <c r="E584" s="105" t="s">
        <v>534</v>
      </c>
      <c r="F584" s="105" t="n"/>
      <c r="G584" s="105" t="s">
        <v>68</v>
      </c>
      <c r="H584" s="105" t="s">
        <v>126</v>
      </c>
      <c r="I584" s="105" t="s">
        <v>105</v>
      </c>
      <c r="J584" s="106" t="n">
        <v>7245.1</v>
      </c>
      <c r="K584" s="106" t="n">
        <v>6191.5</v>
      </c>
      <c r="L584" s="106" t="n">
        <v>105</v>
      </c>
      <c r="M584" s="107" t="n">
        <v>262</v>
      </c>
      <c r="N584" s="108" t="n">
        <f aca="false" ca="false" dt2D="false" dtr="false" t="normal">SUM(P584:T584)</f>
        <v>7032520.03</v>
      </c>
      <c r="O584" s="106" t="n">
        <v>0</v>
      </c>
      <c r="P584" s="113" t="n"/>
      <c r="Q584" s="114" t="n"/>
      <c r="R584" s="113" t="n">
        <v>2531984.92</v>
      </c>
      <c r="S584" s="129" t="n">
        <v>0</v>
      </c>
      <c r="T584" s="113" t="n">
        <v>4500535.11</v>
      </c>
      <c r="U584" s="114" t="n">
        <v>1160.09367681499</v>
      </c>
      <c r="V584" s="114" t="n">
        <v>1248.283020064</v>
      </c>
      <c r="W584" s="110" t="n">
        <v>2024</v>
      </c>
      <c r="Y584" s="129" t="n">
        <f aca="false" ca="false" dt2D="false" dtr="false" t="normal">+(K584*12.08+L584*20.47)*12</f>
        <v>923312.0400000002</v>
      </c>
      <c r="AA584" s="130" t="e">
        <f aca="false" ca="false" dt2D="false" dtr="false" t="normal">+N584-'[8]Приложение № 2'!E496</f>
        <v>#REF!</v>
      </c>
      <c r="AD584" s="130" t="e">
        <f aca="false" ca="false" dt2D="false" dtr="false" t="normal">+N584-'[8]Приложение № 2'!E496</f>
        <v>#REF!</v>
      </c>
      <c r="AP584" s="112" t="n">
        <f aca="false" ca="false" dt2D="false" dtr="false" t="normal">+N584-'Приложение №2'!E584</f>
        <v>0</v>
      </c>
      <c r="AR584" s="3" t="n">
        <f aca="false" ca="false" dt2D="false" dtr="false" t="normal">+(K584*13.95+L584*23.65)*12*0.85</f>
        <v>906317.6849999998</v>
      </c>
      <c r="AS584" s="3" t="n">
        <f aca="false" ca="false" dt2D="false" dtr="false" t="normal">+(K584*13.95+L584*23.65)*12*30</f>
        <v>31987682.999999996</v>
      </c>
      <c r="AT584" s="9" t="n">
        <f aca="false" ca="false" dt2D="false" dtr="false" t="normal">+S584-AS584</f>
        <v>-31987682.999999996</v>
      </c>
      <c r="AU584" s="9" t="e">
        <f aca="false" ca="false" dt2D="false" dtr="false" t="normal">+P584-'[5]Приложение №1'!$P531</f>
        <v>#REF!</v>
      </c>
      <c r="AV584" s="9" t="e">
        <f aca="false" ca="false" dt2D="false" dtr="false" t="normal">+Q584-'[5]Приложение №1'!$Q531</f>
        <v>#REF!</v>
      </c>
      <c r="AW584" s="186" t="n">
        <f aca="false" ca="true" dt2D="false" dtr="false" t="normal">SUBTOTAL(9, AX584:BL584)</f>
        <v>7182719.999999997</v>
      </c>
      <c r="AX584" s="106" t="n"/>
      <c r="AY584" s="106" t="n"/>
      <c r="AZ584" s="106" t="n"/>
      <c r="BA584" s="106" t="n"/>
      <c r="BB584" s="106" t="n"/>
      <c r="BC584" s="106" t="n"/>
      <c r="BD584" s="106" t="n"/>
      <c r="BE584" s="106" t="n">
        <v>6868490.35750856</v>
      </c>
      <c r="BF584" s="106" t="n"/>
      <c r="BG584" s="106" t="n"/>
      <c r="BH584" s="106" t="n"/>
      <c r="BI584" s="106" t="n"/>
      <c r="BJ584" s="196" t="n">
        <v>140029.66941696</v>
      </c>
      <c r="BK584" s="114" t="n">
        <v>24000</v>
      </c>
      <c r="BL584" s="115" t="n">
        <v>150199.973074477</v>
      </c>
      <c r="BM584" s="186" t="n">
        <f aca="false" ca="true" dt2D="false" dtr="false" t="normal">SUBTOTAL(9, BN584:CB584)</f>
        <v>7182719.999999997</v>
      </c>
      <c r="BN584" s="106" t="n"/>
      <c r="BO584" s="106" t="n"/>
      <c r="BP584" s="106" t="n"/>
      <c r="BQ584" s="106" t="n"/>
      <c r="BR584" s="106" t="n"/>
      <c r="BS584" s="106" t="n"/>
      <c r="BT584" s="106" t="n"/>
      <c r="BU584" s="106" t="n">
        <v>6868490.35750856</v>
      </c>
      <c r="BV584" s="106" t="n"/>
      <c r="BW584" s="106" t="n"/>
      <c r="BX584" s="106" t="n"/>
      <c r="BY584" s="106" t="n"/>
      <c r="BZ584" s="196" t="n">
        <v>140029.66941696</v>
      </c>
      <c r="CA584" s="114" t="n">
        <v>24000</v>
      </c>
      <c r="CB584" s="115" t="n">
        <v>150199.973074477</v>
      </c>
      <c r="CD584" s="116" t="n">
        <f aca="false" ca="false" dt2D="false" dtr="false" t="normal">+CD583+1</f>
        <v>562</v>
      </c>
      <c r="CE584" s="117" t="n">
        <f aca="false" ca="false" dt2D="false" dtr="false" t="normal">+CE583+1</f>
        <v>103</v>
      </c>
      <c r="CF584" s="104" t="s">
        <v>590</v>
      </c>
      <c r="CG584" s="117" t="s">
        <v>596</v>
      </c>
      <c r="CH584" s="108" t="n">
        <f aca="false" ca="true" dt2D="false" dtr="false" t="normal">SUBTOTAL(9, CI584:CW584)</f>
        <v>7182720</v>
      </c>
      <c r="CI584" s="106" t="n"/>
      <c r="CJ584" s="114" t="n"/>
      <c r="CK584" s="114" t="n"/>
      <c r="CL584" s="114" t="n"/>
      <c r="CM584" s="114" t="n"/>
      <c r="CN584" s="114" t="n"/>
      <c r="CO584" s="106" t="n"/>
      <c r="CP584" s="114" t="n">
        <v>6868490.36</v>
      </c>
      <c r="CQ584" s="114" t="n"/>
      <c r="CR584" s="114" t="n"/>
      <c r="CS584" s="114" t="n"/>
      <c r="CT584" s="114" t="n"/>
      <c r="CU584" s="114" t="n">
        <v>140029.67</v>
      </c>
      <c r="CV584" s="114" t="n">
        <v>24000</v>
      </c>
      <c r="CW584" s="115" t="n">
        <v>150199.97</v>
      </c>
      <c r="CX584" s="3" t="n">
        <f aca="false" ca="false" dt2D="false" dtr="false" t="normal">+N584-CH584</f>
        <v>-150199.96999999974</v>
      </c>
      <c r="CZ584" s="117" t="s">
        <v>596</v>
      </c>
      <c r="DA584" s="113" t="n">
        <f aca="false" ca="true" dt2D="false" dtr="false" t="normal">SUBTOTAL(9, DB584:DP584)</f>
        <v>7032520.03</v>
      </c>
      <c r="DB584" s="106" t="n"/>
      <c r="DC584" s="114" t="n"/>
      <c r="DD584" s="114" t="n"/>
      <c r="DE584" s="114" t="n"/>
      <c r="DF584" s="114" t="n"/>
      <c r="DG584" s="114" t="n"/>
      <c r="DH584" s="106" t="n"/>
      <c r="DI584" s="114" t="n">
        <v>6868490.36</v>
      </c>
      <c r="DJ584" s="114" t="n"/>
      <c r="DK584" s="114" t="n"/>
      <c r="DL584" s="114" t="n"/>
      <c r="DM584" s="114" t="n"/>
      <c r="DN584" s="114" t="n">
        <v>140029.67</v>
      </c>
      <c r="DO584" s="114" t="n">
        <v>24000</v>
      </c>
      <c r="DP584" s="240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</row>
    <row customFormat="true" hidden="false" ht="15" outlineLevel="0" r="585" s="1">
      <c r="A585" s="183" t="n">
        <f aca="false" ca="false" dt2D="false" dtr="false" t="normal">+A584+1</f>
        <v>563</v>
      </c>
      <c r="B585" s="117" t="n">
        <f aca="false" ca="false" dt2D="false" dtr="false" t="normal">+B584+1</f>
        <v>104</v>
      </c>
      <c r="C585" s="104" t="s">
        <v>81</v>
      </c>
      <c r="D585" s="104" t="s">
        <v>110</v>
      </c>
      <c r="E585" s="105" t="n">
        <v>1995</v>
      </c>
      <c r="F585" s="105" t="n">
        <v>2007</v>
      </c>
      <c r="G585" s="105" t="s">
        <v>68</v>
      </c>
      <c r="H585" s="105" t="n">
        <v>9</v>
      </c>
      <c r="I585" s="105" t="n">
        <v>3</v>
      </c>
      <c r="J585" s="106" t="n">
        <v>8715.5</v>
      </c>
      <c r="K585" s="106" t="n">
        <v>7251.1</v>
      </c>
      <c r="L585" s="106" t="n">
        <v>660.9</v>
      </c>
      <c r="M585" s="107" t="n">
        <v>283</v>
      </c>
      <c r="N585" s="108" t="n">
        <f aca="false" ca="false" dt2D="false" dtr="false" t="normal">SUM(P585:T585)</f>
        <v>17694269.12</v>
      </c>
      <c r="O585" s="106" t="n"/>
      <c r="P585" s="114" t="n"/>
      <c r="Q585" s="124" t="n"/>
      <c r="R585" s="113" t="n">
        <v>1094226.53</v>
      </c>
      <c r="S585" s="114" t="n">
        <v>0</v>
      </c>
      <c r="T585" s="244" t="n">
        <v>16600042.59</v>
      </c>
      <c r="U585" s="114" t="n">
        <v>2236.38386248736</v>
      </c>
      <c r="V585" s="114" t="n">
        <v>2236.38386248736</v>
      </c>
      <c r="W585" s="110" t="n">
        <v>2024</v>
      </c>
      <c r="X585" s="9" t="e">
        <f aca="false" ca="false" dt2D="false" dtr="false" t="normal">+#REF!-#REF!</f>
        <v>#REF!</v>
      </c>
      <c r="Z585" s="113" t="n">
        <f aca="false" ca="false" dt2D="false" dtr="false" t="normal">SUM(AA585:AO585)</f>
        <v>47583718.34073141</v>
      </c>
      <c r="AA585" s="106" t="n">
        <v>17694269.1162227</v>
      </c>
      <c r="AB585" s="106" t="n">
        <v>7079395.22410152</v>
      </c>
      <c r="AC585" s="106" t="n">
        <v>5228826.41036611</v>
      </c>
      <c r="AD585" s="106" t="n">
        <v>3341459.78725896</v>
      </c>
      <c r="AE585" s="106" t="n">
        <v>0</v>
      </c>
      <c r="AF585" s="106" t="n"/>
      <c r="AG585" s="106" t="n">
        <v>786131.68027933</v>
      </c>
      <c r="AH585" s="106" t="n">
        <v>0</v>
      </c>
      <c r="AI585" s="106" t="n">
        <v>7743707.04626704</v>
      </c>
      <c r="AJ585" s="106" t="n">
        <v>0</v>
      </c>
      <c r="AK585" s="106" t="n">
        <v>0</v>
      </c>
      <c r="AL585" s="106" t="n">
        <v>0</v>
      </c>
      <c r="AM585" s="106" t="n">
        <v>4318396.93037165</v>
      </c>
      <c r="AN585" s="114" t="n">
        <v>475837.183407314</v>
      </c>
      <c r="AO585" s="115" t="n">
        <v>915694.962456782</v>
      </c>
      <c r="AP585" s="112" t="n">
        <f aca="false" ca="false" dt2D="false" dtr="false" t="normal">+N585-'Приложение №2'!E585</f>
        <v>0</v>
      </c>
      <c r="AR585" s="3" t="n">
        <f aca="false" ca="false" dt2D="false" dtr="false" t="normal">+(K585*13.29+L585*22.52)*12*0.85</f>
        <v>1134755.9873999998</v>
      </c>
      <c r="AS585" s="3" t="n">
        <f aca="false" ca="false" dt2D="false" dtr="false" t="normal">+(K585*13.29+L585*22.52)*12*30</f>
        <v>40050211.31999999</v>
      </c>
      <c r="AT585" s="9" t="n">
        <f aca="false" ca="false" dt2D="false" dtr="false" t="normal">+S585-AS585</f>
        <v>-40050211.31999999</v>
      </c>
      <c r="AU585" s="9" t="e">
        <f aca="false" ca="false" dt2D="false" dtr="false" t="normal">+P585-'[5]Приложение №1'!$P248</f>
        <v>#REF!</v>
      </c>
      <c r="AV585" s="9" t="e">
        <f aca="false" ca="false" dt2D="false" dtr="false" t="normal">+Q585-'[5]Приложение №1'!$Q248</f>
        <v>#REF!</v>
      </c>
      <c r="AW585" s="113" t="n">
        <f aca="false" ca="true" dt2D="false" dtr="false" t="normal">SUBTOTAL(9, AX585:BL585)</f>
        <v>17694269.12</v>
      </c>
      <c r="AX585" s="106" t="n">
        <v>17694269.12</v>
      </c>
      <c r="AY585" s="106" t="n"/>
      <c r="AZ585" s="106" t="n"/>
      <c r="BA585" s="106" t="n"/>
      <c r="BB585" s="106" t="n"/>
      <c r="BC585" s="106" t="n"/>
      <c r="BD585" s="106" t="n"/>
      <c r="BE585" s="106" t="n"/>
      <c r="BF585" s="106" t="n"/>
      <c r="BG585" s="106" t="n"/>
      <c r="BH585" s="106" t="n"/>
      <c r="BI585" s="106" t="n"/>
      <c r="BJ585" s="106" t="n"/>
      <c r="BK585" s="114" t="n"/>
      <c r="BL585" s="187" t="n"/>
      <c r="BM585" s="113" t="n">
        <f aca="false" ca="true" dt2D="false" dtr="false" t="normal">SUBTOTAL(9, BN585:CB585)</f>
        <v>17694269.12</v>
      </c>
      <c r="BN585" s="106" t="n">
        <v>17694269.12</v>
      </c>
      <c r="BO585" s="106" t="n"/>
      <c r="BP585" s="106" t="n"/>
      <c r="BQ585" s="106" t="n"/>
      <c r="BR585" s="106" t="n"/>
      <c r="BS585" s="106" t="n"/>
      <c r="BT585" s="106" t="n"/>
      <c r="BU585" s="106" t="n"/>
      <c r="BV585" s="106" t="n"/>
      <c r="BW585" s="106" t="n"/>
      <c r="BX585" s="106" t="n"/>
      <c r="BY585" s="106" t="n"/>
      <c r="BZ585" s="106" t="n"/>
      <c r="CA585" s="114" t="n"/>
      <c r="CB585" s="115" t="n"/>
      <c r="CD585" s="116" t="n">
        <f aca="false" ca="false" dt2D="false" dtr="false" t="normal">+CD584+1</f>
        <v>563</v>
      </c>
      <c r="CE585" s="117" t="n">
        <f aca="false" ca="false" dt2D="false" dtr="false" t="normal">+CE584+1</f>
        <v>104</v>
      </c>
      <c r="CF585" s="104" t="s">
        <v>81</v>
      </c>
      <c r="CG585" s="117" t="s">
        <v>110</v>
      </c>
      <c r="CH585" s="108" t="n">
        <f aca="false" ca="true" dt2D="false" dtr="false" t="normal">SUBTOTAL(9, CI585:CW585)</f>
        <v>17694269.12</v>
      </c>
      <c r="CI585" s="106" t="n">
        <v>17694269.12</v>
      </c>
      <c r="CJ585" s="114" t="n"/>
      <c r="CK585" s="114" t="n"/>
      <c r="CL585" s="114" t="n"/>
      <c r="CM585" s="114" t="n"/>
      <c r="CN585" s="114" t="n"/>
      <c r="CO585" s="106" t="n"/>
      <c r="CP585" s="114" t="n"/>
      <c r="CQ585" s="114" t="n"/>
      <c r="CR585" s="114" t="n"/>
      <c r="CS585" s="114" t="n"/>
      <c r="CT585" s="114" t="n"/>
      <c r="CU585" s="114" t="n"/>
      <c r="CV585" s="114" t="n"/>
      <c r="CW585" s="115" t="n"/>
      <c r="CX585" s="3" t="n">
        <f aca="false" ca="false" dt2D="false" dtr="false" t="normal">+N585-CH585</f>
        <v>0</v>
      </c>
      <c r="CZ585" s="117" t="s">
        <v>110</v>
      </c>
      <c r="DA585" s="113" t="n">
        <f aca="false" ca="true" dt2D="false" dtr="false" t="normal">SUBTOTAL(9, DB585:DP585)</f>
        <v>17694269.12</v>
      </c>
      <c r="DB585" s="106" t="n">
        <v>17694269.12</v>
      </c>
      <c r="DC585" s="114" t="n"/>
      <c r="DD585" s="114" t="n"/>
      <c r="DE585" s="114" t="n"/>
      <c r="DF585" s="114" t="n"/>
      <c r="DG585" s="114" t="n"/>
      <c r="DH585" s="106" t="n"/>
      <c r="DI585" s="114" t="n"/>
      <c r="DJ585" s="114" t="n"/>
      <c r="DK585" s="114" t="n"/>
      <c r="DL585" s="114" t="n"/>
      <c r="DM585" s="114" t="n"/>
      <c r="DN585" s="114" t="n"/>
      <c r="DO585" s="114" t="n"/>
      <c r="DP585" s="115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</row>
    <row customFormat="true" hidden="false" ht="15" outlineLevel="0" r="586" s="1">
      <c r="A586" s="183" t="n">
        <f aca="false" ca="false" dt2D="false" dtr="false" t="normal">+A585+1</f>
        <v>564</v>
      </c>
      <c r="B586" s="117" t="n">
        <f aca="false" ca="false" dt2D="false" dtr="false" t="normal">+B585+1</f>
        <v>105</v>
      </c>
      <c r="C586" s="104" t="s">
        <v>71</v>
      </c>
      <c r="D586" s="104" t="s">
        <v>597</v>
      </c>
      <c r="E586" s="105" t="n">
        <v>1997</v>
      </c>
      <c r="F586" s="105" t="n">
        <v>2013</v>
      </c>
      <c r="G586" s="105" t="s">
        <v>68</v>
      </c>
      <c r="H586" s="105" t="n">
        <v>3</v>
      </c>
      <c r="I586" s="105" t="n">
        <v>2</v>
      </c>
      <c r="J586" s="106" t="n">
        <v>1304.7</v>
      </c>
      <c r="K586" s="106" t="n">
        <v>938.6</v>
      </c>
      <c r="L586" s="106" t="n">
        <v>0</v>
      </c>
      <c r="M586" s="107" t="n">
        <v>33</v>
      </c>
      <c r="N586" s="108" t="n">
        <f aca="false" ca="false" dt2D="false" dtr="false" t="normal">SUM(P586:T586)</f>
        <v>9379853.559999999</v>
      </c>
      <c r="O586" s="106" t="n"/>
      <c r="P586" s="114" t="n"/>
      <c r="Q586" s="114" t="n"/>
      <c r="R586" s="113" t="n">
        <v>561433.67</v>
      </c>
      <c r="S586" s="113" t="n">
        <v>3378960</v>
      </c>
      <c r="T586" s="113" t="n">
        <v>5439459.89</v>
      </c>
      <c r="U586" s="106" t="n">
        <v>10103.9033887705</v>
      </c>
      <c r="V586" s="106" t="n">
        <v>10103.9033887705</v>
      </c>
      <c r="W586" s="110" t="n">
        <v>2024</v>
      </c>
      <c r="X586" s="9" t="e">
        <f aca="false" ca="false" dt2D="false" dtr="false" t="normal">+#REF!-'[9]Приложение №1'!$P1314</f>
        <v>#REF!</v>
      </c>
      <c r="Z586" s="113" t="n">
        <f aca="false" ca="false" dt2D="false" dtr="false" t="normal">SUM(AA586:AO586)</f>
        <v>10655644.629999999</v>
      </c>
      <c r="AA586" s="106" t="n">
        <v>0</v>
      </c>
      <c r="AB586" s="106" t="n">
        <v>0</v>
      </c>
      <c r="AC586" s="106" t="n">
        <v>0</v>
      </c>
      <c r="AD586" s="106" t="n">
        <v>0</v>
      </c>
      <c r="AE586" s="106" t="n">
        <v>0</v>
      </c>
      <c r="AF586" s="106" t="n"/>
      <c r="AG586" s="106" t="n">
        <v>0</v>
      </c>
      <c r="AH586" s="106" t="n">
        <v>0</v>
      </c>
      <c r="AI586" s="106" t="n">
        <v>0</v>
      </c>
      <c r="AJ586" s="106" t="n">
        <v>0</v>
      </c>
      <c r="AK586" s="106" t="n">
        <v>9280576.31307702</v>
      </c>
      <c r="AL586" s="106" t="n">
        <v>0</v>
      </c>
      <c r="AM586" s="106" t="n">
        <v>1065564.463</v>
      </c>
      <c r="AN586" s="114" t="n">
        <v>106556.4463</v>
      </c>
      <c r="AO586" s="115" t="n">
        <v>202947.40762298</v>
      </c>
      <c r="AP586" s="112" t="n">
        <f aca="false" ca="false" dt2D="false" dtr="false" t="normal">+N586-'Приложение №2'!E586</f>
        <v>0</v>
      </c>
      <c r="AQ586" s="1" t="n">
        <v>465696.47</v>
      </c>
      <c r="AR586" s="3" t="n">
        <f aca="false" ca="false" dt2D="false" dtr="false" t="normal">+(K586*10+L586*20)*12*0.85</f>
        <v>95737.2</v>
      </c>
      <c r="AS586" s="3" t="n">
        <f aca="false" ca="false" dt2D="false" dtr="false" t="normal">+(K586*10+L586*20)*12*30</f>
        <v>3378960</v>
      </c>
      <c r="AT586" s="9" t="n">
        <f aca="false" ca="false" dt2D="false" dtr="false" t="normal">+S586-AS586</f>
        <v>0</v>
      </c>
      <c r="AU586" s="9" t="e">
        <f aca="false" ca="false" dt2D="false" dtr="false" t="normal">+P586-'[5]Приложение №1'!$P249</f>
        <v>#REF!</v>
      </c>
      <c r="AV586" s="9" t="e">
        <f aca="false" ca="false" dt2D="false" dtr="false" t="normal">+Q586-'[5]Приложение №1'!$Q249</f>
        <v>#REF!</v>
      </c>
      <c r="AW586" s="113" t="n">
        <f aca="false" ca="true" dt2D="false" dtr="false" t="normal">SUBTOTAL(9, AX586:BL586)</f>
        <v>9483523.7207</v>
      </c>
      <c r="AX586" s="106" t="n">
        <v>0</v>
      </c>
      <c r="AY586" s="106" t="n">
        <v>0</v>
      </c>
      <c r="AZ586" s="106" t="n">
        <v>0</v>
      </c>
      <c r="BA586" s="106" t="n">
        <v>0</v>
      </c>
      <c r="BB586" s="106" t="n">
        <v>0</v>
      </c>
      <c r="BC586" s="106" t="n"/>
      <c r="BD586" s="106" t="n"/>
      <c r="BE586" s="106" t="n">
        <v>0</v>
      </c>
      <c r="BF586" s="106" t="n">
        <v>0</v>
      </c>
      <c r="BG586" s="106" t="n">
        <v>0</v>
      </c>
      <c r="BH586" s="106" t="n">
        <v>9280576.31307702</v>
      </c>
      <c r="BI586" s="106" t="n">
        <v>0</v>
      </c>
      <c r="BJ586" s="106" t="n"/>
      <c r="BK586" s="114" t="n"/>
      <c r="BL586" s="187" t="n">
        <v>202947.40762298</v>
      </c>
      <c r="BM586" s="113" t="n">
        <f aca="false" ca="true" dt2D="false" dtr="false" t="normal">SUBTOTAL(9, BN586:CB586)</f>
        <v>9483523.7207</v>
      </c>
      <c r="BN586" s="106" t="n">
        <v>0</v>
      </c>
      <c r="BO586" s="106" t="n">
        <v>0</v>
      </c>
      <c r="BP586" s="106" t="n">
        <v>0</v>
      </c>
      <c r="BQ586" s="106" t="n">
        <v>0</v>
      </c>
      <c r="BR586" s="106" t="n">
        <v>0</v>
      </c>
      <c r="BS586" s="106" t="n"/>
      <c r="BT586" s="106" t="n"/>
      <c r="BU586" s="106" t="n">
        <v>0</v>
      </c>
      <c r="BV586" s="106" t="n">
        <v>0</v>
      </c>
      <c r="BW586" s="106" t="n">
        <v>0</v>
      </c>
      <c r="BX586" s="106" t="n">
        <v>9280576.31307702</v>
      </c>
      <c r="BY586" s="106" t="n">
        <v>0</v>
      </c>
      <c r="BZ586" s="106" t="n"/>
      <c r="CA586" s="114" t="n"/>
      <c r="CB586" s="115" t="n">
        <v>202947.40762298</v>
      </c>
      <c r="CD586" s="116" t="n">
        <f aca="false" ca="false" dt2D="false" dtr="false" t="normal">+CD585+1</f>
        <v>564</v>
      </c>
      <c r="CE586" s="117" t="n">
        <f aca="false" ca="false" dt2D="false" dtr="false" t="normal">+CE585+1</f>
        <v>105</v>
      </c>
      <c r="CF586" s="104" t="s">
        <v>71</v>
      </c>
      <c r="CG586" s="117" t="s">
        <v>597</v>
      </c>
      <c r="CH586" s="108" t="n">
        <f aca="false" ca="true" dt2D="false" dtr="false" t="normal">SUBTOTAL(9, CI586:CW586)</f>
        <v>9483523.72</v>
      </c>
      <c r="CI586" s="106" t="n">
        <v>0</v>
      </c>
      <c r="CJ586" s="114" t="n">
        <v>0</v>
      </c>
      <c r="CK586" s="114" t="n">
        <v>0</v>
      </c>
      <c r="CL586" s="114" t="n">
        <v>0</v>
      </c>
      <c r="CM586" s="114" t="n">
        <v>0</v>
      </c>
      <c r="CN586" s="114" t="n"/>
      <c r="CO586" s="106" t="n"/>
      <c r="CP586" s="114" t="n">
        <v>0</v>
      </c>
      <c r="CQ586" s="114" t="n">
        <v>0</v>
      </c>
      <c r="CR586" s="114" t="n">
        <v>0</v>
      </c>
      <c r="CS586" s="114" t="n">
        <v>9280576.31</v>
      </c>
      <c r="CT586" s="114" t="n">
        <v>0</v>
      </c>
      <c r="CU586" s="114" t="n"/>
      <c r="CV586" s="114" t="n"/>
      <c r="CW586" s="115" t="n">
        <v>202947.41</v>
      </c>
      <c r="CX586" s="3" t="n">
        <f aca="false" ca="false" dt2D="false" dtr="false" t="normal">+N586-CH586</f>
        <v>-103670.16000000201</v>
      </c>
      <c r="CZ586" s="117" t="s">
        <v>597</v>
      </c>
      <c r="DA586" s="113" t="n">
        <f aca="false" ca="true" dt2D="false" dtr="false" t="normal">SUBTOTAL(9, DB586:DP586)</f>
        <v>9379853.556</v>
      </c>
      <c r="DB586" s="106" t="n">
        <v>0</v>
      </c>
      <c r="DC586" s="114" t="n">
        <v>0</v>
      </c>
      <c r="DD586" s="114" t="n">
        <v>0</v>
      </c>
      <c r="DE586" s="114" t="n">
        <v>0</v>
      </c>
      <c r="DF586" s="114" t="n">
        <v>0</v>
      </c>
      <c r="DG586" s="114" t="n"/>
      <c r="DH586" s="106" t="n"/>
      <c r="DI586" s="114" t="n">
        <v>0</v>
      </c>
      <c r="DJ586" s="114" t="n">
        <v>0</v>
      </c>
      <c r="DK586" s="114" t="n">
        <v>0</v>
      </c>
      <c r="DL586" s="114" t="n">
        <v>9280576.31</v>
      </c>
      <c r="DM586" s="114" t="n">
        <v>0</v>
      </c>
      <c r="DN586" s="114" t="n"/>
      <c r="DO586" s="114" t="n"/>
      <c r="DP586" s="115" t="n">
        <f aca="false" ca="false" dt2D="false" dtr="false" t="normal">86328.04*1.15</f>
        <v>99277.24599999998</v>
      </c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</row>
    <row customFormat="true" hidden="false" ht="15" outlineLevel="0" r="587" s="1">
      <c r="A587" s="183" t="n">
        <f aca="false" ca="false" dt2D="false" dtr="false" t="normal">+A586+1</f>
        <v>565</v>
      </c>
      <c r="B587" s="117" t="n">
        <f aca="false" ca="false" dt2D="false" dtr="false" t="normal">+B586+1</f>
        <v>106</v>
      </c>
      <c r="C587" s="104" t="s">
        <v>71</v>
      </c>
      <c r="D587" s="104" t="s">
        <v>72</v>
      </c>
      <c r="E587" s="105" t="n">
        <v>1995</v>
      </c>
      <c r="F587" s="105" t="n">
        <v>2013</v>
      </c>
      <c r="G587" s="105" t="s">
        <v>68</v>
      </c>
      <c r="H587" s="105" t="n">
        <v>3</v>
      </c>
      <c r="I587" s="105" t="n">
        <v>4</v>
      </c>
      <c r="J587" s="106" t="n">
        <v>2740.5</v>
      </c>
      <c r="K587" s="106" t="n">
        <v>1849.2</v>
      </c>
      <c r="L587" s="106" t="n">
        <v>0</v>
      </c>
      <c r="M587" s="107" t="n">
        <v>67</v>
      </c>
      <c r="N587" s="108" t="n">
        <f aca="false" ca="false" dt2D="false" dtr="false" t="normal">SUM(P587:T587)</f>
        <v>18381250.57</v>
      </c>
      <c r="O587" s="106" t="n"/>
      <c r="P587" s="114" t="n"/>
      <c r="Q587" s="114" t="n"/>
      <c r="R587" s="113" t="n">
        <v>188618.4</v>
      </c>
      <c r="S587" s="113" t="n">
        <v>1070733.23</v>
      </c>
      <c r="T587" s="113" t="n">
        <v>17121898.94</v>
      </c>
      <c r="U587" s="106" t="n">
        <v>10063.0684504651</v>
      </c>
      <c r="V587" s="106" t="n">
        <v>10063.0684504651</v>
      </c>
      <c r="W587" s="110" t="n">
        <v>2024</v>
      </c>
      <c r="X587" s="9" t="e">
        <f aca="false" ca="false" dt2D="false" dtr="false" t="normal">+#REF!-'[9]Приложение №1'!$P1315</f>
        <v>#REF!</v>
      </c>
      <c r="Z587" s="113" t="n">
        <f aca="false" ca="false" dt2D="false" dtr="false" t="normal">SUM(AA587:AO587)</f>
        <v>20908568.74000004</v>
      </c>
      <c r="AA587" s="106" t="n">
        <v>0</v>
      </c>
      <c r="AB587" s="106" t="n">
        <v>0</v>
      </c>
      <c r="AC587" s="106" t="n">
        <v>0</v>
      </c>
      <c r="AD587" s="106" t="n">
        <v>0</v>
      </c>
      <c r="AE587" s="106" t="n">
        <v>0</v>
      </c>
      <c r="AF587" s="106" t="n"/>
      <c r="AG587" s="106" t="n">
        <v>0</v>
      </c>
      <c r="AH587" s="106" t="n">
        <v>0</v>
      </c>
      <c r="AI587" s="106" t="n">
        <v>0</v>
      </c>
      <c r="AJ587" s="106" t="n">
        <v>0</v>
      </c>
      <c r="AK587" s="106" t="n">
        <v>18210401.578378</v>
      </c>
      <c r="AL587" s="106" t="n">
        <v>0</v>
      </c>
      <c r="AM587" s="106" t="n">
        <v>2090856.874</v>
      </c>
      <c r="AN587" s="114" t="n">
        <v>209085.6874</v>
      </c>
      <c r="AO587" s="115" t="n">
        <v>398224.60022204</v>
      </c>
      <c r="AP587" s="112" t="n">
        <f aca="false" ca="false" dt2D="false" dtr="false" t="normal">+N587-'Приложение №2'!E587</f>
        <v>0</v>
      </c>
      <c r="AQ587" s="1" t="n">
        <v>908516.69</v>
      </c>
      <c r="AR587" s="3" t="n">
        <f aca="false" ca="false" dt2D="false" dtr="false" t="normal">+(K587*10+L587*20)*12*0.85</f>
        <v>188618.4</v>
      </c>
      <c r="AS587" s="3" t="n">
        <f aca="false" ca="false" dt2D="false" dtr="false" t="normal">+(K587*10+L587*20)*12*30-S21</f>
        <v>1336144.1900000004</v>
      </c>
      <c r="AT587" s="9" t="n">
        <f aca="false" ca="false" dt2D="false" dtr="false" t="normal">+S587-AS587</f>
        <v>-265410.9600000004</v>
      </c>
      <c r="AU587" s="9" t="e">
        <f aca="false" ca="false" dt2D="false" dtr="false" t="normal">+P587-'[5]Приложение №1'!$P250</f>
        <v>#REF!</v>
      </c>
      <c r="AV587" s="9" t="e">
        <f aca="false" ca="false" dt2D="false" dtr="false" t="normal">+Q587-'[5]Приложение №1'!$Q250</f>
        <v>#REF!</v>
      </c>
      <c r="AW587" s="113" t="n">
        <f aca="false" ca="true" dt2D="false" dtr="false" t="normal">SUBTOTAL(9, AX587:BL587)</f>
        <v>18608626.17860004</v>
      </c>
      <c r="AX587" s="106" t="n">
        <v>0</v>
      </c>
      <c r="AY587" s="106" t="n">
        <v>0</v>
      </c>
      <c r="AZ587" s="106" t="n">
        <v>0</v>
      </c>
      <c r="BA587" s="106" t="n">
        <v>0</v>
      </c>
      <c r="BB587" s="106" t="n">
        <v>0</v>
      </c>
      <c r="BC587" s="106" t="n"/>
      <c r="BD587" s="106" t="n"/>
      <c r="BE587" s="106" t="n">
        <v>0</v>
      </c>
      <c r="BF587" s="106" t="n">
        <v>0</v>
      </c>
      <c r="BG587" s="106" t="n">
        <v>0</v>
      </c>
      <c r="BH587" s="106" t="n">
        <v>18210401.578378</v>
      </c>
      <c r="BI587" s="106" t="n">
        <v>0</v>
      </c>
      <c r="BJ587" s="106" t="n"/>
      <c r="BK587" s="114" t="n"/>
      <c r="BL587" s="187" t="n">
        <v>398224.60022204</v>
      </c>
      <c r="BM587" s="113" t="n">
        <f aca="false" ca="true" dt2D="false" dtr="false" t="normal">SUBTOTAL(9, BN587:CB587)</f>
        <v>18608626.17860004</v>
      </c>
      <c r="BN587" s="106" t="n">
        <v>0</v>
      </c>
      <c r="BO587" s="106" t="n">
        <v>0</v>
      </c>
      <c r="BP587" s="106" t="n">
        <v>0</v>
      </c>
      <c r="BQ587" s="106" t="n">
        <v>0</v>
      </c>
      <c r="BR587" s="106" t="n">
        <v>0</v>
      </c>
      <c r="BS587" s="106" t="n"/>
      <c r="BT587" s="106" t="n"/>
      <c r="BU587" s="106" t="n">
        <v>0</v>
      </c>
      <c r="BV587" s="106" t="n">
        <v>0</v>
      </c>
      <c r="BW587" s="106" t="n">
        <v>0</v>
      </c>
      <c r="BX587" s="106" t="n">
        <v>18210401.578378</v>
      </c>
      <c r="BY587" s="106" t="n">
        <v>0</v>
      </c>
      <c r="BZ587" s="106" t="n"/>
      <c r="CA587" s="114" t="n"/>
      <c r="CB587" s="115" t="n">
        <v>398224.60022204</v>
      </c>
      <c r="CD587" s="116" t="n">
        <f aca="false" ca="false" dt2D="false" dtr="false" t="normal">+CD586+1</f>
        <v>565</v>
      </c>
      <c r="CE587" s="117" t="n">
        <f aca="false" ca="false" dt2D="false" dtr="false" t="normal">+CE586+1</f>
        <v>106</v>
      </c>
      <c r="CF587" s="104" t="s">
        <v>71</v>
      </c>
      <c r="CG587" s="117" t="s">
        <v>72</v>
      </c>
      <c r="CH587" s="108" t="n">
        <f aca="false" ca="true" dt2D="false" dtr="false" t="normal">SUBTOTAL(9, CI587:CW587)</f>
        <v>18608626.18</v>
      </c>
      <c r="CI587" s="106" t="n">
        <v>0</v>
      </c>
      <c r="CJ587" s="114" t="n">
        <v>0</v>
      </c>
      <c r="CK587" s="114" t="n">
        <v>0</v>
      </c>
      <c r="CL587" s="114" t="n">
        <v>0</v>
      </c>
      <c r="CM587" s="114" t="n">
        <v>0</v>
      </c>
      <c r="CN587" s="114" t="n"/>
      <c r="CO587" s="106" t="n"/>
      <c r="CP587" s="114" t="n">
        <v>0</v>
      </c>
      <c r="CQ587" s="114" t="n">
        <v>0</v>
      </c>
      <c r="CR587" s="114" t="n">
        <v>0</v>
      </c>
      <c r="CS587" s="114" t="n">
        <v>18210401.58</v>
      </c>
      <c r="CT587" s="114" t="n">
        <v>0</v>
      </c>
      <c r="CU587" s="114" t="n"/>
      <c r="CV587" s="114" t="n"/>
      <c r="CW587" s="115" t="n">
        <v>398224.6</v>
      </c>
      <c r="CX587" s="3" t="n">
        <f aca="false" ca="false" dt2D="false" dtr="false" t="normal">+N587-CH587</f>
        <v>-227375.6099999994</v>
      </c>
      <c r="CZ587" s="117" t="s">
        <v>72</v>
      </c>
      <c r="DA587" s="113" t="n">
        <f aca="false" ca="true" dt2D="false" dtr="false" t="normal">SUBTOTAL(9, DB587:DP587)</f>
        <v>18381250.571</v>
      </c>
      <c r="DB587" s="106" t="n">
        <v>0</v>
      </c>
      <c r="DC587" s="114" t="n">
        <v>0</v>
      </c>
      <c r="DD587" s="114" t="n">
        <v>0</v>
      </c>
      <c r="DE587" s="114" t="n">
        <v>0</v>
      </c>
      <c r="DF587" s="114" t="n">
        <v>0</v>
      </c>
      <c r="DG587" s="114" t="n"/>
      <c r="DH587" s="106" t="n"/>
      <c r="DI587" s="114" t="n">
        <v>0</v>
      </c>
      <c r="DJ587" s="114" t="n">
        <v>0</v>
      </c>
      <c r="DK587" s="114" t="n">
        <v>0</v>
      </c>
      <c r="DL587" s="114" t="n">
        <v>18210401.58</v>
      </c>
      <c r="DM587" s="114" t="n">
        <v>0</v>
      </c>
      <c r="DN587" s="114" t="n"/>
      <c r="DO587" s="114" t="n"/>
      <c r="DP587" s="115" t="n">
        <f aca="false" ca="false" dt2D="false" dtr="false" t="normal">148564.34*1.15</f>
        <v>170848.99099999998</v>
      </c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</row>
    <row customFormat="true" hidden="false" ht="15" outlineLevel="0" r="588" s="129">
      <c r="A588" s="183" t="n">
        <f aca="false" ca="false" dt2D="false" dtr="false" t="normal">+A587+1</f>
        <v>566</v>
      </c>
      <c r="B588" s="117" t="n">
        <f aca="false" ca="false" dt2D="false" dtr="false" t="normal">+B587+1</f>
        <v>107</v>
      </c>
      <c r="C588" s="104" t="s">
        <v>184</v>
      </c>
      <c r="D588" s="104" t="s">
        <v>598</v>
      </c>
      <c r="E588" s="105" t="s">
        <v>599</v>
      </c>
      <c r="F588" s="105" t="n"/>
      <c r="G588" s="105" t="s">
        <v>68</v>
      </c>
      <c r="H588" s="105" t="s">
        <v>126</v>
      </c>
      <c r="I588" s="105" t="s">
        <v>600</v>
      </c>
      <c r="J588" s="106" t="n">
        <v>20643.6</v>
      </c>
      <c r="K588" s="106" t="n">
        <v>17405.5</v>
      </c>
      <c r="L588" s="106" t="n">
        <v>146.2</v>
      </c>
      <c r="M588" s="107" t="n">
        <v>665</v>
      </c>
      <c r="N588" s="108" t="n">
        <f aca="false" ca="false" dt2D="false" dtr="false" t="normal">SUM(P588:T588)</f>
        <v>20768203.43</v>
      </c>
      <c r="O588" s="106" t="n">
        <v>0</v>
      </c>
      <c r="P588" s="114" t="n"/>
      <c r="Q588" s="114" t="n"/>
      <c r="R588" s="113" t="n">
        <v>15653500.26</v>
      </c>
      <c r="S588" s="113" t="n">
        <v>5114703.17</v>
      </c>
      <c r="T588" s="114" t="n">
        <v>0</v>
      </c>
      <c r="U588" s="114" t="n">
        <v>1717.69555600241</v>
      </c>
      <c r="V588" s="114" t="n">
        <v>1256.283020064</v>
      </c>
      <c r="W588" s="110" t="n">
        <v>2024</v>
      </c>
      <c r="X588" s="129" t="n">
        <v>8381860.39</v>
      </c>
      <c r="Y588" s="129" t="n">
        <f aca="false" ca="false" dt2D="false" dtr="false" t="normal">+(K588*12.08+L588*20.47)*12</f>
        <v>2559013.848</v>
      </c>
      <c r="AA588" s="130" t="e">
        <f aca="false" ca="false" dt2D="false" dtr="false" t="normal">+N588-'[8]Приложение № 2'!E504</f>
        <v>#REF!</v>
      </c>
      <c r="AD588" s="130" t="e">
        <f aca="false" ca="false" dt2D="false" dtr="false" t="normal">+N588-'[8]Приложение № 2'!E504</f>
        <v>#REF!</v>
      </c>
      <c r="AP588" s="112" t="n">
        <f aca="false" ca="false" dt2D="false" dtr="false" t="normal">+N588-'Приложение №2'!E588</f>
        <v>0</v>
      </c>
      <c r="AQ588" s="129" t="n">
        <v>13373529.36</v>
      </c>
      <c r="AR588" s="3" t="n">
        <f aca="false" ca="false" dt2D="false" dtr="false" t="normal">+(K588*13.95+L588*23.65)*12*0.85</f>
        <v>2511896.4209999996</v>
      </c>
      <c r="AS588" s="3" t="n">
        <f aca="false" ca="false" dt2D="false" dtr="false" t="normal">+(K588*13.95+L588*23.65)*12*30</f>
        <v>88655167.8</v>
      </c>
      <c r="AT588" s="9" t="n">
        <f aca="false" ca="false" dt2D="false" dtr="false" t="normal">+S588-AS588</f>
        <v>-83540464.63</v>
      </c>
      <c r="AU588" s="9" t="e">
        <f aca="false" ca="false" dt2D="false" dtr="false" t="normal">+P588-'[5]Приложение №1'!$P539</f>
        <v>#REF!</v>
      </c>
      <c r="AV588" s="9" t="e">
        <f aca="false" ca="false" dt2D="false" dtr="false" t="normal">+Q588-'[5]Приложение №1'!$Q539</f>
        <v>#REF!</v>
      </c>
      <c r="AW588" s="186" t="n">
        <f aca="false" ca="true" dt2D="false" dtr="false" t="normal">SUBTOTAL(9, AX588:BL588)</f>
        <v>29897350</v>
      </c>
      <c r="AX588" s="106" t="n"/>
      <c r="AY588" s="106" t="n"/>
      <c r="AZ588" s="106" t="n"/>
      <c r="BA588" s="106" t="n"/>
      <c r="BB588" s="106" t="n"/>
      <c r="BC588" s="106" t="n"/>
      <c r="BD588" s="106" t="n"/>
      <c r="BE588" s="106" t="n">
        <v>28087244.8416</v>
      </c>
      <c r="BF588" s="106" t="n"/>
      <c r="BG588" s="106" t="n"/>
      <c r="BH588" s="106" t="n"/>
      <c r="BI588" s="106" t="n"/>
      <c r="BJ588" s="106" t="n">
        <v>896920.5</v>
      </c>
      <c r="BK588" s="114" t="n">
        <v>298973.5</v>
      </c>
      <c r="BL588" s="115" t="n">
        <v>614211.1584</v>
      </c>
      <c r="BM588" s="186" t="n">
        <f aca="false" ca="true" dt2D="false" dtr="false" t="normal">SUBTOTAL(9, BN588:CB588)</f>
        <v>29897350</v>
      </c>
      <c r="BN588" s="106" t="n"/>
      <c r="BO588" s="106" t="n"/>
      <c r="BP588" s="106" t="n"/>
      <c r="BQ588" s="106" t="n"/>
      <c r="BR588" s="106" t="n"/>
      <c r="BS588" s="106" t="n"/>
      <c r="BT588" s="106" t="n"/>
      <c r="BU588" s="106" t="n">
        <v>28087244.8416</v>
      </c>
      <c r="BV588" s="106" t="n"/>
      <c r="BW588" s="106" t="n"/>
      <c r="BX588" s="106" t="n"/>
      <c r="BY588" s="106" t="n"/>
      <c r="BZ588" s="106" t="n">
        <v>896920.5</v>
      </c>
      <c r="CA588" s="114" t="n">
        <v>298973.5</v>
      </c>
      <c r="CB588" s="115" t="n">
        <v>614211.1584</v>
      </c>
      <c r="CD588" s="116" t="n">
        <f aca="false" ca="false" dt2D="false" dtr="false" t="normal">+CD587+1</f>
        <v>566</v>
      </c>
      <c r="CE588" s="117" t="n">
        <f aca="false" ca="false" dt2D="false" dtr="false" t="normal">+CE587+1</f>
        <v>107</v>
      </c>
      <c r="CF588" s="104" t="s">
        <v>111</v>
      </c>
      <c r="CG588" s="117" t="s">
        <v>598</v>
      </c>
      <c r="CH588" s="108" t="n">
        <f aca="false" ca="true" dt2D="false" dtr="false" t="normal">SUBTOTAL(9, CI588:CW588)</f>
        <v>20768203.43</v>
      </c>
      <c r="CI588" s="106" t="n"/>
      <c r="CJ588" s="114" t="n"/>
      <c r="CK588" s="114" t="n"/>
      <c r="CL588" s="114" t="n"/>
      <c r="CM588" s="114" t="n"/>
      <c r="CN588" s="114" t="n"/>
      <c r="CO588" s="106" t="n"/>
      <c r="CP588" s="243" t="n">
        <v>19572309.43</v>
      </c>
      <c r="CQ588" s="114" t="n"/>
      <c r="CR588" s="114" t="n"/>
      <c r="CS588" s="114" t="n"/>
      <c r="CT588" s="114" t="n"/>
      <c r="CU588" s="114" t="n">
        <v>896920.5</v>
      </c>
      <c r="CV588" s="114" t="n">
        <v>298973.5</v>
      </c>
      <c r="CW588" s="115" t="n"/>
      <c r="CX588" s="3" t="n">
        <f aca="false" ca="false" dt2D="false" dtr="false" t="normal">+N588-CH588</f>
        <v>0</v>
      </c>
      <c r="CZ588" s="117" t="s">
        <v>598</v>
      </c>
      <c r="DA588" s="113" t="n">
        <f aca="false" ca="true" dt2D="false" dtr="false" t="normal">SUBTOTAL(9, DB588:DP588)</f>
        <v>20768203.43</v>
      </c>
      <c r="DB588" s="106" t="n"/>
      <c r="DC588" s="114" t="n"/>
      <c r="DD588" s="114" t="n"/>
      <c r="DE588" s="114" t="n"/>
      <c r="DF588" s="114" t="n"/>
      <c r="DG588" s="114" t="n"/>
      <c r="DH588" s="106" t="n"/>
      <c r="DI588" s="243" t="n">
        <v>19572309.43</v>
      </c>
      <c r="DJ588" s="114" t="n"/>
      <c r="DK588" s="114" t="n"/>
      <c r="DL588" s="114" t="n"/>
      <c r="DM588" s="114" t="n"/>
      <c r="DN588" s="114" t="n">
        <v>896920.5</v>
      </c>
      <c r="DO588" s="114" t="n">
        <v>298973.5</v>
      </c>
      <c r="DP588" s="240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</row>
    <row customFormat="true" hidden="false" ht="15" outlineLevel="0" r="589" s="1">
      <c r="A589" s="183" t="n">
        <f aca="false" ca="false" dt2D="false" dtr="false" t="normal">+A588+1</f>
        <v>567</v>
      </c>
      <c r="B589" s="117" t="n">
        <f aca="false" ca="false" dt2D="false" dtr="false" t="normal">+B588+1</f>
        <v>108</v>
      </c>
      <c r="C589" s="104" t="s">
        <v>111</v>
      </c>
      <c r="D589" s="104" t="s">
        <v>601</v>
      </c>
      <c r="E589" s="105" t="n">
        <v>1985</v>
      </c>
      <c r="F589" s="105" t="n">
        <v>2016</v>
      </c>
      <c r="G589" s="105" t="s">
        <v>68</v>
      </c>
      <c r="H589" s="105" t="n">
        <v>5</v>
      </c>
      <c r="I589" s="105" t="n">
        <v>4</v>
      </c>
      <c r="J589" s="106" t="n">
        <v>3419.8</v>
      </c>
      <c r="K589" s="106" t="n">
        <v>2847.6</v>
      </c>
      <c r="L589" s="106" t="n">
        <v>0</v>
      </c>
      <c r="M589" s="107" t="n">
        <v>127</v>
      </c>
      <c r="N589" s="108" t="n">
        <f aca="false" ca="false" dt2D="false" dtr="false" t="normal">SUM(P589:T589)</f>
        <v>3847595.2199999997</v>
      </c>
      <c r="O589" s="106" t="n"/>
      <c r="P589" s="114" t="n"/>
      <c r="Q589" s="114" t="n"/>
      <c r="R589" s="113" t="n">
        <v>1959442.23</v>
      </c>
      <c r="S589" s="113" t="n">
        <v>1888152.99</v>
      </c>
      <c r="T589" s="114" t="n">
        <v>0</v>
      </c>
      <c r="U589" s="114" t="n">
        <v>1377.71393664841</v>
      </c>
      <c r="V589" s="114" t="n">
        <v>1249.283020064</v>
      </c>
      <c r="W589" s="110" t="n">
        <v>2024</v>
      </c>
      <c r="X589" s="9" t="e">
        <f aca="false" ca="false" dt2D="false" dtr="false" t="normal">+#REF!-'[9]Приложение №1'!$P375</f>
        <v>#REF!</v>
      </c>
      <c r="Z589" s="113" t="n">
        <f aca="false" ca="false" dt2D="false" dtr="false" t="normal">SUM(AA589:AO589)</f>
        <v>3028949.6999999997</v>
      </c>
      <c r="AA589" s="106" t="n">
        <v>0</v>
      </c>
      <c r="AB589" s="106" t="n">
        <v>0</v>
      </c>
      <c r="AC589" s="106" t="n">
        <v>2925994.6940138</v>
      </c>
      <c r="AD589" s="106" t="n">
        <v>0</v>
      </c>
      <c r="AE589" s="106" t="n">
        <v>0</v>
      </c>
      <c r="AF589" s="106" t="n"/>
      <c r="AG589" s="106" t="n">
        <v>0</v>
      </c>
      <c r="AH589" s="106" t="n">
        <v>0</v>
      </c>
      <c r="AI589" s="106" t="n">
        <v>0</v>
      </c>
      <c r="AJ589" s="106" t="n">
        <v>0</v>
      </c>
      <c r="AK589" s="106" t="n">
        <v>0</v>
      </c>
      <c r="AL589" s="106" t="n">
        <v>0</v>
      </c>
      <c r="AM589" s="196" t="n">
        <v>41985.58</v>
      </c>
      <c r="AN589" s="106" t="n">
        <v>3280.05</v>
      </c>
      <c r="AO589" s="115" t="n">
        <v>57689.3759862</v>
      </c>
      <c r="AP589" s="112" t="n">
        <f aca="false" ca="false" dt2D="false" dtr="false" t="normal">+N589-'Приложение №2'!E589</f>
        <v>0</v>
      </c>
      <c r="AQ589" s="121" t="n">
        <v>1654464.27</v>
      </c>
      <c r="AR589" s="3" t="n">
        <f aca="false" ca="false" dt2D="false" dtr="false" t="normal">+(K589*10.5+L589*21)*12*0.85</f>
        <v>304977.95999999996</v>
      </c>
      <c r="AS589" s="3" t="n">
        <f aca="false" ca="false" dt2D="false" dtr="false" t="normal">+(K589*10.5+L589*21)*12*30</f>
        <v>10763928</v>
      </c>
      <c r="AT589" s="9" t="n">
        <f aca="false" ca="false" dt2D="false" dtr="false" t="normal">+S589-AS589</f>
        <v>-8875775.01</v>
      </c>
      <c r="AU589" s="9" t="e">
        <f aca="false" ca="false" dt2D="false" dtr="false" t="normal">+P589-'[5]Приложение №1'!$P532</f>
        <v>#REF!</v>
      </c>
      <c r="AV589" s="9" t="e">
        <f aca="false" ca="false" dt2D="false" dtr="false" t="normal">+Q589-'[5]Приложение №1'!$Q532</f>
        <v>#REF!</v>
      </c>
      <c r="AW589" s="186" t="n">
        <f aca="false" ca="true" dt2D="false" dtr="false" t="normal">SUBTOTAL(9, AX589:BL589)</f>
        <v>3923178.205999996</v>
      </c>
      <c r="AX589" s="106" t="n">
        <v>0</v>
      </c>
      <c r="AY589" s="106" t="n">
        <v>0</v>
      </c>
      <c r="AZ589" s="106" t="n">
        <v>3847595.22469954</v>
      </c>
      <c r="BA589" s="106" t="n">
        <v>0</v>
      </c>
      <c r="BB589" s="106" t="n">
        <v>0</v>
      </c>
      <c r="BC589" s="106" t="n"/>
      <c r="BD589" s="106" t="n"/>
      <c r="BE589" s="106" t="n">
        <v>0</v>
      </c>
      <c r="BF589" s="106" t="n">
        <v>0</v>
      </c>
      <c r="BG589" s="106" t="n">
        <v>0</v>
      </c>
      <c r="BH589" s="106" t="n">
        <v>0</v>
      </c>
      <c r="BI589" s="106" t="n">
        <v>0</v>
      </c>
      <c r="BJ589" s="196" t="n"/>
      <c r="BK589" s="106" t="n"/>
      <c r="BL589" s="115" t="n">
        <v>75582.981300456</v>
      </c>
      <c r="BM589" s="186" t="n">
        <f aca="false" ca="true" dt2D="false" dtr="false" t="normal">SUBTOTAL(9, BN589:CB589)</f>
        <v>3923178.205999996</v>
      </c>
      <c r="BN589" s="106" t="n">
        <v>0</v>
      </c>
      <c r="BO589" s="106" t="n">
        <v>0</v>
      </c>
      <c r="BP589" s="106" t="n">
        <v>3847595.22469954</v>
      </c>
      <c r="BQ589" s="106" t="n">
        <v>0</v>
      </c>
      <c r="BR589" s="106" t="n">
        <v>0</v>
      </c>
      <c r="BS589" s="106" t="n"/>
      <c r="BT589" s="106" t="n"/>
      <c r="BU589" s="106" t="n">
        <v>0</v>
      </c>
      <c r="BV589" s="106" t="n">
        <v>0</v>
      </c>
      <c r="BW589" s="106" t="n">
        <v>0</v>
      </c>
      <c r="BX589" s="106" t="n">
        <v>0</v>
      </c>
      <c r="BY589" s="106" t="n">
        <v>0</v>
      </c>
      <c r="BZ589" s="196" t="n"/>
      <c r="CA589" s="106" t="n"/>
      <c r="CB589" s="115" t="n">
        <v>75582.981300456</v>
      </c>
      <c r="CD589" s="116" t="n">
        <f aca="false" ca="false" dt2D="false" dtr="false" t="normal">+CD588+1</f>
        <v>567</v>
      </c>
      <c r="CE589" s="117" t="n">
        <f aca="false" ca="false" dt2D="false" dtr="false" t="normal">+CE588+1</f>
        <v>108</v>
      </c>
      <c r="CF589" s="104" t="s">
        <v>111</v>
      </c>
      <c r="CG589" s="117" t="s">
        <v>601</v>
      </c>
      <c r="CH589" s="108" t="n">
        <f aca="false" ca="true" dt2D="false" dtr="false" t="normal">SUBTOTAL(9, CI589:CW589)</f>
        <v>3847595.22</v>
      </c>
      <c r="CI589" s="106" t="n">
        <v>0</v>
      </c>
      <c r="CJ589" s="114" t="n">
        <v>0</v>
      </c>
      <c r="CK589" s="114" t="n">
        <v>3847595.22</v>
      </c>
      <c r="CL589" s="114" t="n">
        <v>0</v>
      </c>
      <c r="CM589" s="114" t="n">
        <v>0</v>
      </c>
      <c r="CN589" s="114" t="n"/>
      <c r="CO589" s="106" t="n"/>
      <c r="CP589" s="114" t="n">
        <v>0</v>
      </c>
      <c r="CQ589" s="114" t="n">
        <v>0</v>
      </c>
      <c r="CR589" s="114" t="n">
        <v>0</v>
      </c>
      <c r="CS589" s="114" t="n">
        <v>0</v>
      </c>
      <c r="CT589" s="114" t="n">
        <v>0</v>
      </c>
      <c r="CU589" s="114" t="n"/>
      <c r="CV589" s="114" t="n"/>
      <c r="CW589" s="115" t="n"/>
      <c r="CX589" s="3" t="n">
        <f aca="false" ca="false" dt2D="false" dtr="false" t="normal">+N589-CH589</f>
        <v>0</v>
      </c>
      <c r="CZ589" s="117" t="s">
        <v>601</v>
      </c>
      <c r="DA589" s="113" t="n">
        <f aca="false" ca="true" dt2D="false" dtr="false" t="normal">SUBTOTAL(9, DB589:DP589)</f>
        <v>3847595.22</v>
      </c>
      <c r="DB589" s="106" t="n">
        <v>0</v>
      </c>
      <c r="DC589" s="114" t="n">
        <v>0</v>
      </c>
      <c r="DD589" s="114" t="n">
        <v>3847595.22</v>
      </c>
      <c r="DE589" s="114" t="n">
        <v>0</v>
      </c>
      <c r="DF589" s="114" t="n">
        <v>0</v>
      </c>
      <c r="DG589" s="114" t="n"/>
      <c r="DH589" s="106" t="n"/>
      <c r="DI589" s="114" t="n">
        <v>0</v>
      </c>
      <c r="DJ589" s="114" t="n">
        <v>0</v>
      </c>
      <c r="DK589" s="114" t="n">
        <v>0</v>
      </c>
      <c r="DL589" s="114" t="n">
        <v>0</v>
      </c>
      <c r="DM589" s="114" t="n">
        <v>0</v>
      </c>
      <c r="DN589" s="114" t="n"/>
      <c r="DO589" s="114" t="n"/>
      <c r="DP589" s="240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</row>
    <row customFormat="true" hidden="false" ht="15" outlineLevel="0" r="590" s="1">
      <c r="A590" s="183" t="n">
        <f aca="false" ca="false" dt2D="false" dtr="false" t="normal">+A589+1</f>
        <v>568</v>
      </c>
      <c r="B590" s="117" t="n">
        <f aca="false" ca="false" dt2D="false" dtr="false" t="normal">+B589+1</f>
        <v>109</v>
      </c>
      <c r="C590" s="117" t="s">
        <v>111</v>
      </c>
      <c r="D590" s="117" t="s">
        <v>122</v>
      </c>
      <c r="E590" s="201" t="n">
        <v>1963</v>
      </c>
      <c r="F590" s="201" t="n">
        <v>2013</v>
      </c>
      <c r="G590" s="201" t="s">
        <v>68</v>
      </c>
      <c r="H590" s="201" t="n">
        <v>4</v>
      </c>
      <c r="I590" s="201" t="n">
        <v>4</v>
      </c>
      <c r="J590" s="114" t="n">
        <v>5268.75</v>
      </c>
      <c r="K590" s="114" t="n">
        <v>3170.15</v>
      </c>
      <c r="L590" s="114" t="n">
        <v>2098.6</v>
      </c>
      <c r="M590" s="202" t="n">
        <v>92</v>
      </c>
      <c r="N590" s="108" t="n">
        <f aca="false" ca="false" dt2D="false" dtr="false" t="normal">SUM(P590:T590)</f>
        <v>2674756.81</v>
      </c>
      <c r="O590" s="114" t="n"/>
      <c r="P590" s="114" t="n"/>
      <c r="Q590" s="114" t="n"/>
      <c r="R590" s="114" t="n"/>
      <c r="S590" s="113" t="n">
        <v>2674756.81</v>
      </c>
      <c r="T590" s="114" t="n"/>
      <c r="U590" s="114" t="n">
        <v>1029.16693988251</v>
      </c>
      <c r="V590" s="114" t="n">
        <v>1029.16693988251</v>
      </c>
      <c r="W590" s="110" t="n">
        <v>2024</v>
      </c>
      <c r="X590" s="9" t="e">
        <f aca="false" ca="false" dt2D="false" dtr="false" t="normal">+#REF!-'[9]Приложение №1'!$P1486</f>
        <v>#REF!</v>
      </c>
      <c r="Z590" s="113" t="n">
        <f aca="false" ca="false" dt2D="false" dtr="false" t="normal">SUM(AA590:AO590)</f>
        <v>55905524.456026606</v>
      </c>
      <c r="AA590" s="106" t="n">
        <v>8910375.13096359</v>
      </c>
      <c r="AB590" s="106" t="n">
        <v>3183729.76501603</v>
      </c>
      <c r="AC590" s="106" t="n">
        <v>3374754.23819906</v>
      </c>
      <c r="AD590" s="106" t="n">
        <v>2149419.79800305</v>
      </c>
      <c r="AE590" s="106" t="n">
        <v>1581654.12762</v>
      </c>
      <c r="AF590" s="106" t="n"/>
      <c r="AG590" s="106" t="n">
        <v>320562.321282</v>
      </c>
      <c r="AH590" s="106" t="n">
        <v>0</v>
      </c>
      <c r="AI590" s="106" t="n">
        <v>16307858.9365629</v>
      </c>
      <c r="AJ590" s="106" t="n">
        <v>0</v>
      </c>
      <c r="AK590" s="106" t="n">
        <v>8424086.4921022</v>
      </c>
      <c r="AL590" s="106" t="n">
        <v>9161049.13177177</v>
      </c>
      <c r="AM590" s="106" t="n">
        <v>1263665.59</v>
      </c>
      <c r="AN590" s="106" t="n">
        <v>60324.08</v>
      </c>
      <c r="AO590" s="115" t="n">
        <v>1168044.844506</v>
      </c>
      <c r="AP590" s="112" t="n">
        <f aca="false" ca="false" dt2D="false" dtr="false" t="normal">+N590-'Приложение №2'!E586</f>
        <v>-6705096.75</v>
      </c>
      <c r="AQ590" s="9" t="n">
        <f aca="false" ca="false" dt2D="false" dtr="false" t="normal">3051973.41-R309</f>
        <v>2297043.62</v>
      </c>
      <c r="AR590" s="3" t="n">
        <f aca="false" ca="false" dt2D="false" dtr="false" t="normal">+(K590*10+L590*20)*12*0.85</f>
        <v>751469.7</v>
      </c>
      <c r="AS590" s="3" t="n">
        <f aca="false" ca="false" dt2D="false" dtr="false" t="normal">+(K590*10+L590*20)*12*30-S309</f>
        <v>26490534.38</v>
      </c>
      <c r="AT590" s="9" t="n">
        <f aca="false" ca="false" dt2D="false" dtr="false" t="normal">+S590-AS590</f>
        <v>-23815777.57</v>
      </c>
      <c r="AU590" s="9" t="e">
        <f aca="false" ca="false" dt2D="false" dtr="false" t="normal">+P590-'[5]Приложение №1'!$P546</f>
        <v>#REF!</v>
      </c>
      <c r="AV590" s="9" t="e">
        <f aca="false" ca="false" dt2D="false" dtr="false" t="normal">+Q590-'[5]Приложение №1'!$Q546</f>
        <v>#REF!</v>
      </c>
      <c r="AW590" s="113" t="n">
        <f aca="false" ca="true" dt2D="false" dtr="false" t="normal">SUBTOTAL(9, AX590:BL590)</f>
        <v>5422423.314506001</v>
      </c>
      <c r="AX590" s="106" t="n"/>
      <c r="AY590" s="106" t="n">
        <v>2634178.68</v>
      </c>
      <c r="AZ590" s="106" t="n">
        <v>1620199.79</v>
      </c>
      <c r="BB590" s="106" t="n"/>
      <c r="BC590" s="106" t="n"/>
      <c r="BD590" s="106" t="n"/>
      <c r="BE590" s="106" t="n">
        <v>0</v>
      </c>
      <c r="BF590" s="106" t="n"/>
      <c r="BG590" s="106" t="n"/>
      <c r="BH590" s="106" t="n"/>
      <c r="BI590" s="106" t="n"/>
      <c r="BJ590" s="106" t="n"/>
      <c r="BK590" s="106" t="n"/>
      <c r="BL590" s="187" t="n">
        <v>1168044.844506</v>
      </c>
      <c r="BM590" s="113" t="n">
        <f aca="false" ca="true" dt2D="false" dtr="false" t="normal">SUBTOTAL(9, BN590:CB590)</f>
        <v>5422423.314506001</v>
      </c>
      <c r="BN590" s="106" t="n"/>
      <c r="BO590" s="106" t="n">
        <v>2634178.68</v>
      </c>
      <c r="BP590" s="106" t="n">
        <v>1620199.79</v>
      </c>
      <c r="BR590" s="106" t="n"/>
      <c r="BS590" s="106" t="n"/>
      <c r="BT590" s="106" t="n"/>
      <c r="BU590" s="106" t="n">
        <v>0</v>
      </c>
      <c r="BV590" s="106" t="n"/>
      <c r="BW590" s="106" t="n"/>
      <c r="BX590" s="106" t="n"/>
      <c r="BY590" s="106" t="n"/>
      <c r="BZ590" s="106" t="n"/>
      <c r="CA590" s="106" t="n"/>
      <c r="CB590" s="115" t="n">
        <v>1168044.844506</v>
      </c>
      <c r="CD590" s="116" t="e">
        <f aca="false" ca="false" dt2D="false" dtr="false" t="normal">+#REF!+1</f>
        <v>#REF!</v>
      </c>
      <c r="CE590" s="117" t="e">
        <f aca="false" ca="false" dt2D="false" dtr="false" t="normal">+#REF!+1</f>
        <v>#REF!</v>
      </c>
      <c r="CF590" s="104" t="s">
        <v>111</v>
      </c>
      <c r="CG590" s="117" t="s">
        <v>122</v>
      </c>
      <c r="CH590" s="108" t="n">
        <f aca="false" ca="true" dt2D="false" dtr="false" t="normal">SUBTOTAL(9, CI590:CW590)</f>
        <v>3802223.5200000005</v>
      </c>
      <c r="CI590" s="106" t="n"/>
      <c r="CJ590" s="114" t="n">
        <v>2634178.68</v>
      </c>
      <c r="CK590" s="114" t="n"/>
      <c r="CL590" s="114" t="n"/>
      <c r="CM590" s="114" t="n"/>
      <c r="CN590" s="114" t="n"/>
      <c r="CO590" s="106" t="n"/>
      <c r="CP590" s="114" t="n">
        <v>0</v>
      </c>
      <c r="CQ590" s="114" t="n"/>
      <c r="CR590" s="114" t="n"/>
      <c r="CS590" s="114" t="n"/>
      <c r="CT590" s="114" t="n"/>
      <c r="CU590" s="114" t="n"/>
      <c r="CV590" s="114" t="n"/>
      <c r="CW590" s="115" t="n">
        <v>1168044.84</v>
      </c>
      <c r="CX590" s="3" t="n">
        <f aca="false" ca="false" dt2D="false" dtr="false" t="normal">+N590-CH590</f>
        <v>-1127466.7100000004</v>
      </c>
      <c r="CZ590" s="117" t="s">
        <v>122</v>
      </c>
      <c r="DA590" s="113" t="n">
        <f aca="false" ca="true" dt2D="false" dtr="false" t="normal">SUBTOTAL(9, DB590:DP590)</f>
        <v>2674756.8095</v>
      </c>
      <c r="DB590" s="106" t="n"/>
      <c r="DC590" s="114" t="n">
        <v>2634178.68</v>
      </c>
      <c r="DD590" s="114" t="n"/>
      <c r="DE590" s="114" t="n"/>
      <c r="DF590" s="114" t="n"/>
      <c r="DG590" s="114" t="n"/>
      <c r="DH590" s="106" t="n"/>
      <c r="DI590" s="114" t="n">
        <v>0</v>
      </c>
      <c r="DJ590" s="114" t="n"/>
      <c r="DK590" s="114" t="n"/>
      <c r="DL590" s="114" t="n"/>
      <c r="DM590" s="114" t="n"/>
      <c r="DN590" s="114" t="n"/>
      <c r="DO590" s="114" t="n"/>
      <c r="DP590" s="115" t="n">
        <f aca="false" ca="false" dt2D="false" dtr="false" t="normal">35285.33*1.15</f>
        <v>40578.129499999995</v>
      </c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</row>
    <row customFormat="true" hidden="false" ht="15" outlineLevel="0" r="591" s="1">
      <c r="A591" s="183" t="n">
        <f aca="false" ca="false" dt2D="false" dtr="false" t="normal">+A590+1</f>
        <v>569</v>
      </c>
      <c r="B591" s="117" t="n">
        <f aca="false" ca="false" dt2D="false" dtr="false" t="normal">+B590+1</f>
        <v>110</v>
      </c>
      <c r="C591" s="104" t="s">
        <v>111</v>
      </c>
      <c r="D591" s="104" t="s">
        <v>333</v>
      </c>
      <c r="E591" s="105" t="n">
        <v>1964</v>
      </c>
      <c r="F591" s="105" t="n">
        <v>2013</v>
      </c>
      <c r="G591" s="105" t="s">
        <v>68</v>
      </c>
      <c r="H591" s="105" t="n">
        <v>5</v>
      </c>
      <c r="I591" s="105" t="n">
        <v>7</v>
      </c>
      <c r="J591" s="106" t="n">
        <v>6384.4</v>
      </c>
      <c r="K591" s="106" t="n">
        <v>5253.8</v>
      </c>
      <c r="L591" s="106" t="n">
        <v>1130.6</v>
      </c>
      <c r="M591" s="107" t="n">
        <v>210</v>
      </c>
      <c r="N591" s="108" t="n">
        <f aca="false" ca="false" dt2D="false" dtr="false" t="normal">SUM(P591:T591)</f>
        <v>3541134.84</v>
      </c>
      <c r="O591" s="106" t="n"/>
      <c r="P591" s="114" t="n"/>
      <c r="Q591" s="114" t="n"/>
      <c r="R591" s="113" t="n">
        <v>917348.76</v>
      </c>
      <c r="S591" s="113" t="n">
        <v>2623786.08</v>
      </c>
      <c r="T591" s="114" t="n"/>
      <c r="U591" s="114" t="n">
        <v>4853.31840936987</v>
      </c>
      <c r="V591" s="114" t="n">
        <v>1258.283020064</v>
      </c>
      <c r="W591" s="110" t="n">
        <v>2024</v>
      </c>
      <c r="X591" s="9" t="e">
        <f aca="false" ca="false" dt2D="false" dtr="false" t="normal">+#REF!-'[9]Приложение №1'!$P1436</f>
        <v>#REF!</v>
      </c>
      <c r="Z591" s="113" t="n">
        <f aca="false" ca="false" dt2D="false" dtr="false" t="normal">SUM(AA591:AO591)</f>
        <v>31039639.368981637</v>
      </c>
      <c r="AA591" s="106" t="n">
        <v>13616559.511674</v>
      </c>
      <c r="AB591" s="106" t="n">
        <v>4892953.08851434</v>
      </c>
      <c r="AC591" s="106" t="n">
        <v>5159278.85636512</v>
      </c>
      <c r="AD591" s="106" t="n">
        <v>3303637.31360418</v>
      </c>
      <c r="AE591" s="106" t="n">
        <v>2454070.459386</v>
      </c>
      <c r="AF591" s="106" t="n"/>
      <c r="AG591" s="106" t="n">
        <v>488558.85729</v>
      </c>
      <c r="AH591" s="106" t="n">
        <v>0</v>
      </c>
      <c r="AI591" s="106" t="n">
        <v>0</v>
      </c>
      <c r="AJ591" s="106" t="n">
        <v>0</v>
      </c>
      <c r="AK591" s="106" t="n">
        <v>0</v>
      </c>
      <c r="AL591" s="106" t="n">
        <v>0</v>
      </c>
      <c r="AM591" s="106" t="n">
        <v>425297.73</v>
      </c>
      <c r="AN591" s="106" t="n">
        <v>45101.82</v>
      </c>
      <c r="AO591" s="115" t="n">
        <v>654181.732148</v>
      </c>
      <c r="AP591" s="112" t="n">
        <f aca="false" ca="false" dt2D="false" dtr="false" t="normal">+N591-'Приложение №2'!E591</f>
        <v>0</v>
      </c>
      <c r="AQ591" s="121" t="n">
        <v>4163182.7</v>
      </c>
      <c r="AR591" s="3" t="n">
        <f aca="false" ca="false" dt2D="false" dtr="false" t="normal">+(K591*10.5+L591*21)*12*0.85</f>
        <v>804856.5</v>
      </c>
      <c r="AS591" s="3" t="n">
        <f aca="false" ca="false" dt2D="false" dtr="false" t="normal">+(K591*10.5+L591*21)*12*30</f>
        <v>28406700</v>
      </c>
      <c r="AT591" s="9" t="n">
        <f aca="false" ca="false" dt2D="false" dtr="false" t="normal">+S591-AS591</f>
        <v>-25782913.92</v>
      </c>
      <c r="AU591" s="9" t="e">
        <f aca="false" ca="false" dt2D="false" dtr="false" t="normal">+P591-'[5]Приложение №1'!$P572</f>
        <v>#REF!</v>
      </c>
      <c r="AV591" s="9" t="e">
        <f aca="false" ca="false" dt2D="false" dtr="false" t="normal">+Q591-'[5]Приложение №1'!$Q572</f>
        <v>#REF!</v>
      </c>
      <c r="AW591" s="186" t="n">
        <f aca="false" ca="true" dt2D="false" dtr="false" t="normal">SUBTOTAL(9, AX591:BL591)</f>
        <v>25498364.25914744</v>
      </c>
      <c r="AX591" s="106" t="n"/>
      <c r="AY591" s="106" t="n">
        <v>4892953.08851434</v>
      </c>
      <c r="AZ591" s="106" t="n">
        <v>5159278.85636512</v>
      </c>
      <c r="BA591" s="106" t="n">
        <v>3303637.31360418</v>
      </c>
      <c r="BB591" s="106" t="n"/>
      <c r="BC591" s="106" t="n"/>
      <c r="BD591" s="106" t="n"/>
      <c r="BE591" s="106" t="n">
        <v>0</v>
      </c>
      <c r="BF591" s="106" t="n">
        <v>11343089.62</v>
      </c>
      <c r="BG591" s="106" t="n">
        <v>0</v>
      </c>
      <c r="BH591" s="106" t="n">
        <v>0</v>
      </c>
      <c r="BI591" s="106" t="n">
        <v>0</v>
      </c>
      <c r="BJ591" s="106" t="n">
        <v>596430.7065</v>
      </c>
      <c r="BK591" s="106" t="n">
        <v>24992.4265</v>
      </c>
      <c r="BL591" s="187" t="n">
        <v>177982.2476638</v>
      </c>
      <c r="BM591" s="186" t="n">
        <f aca="false" ca="true" dt2D="false" dtr="false" t="normal">SUBTOTAL(9, BN591:CB591)</f>
        <v>25498364.25914744</v>
      </c>
      <c r="BN591" s="106" t="n"/>
      <c r="BO591" s="106" t="n">
        <v>4892953.08851434</v>
      </c>
      <c r="BP591" s="106" t="n">
        <v>5159278.85636512</v>
      </c>
      <c r="BQ591" s="106" t="n">
        <v>3303637.31360418</v>
      </c>
      <c r="BR591" s="106" t="n"/>
      <c r="BS591" s="106" t="n"/>
      <c r="BT591" s="106" t="n"/>
      <c r="BU591" s="106" t="n">
        <v>0</v>
      </c>
      <c r="BV591" s="106" t="n">
        <v>11343089.62</v>
      </c>
      <c r="BW591" s="106" t="n">
        <v>0</v>
      </c>
      <c r="BX591" s="106" t="n">
        <v>0</v>
      </c>
      <c r="BY591" s="106" t="n">
        <v>0</v>
      </c>
      <c r="BZ591" s="106" t="n">
        <v>596430.7065</v>
      </c>
      <c r="CA591" s="106" t="n">
        <v>24992.4265</v>
      </c>
      <c r="CB591" s="115" t="n">
        <v>177982.2476638</v>
      </c>
      <c r="CD591" s="116" t="e">
        <f aca="false" ca="false" dt2D="false" dtr="false" t="normal">+CD590+1</f>
        <v>#REF!</v>
      </c>
      <c r="CE591" s="117" t="e">
        <f aca="false" ca="false" dt2D="false" dtr="false" t="normal">+CE590+1</f>
        <v>#REF!</v>
      </c>
      <c r="CF591" s="104" t="s">
        <v>111</v>
      </c>
      <c r="CG591" s="117" t="s">
        <v>333</v>
      </c>
      <c r="CH591" s="108" t="n">
        <f aca="false" ca="true" dt2D="false" dtr="false" t="normal">SUBTOTAL(9, CI591:CW591)</f>
        <v>3659364.26</v>
      </c>
      <c r="CI591" s="106" t="n"/>
      <c r="CJ591" s="243" t="n">
        <v>2056177.15</v>
      </c>
      <c r="CK591" s="114" t="n"/>
      <c r="CL591" s="243" t="n">
        <v>1425204.86</v>
      </c>
      <c r="CM591" s="114" t="n"/>
      <c r="CN591" s="114" t="n"/>
      <c r="CO591" s="106" t="n"/>
      <c r="CP591" s="114" t="n">
        <v>0</v>
      </c>
      <c r="CQ591" s="114" t="n"/>
      <c r="CR591" s="114" t="n">
        <v>0</v>
      </c>
      <c r="CS591" s="114" t="n">
        <v>0</v>
      </c>
      <c r="CT591" s="114" t="n">
        <v>0</v>
      </c>
      <c r="CU591" s="114" t="n"/>
      <c r="CV591" s="114" t="n"/>
      <c r="CW591" s="115" t="n">
        <v>177982.25</v>
      </c>
      <c r="CX591" s="3" t="n">
        <f aca="false" ca="false" dt2D="false" dtr="false" t="normal">+N591-CH591</f>
        <v>-118229.41999999993</v>
      </c>
      <c r="CZ591" s="117" t="s">
        <v>333</v>
      </c>
      <c r="DA591" s="113" t="n">
        <f aca="false" ca="true" dt2D="false" dtr="false" t="normal">SUBTOTAL(9, DB591:DP591)</f>
        <v>3541134.837</v>
      </c>
      <c r="DB591" s="106" t="n"/>
      <c r="DC591" s="243" t="n">
        <v>2056177.15</v>
      </c>
      <c r="DD591" s="114" t="n"/>
      <c r="DE591" s="243" t="n">
        <v>1425204.86</v>
      </c>
      <c r="DF591" s="114" t="n"/>
      <c r="DG591" s="114" t="n"/>
      <c r="DH591" s="106" t="n"/>
      <c r="DI591" s="114" t="n">
        <v>0</v>
      </c>
      <c r="DJ591" s="114" t="n"/>
      <c r="DK591" s="114" t="n">
        <v>0</v>
      </c>
      <c r="DL591" s="114" t="n">
        <v>0</v>
      </c>
      <c r="DM591" s="114" t="n">
        <v>0</v>
      </c>
      <c r="DN591" s="241" t="n"/>
      <c r="DO591" s="241" t="n"/>
      <c r="DP591" s="115" t="n">
        <f aca="false" ca="false" dt2D="false" dtr="false" t="normal">(34764.88+17194.1)*1.15</f>
        <v>59752.82699999999</v>
      </c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</row>
    <row customFormat="true" hidden="false" ht="15" outlineLevel="0" r="592" s="1">
      <c r="A592" s="183" t="n">
        <f aca="false" ca="false" dt2D="false" dtr="false" t="normal">+A591+1</f>
        <v>570</v>
      </c>
      <c r="B592" s="117" t="n">
        <f aca="false" ca="false" dt2D="false" dtr="false" t="normal">+B591+1</f>
        <v>111</v>
      </c>
      <c r="C592" s="117" t="s">
        <v>111</v>
      </c>
      <c r="D592" s="117" t="s">
        <v>129</v>
      </c>
      <c r="E592" s="105" t="n">
        <v>1968</v>
      </c>
      <c r="F592" s="105" t="n">
        <v>2013</v>
      </c>
      <c r="G592" s="105" t="s">
        <v>68</v>
      </c>
      <c r="H592" s="105" t="n">
        <v>5</v>
      </c>
      <c r="I592" s="105" t="n">
        <v>4</v>
      </c>
      <c r="J592" s="106" t="n">
        <v>3228.9</v>
      </c>
      <c r="K592" s="106" t="n">
        <v>2518.9</v>
      </c>
      <c r="L592" s="106" t="n">
        <v>710</v>
      </c>
      <c r="M592" s="107" t="n">
        <v>136</v>
      </c>
      <c r="N592" s="108" t="n">
        <f aca="false" ca="false" dt2D="false" dtr="false" t="normal">SUM(P592:T592)</f>
        <v>6158755.220000001</v>
      </c>
      <c r="O592" s="114" t="n"/>
      <c r="P592" s="114" t="n"/>
      <c r="Q592" s="114" t="n"/>
      <c r="R592" s="113" t="n">
        <v>466115.87</v>
      </c>
      <c r="S592" s="113" t="n">
        <v>1526528.96</v>
      </c>
      <c r="T592" s="113" t="n">
        <v>4166110.39</v>
      </c>
      <c r="U592" s="114" t="n">
        <v>9513.91060894277</v>
      </c>
      <c r="V592" s="114" t="n">
        <v>1259.283020064</v>
      </c>
      <c r="W592" s="110" t="n">
        <v>2024</v>
      </c>
      <c r="X592" s="9" t="e">
        <f aca="false" ca="false" dt2D="false" dtr="false" t="normal">+#REF!-'[9]Приложение №1'!$P1875</f>
        <v>#REF!</v>
      </c>
      <c r="Z592" s="113" t="n">
        <f aca="false" ca="false" dt2D="false" dtr="false" t="normal">SUM(AA592:AO592)</f>
        <v>27107198.400000002</v>
      </c>
      <c r="AA592" s="106" t="n">
        <v>5940143.10638658</v>
      </c>
      <c r="AB592" s="106" t="n">
        <v>2116717.19237958</v>
      </c>
      <c r="AC592" s="106" t="n">
        <v>2211498.4827243</v>
      </c>
      <c r="AD592" s="106" t="n">
        <v>1384537.88247348</v>
      </c>
      <c r="AE592" s="106" t="n">
        <v>847110.81731472</v>
      </c>
      <c r="AF592" s="106" t="n"/>
      <c r="AG592" s="106" t="n">
        <v>227939.55009504</v>
      </c>
      <c r="AH592" s="106" t="n">
        <v>0</v>
      </c>
      <c r="AI592" s="106" t="n">
        <v>10859485.4122104</v>
      </c>
      <c r="AJ592" s="106" t="n">
        <v>0</v>
      </c>
      <c r="AK592" s="106" t="n">
        <v>0</v>
      </c>
      <c r="AL592" s="106" t="n">
        <v>0</v>
      </c>
      <c r="AM592" s="106" t="n">
        <v>2732884.5975</v>
      </c>
      <c r="AN592" s="114" t="n">
        <v>271071.984</v>
      </c>
      <c r="AO592" s="115" t="n">
        <v>515809.3749159</v>
      </c>
      <c r="AP592" s="112" t="n">
        <f aca="false" ca="false" dt2D="false" dtr="false" t="normal">+N592-'Приложение №2'!E587</f>
        <v>-12222495.349999996</v>
      </c>
      <c r="AQ592" s="9" t="n">
        <f aca="false" ca="false" dt2D="false" dtr="false" t="normal">2448991.46-R317</f>
        <v>2205991.81</v>
      </c>
      <c r="AR592" s="3" t="n">
        <f aca="false" ca="false" dt2D="false" dtr="false" t="normal">+(K592*10.5+L592*21)*12*0.85</f>
        <v>421856.18999999994</v>
      </c>
      <c r="AS592" s="3" t="n">
        <f aca="false" ca="false" dt2D="false" dtr="false" t="normal">+(K592*10.5+L592*21)*12*30</f>
        <v>14889041.999999998</v>
      </c>
      <c r="AT592" s="9" t="n">
        <f aca="false" ca="false" dt2D="false" dtr="false" t="normal">+S592-AS592</f>
        <v>-13362513.04</v>
      </c>
      <c r="AU592" s="9" t="e">
        <f aca="false" ca="false" dt2D="false" dtr="false" t="normal">+P592-'[5]Приложение №1'!$P826</f>
        <v>#REF!</v>
      </c>
      <c r="AV592" s="9" t="e">
        <f aca="false" ca="false" dt2D="false" dtr="false" t="normal">+Q592-'[5]Приложение №1'!$Q826</f>
        <v>#REF!</v>
      </c>
      <c r="AW592" s="186" t="n">
        <f aca="false" ca="true" dt2D="false" dtr="false" t="normal">SUBTOTAL(9, AX592:BL592)</f>
        <v>23964589.43286594</v>
      </c>
      <c r="AX592" s="106" t="n">
        <v>6033410.33</v>
      </c>
      <c r="AY592" s="106" t="n">
        <v>2116717.19237958</v>
      </c>
      <c r="AZ592" s="106" t="n">
        <v>2211498.4827243</v>
      </c>
      <c r="BA592" s="106" t="n">
        <v>2020165.83</v>
      </c>
      <c r="BB592" s="106" t="n"/>
      <c r="BC592" s="106" t="n"/>
      <c r="BD592" s="106" t="n">
        <v>227939.55009504</v>
      </c>
      <c r="BE592" s="106" t="n">
        <v>0</v>
      </c>
      <c r="BF592" s="106" t="n">
        <v>10859485.4122104</v>
      </c>
      <c r="BG592" s="106" t="n">
        <v>0</v>
      </c>
      <c r="BH592" s="106" t="n">
        <v>0</v>
      </c>
      <c r="BI592" s="106" t="n">
        <v>0</v>
      </c>
      <c r="BJ592" s="106" t="n"/>
      <c r="BK592" s="114" t="n"/>
      <c r="BL592" s="187" t="n">
        <v>495372.63545662</v>
      </c>
      <c r="BM592" s="186" t="n">
        <f aca="false" ca="true" dt2D="false" dtr="false" t="normal">SUBTOTAL(9, BN592:CB592)</f>
        <v>22460885.300655544</v>
      </c>
      <c r="BN592" s="106" t="n">
        <v>6033410.33</v>
      </c>
      <c r="BO592" s="106" t="n">
        <v>2116717.19237958</v>
      </c>
      <c r="BP592" s="106" t="n">
        <v>2211498.4827243</v>
      </c>
      <c r="BQ592" s="106" t="n">
        <v>2020165.83</v>
      </c>
      <c r="BR592" s="106" t="n"/>
      <c r="BS592" s="106" t="n"/>
      <c r="BT592" s="106" t="n">
        <v>227939.55009504</v>
      </c>
      <c r="BU592" s="106" t="n">
        <v>0</v>
      </c>
      <c r="BV592" s="192" t="n">
        <v>9355781.28</v>
      </c>
      <c r="BW592" s="106" t="n">
        <v>0</v>
      </c>
      <c r="BX592" s="106" t="n">
        <v>0</v>
      </c>
      <c r="BY592" s="106" t="n">
        <v>0</v>
      </c>
      <c r="BZ592" s="106" t="n"/>
      <c r="CA592" s="114" t="n"/>
      <c r="CB592" s="115" t="n">
        <v>495372.63545662</v>
      </c>
      <c r="CD592" s="116" t="e">
        <f aca="false" ca="false" dt2D="false" dtr="false" t="normal">+#REF!+1</f>
        <v>#REF!</v>
      </c>
      <c r="CE592" s="117" t="e">
        <f aca="false" ca="false" dt2D="false" dtr="false" t="normal">+#REF!+1</f>
        <v>#REF!</v>
      </c>
      <c r="CF592" s="104" t="s">
        <v>111</v>
      </c>
      <c r="CG592" s="117" t="s">
        <v>129</v>
      </c>
      <c r="CH592" s="108" t="n">
        <f aca="false" ca="true" dt2D="false" dtr="false" t="normal">SUBTOTAL(9, CI592:CW592)</f>
        <v>6654127.859999999</v>
      </c>
      <c r="CI592" s="106" t="n"/>
      <c r="CJ592" s="243" t="n">
        <v>1927090.91</v>
      </c>
      <c r="CK592" s="114" t="n">
        <v>2211498.48</v>
      </c>
      <c r="CL592" s="114" t="n">
        <v>2020165.83</v>
      </c>
      <c r="CM592" s="114" t="n"/>
      <c r="CN592" s="114" t="n"/>
      <c r="CO592" s="106" t="n"/>
      <c r="CP592" s="114" t="n">
        <v>0</v>
      </c>
      <c r="CQ592" s="114" t="n"/>
      <c r="CR592" s="114" t="n">
        <v>0</v>
      </c>
      <c r="CS592" s="114" t="n">
        <v>0</v>
      </c>
      <c r="CT592" s="114" t="n">
        <v>0</v>
      </c>
      <c r="CU592" s="114" t="n"/>
      <c r="CV592" s="114" t="n"/>
      <c r="CW592" s="115" t="n">
        <v>495372.64</v>
      </c>
      <c r="CX592" s="3" t="n">
        <f aca="false" ca="false" dt2D="false" dtr="false" t="normal">+N592-CH592</f>
        <v>-495372.63999999873</v>
      </c>
      <c r="CZ592" s="117" t="s">
        <v>129</v>
      </c>
      <c r="DA592" s="113" t="n">
        <f aca="false" ca="true" dt2D="false" dtr="false" t="normal">SUBTOTAL(9, DB592:DP592)</f>
        <v>6158755.22</v>
      </c>
      <c r="DB592" s="106" t="n"/>
      <c r="DC592" s="243" t="n">
        <v>1927090.91</v>
      </c>
      <c r="DD592" s="114" t="n">
        <v>2211498.48</v>
      </c>
      <c r="DE592" s="114" t="n">
        <v>2020165.83</v>
      </c>
      <c r="DF592" s="114" t="n"/>
      <c r="DG592" s="114" t="n"/>
      <c r="DH592" s="106" t="n"/>
      <c r="DI592" s="114" t="n">
        <v>0</v>
      </c>
      <c r="DJ592" s="114" t="n"/>
      <c r="DK592" s="114" t="n">
        <v>0</v>
      </c>
      <c r="DL592" s="114" t="n">
        <v>0</v>
      </c>
      <c r="DM592" s="114" t="n">
        <v>0</v>
      </c>
      <c r="DN592" s="114" t="n"/>
      <c r="DO592" s="114" t="n"/>
      <c r="DP592" s="240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</row>
    <row customFormat="true" hidden="false" ht="15" outlineLevel="0" r="593" s="1">
      <c r="A593" s="183" t="n">
        <f aca="false" ca="false" dt2D="false" dtr="false" t="normal">+A592+1</f>
        <v>571</v>
      </c>
      <c r="B593" s="117" t="n">
        <f aca="false" ca="false" dt2D="false" dtr="false" t="normal">+B592+1</f>
        <v>112</v>
      </c>
      <c r="C593" s="104" t="s">
        <v>111</v>
      </c>
      <c r="D593" s="104" t="s">
        <v>130</v>
      </c>
      <c r="E593" s="105" t="n">
        <v>1965</v>
      </c>
      <c r="F593" s="105" t="n">
        <v>2005</v>
      </c>
      <c r="G593" s="105" t="s">
        <v>68</v>
      </c>
      <c r="H593" s="105" t="n">
        <v>4</v>
      </c>
      <c r="I593" s="105" t="n">
        <v>2</v>
      </c>
      <c r="J593" s="106" t="n">
        <v>1948.5</v>
      </c>
      <c r="K593" s="106" t="n">
        <v>1410</v>
      </c>
      <c r="L593" s="106" t="n">
        <v>537.7</v>
      </c>
      <c r="M593" s="107" t="n">
        <v>38</v>
      </c>
      <c r="N593" s="108" t="n">
        <f aca="false" ca="false" dt2D="false" dtr="false" t="normal">SUM(P593:T593)</f>
        <v>631577.05</v>
      </c>
      <c r="O593" s="106" t="n"/>
      <c r="P593" s="113" t="n">
        <v>0</v>
      </c>
      <c r="Q593" s="114" t="n"/>
      <c r="R593" s="113" t="n"/>
      <c r="S593" s="113" t="n">
        <v>631577.05</v>
      </c>
      <c r="T593" s="114" t="n"/>
      <c r="U593" s="106" t="n">
        <v>2681.89070539878</v>
      </c>
      <c r="V593" s="106" t="n">
        <v>2681.89070539878</v>
      </c>
      <c r="W593" s="110" t="n">
        <v>2024</v>
      </c>
      <c r="X593" s="9" t="e">
        <f aca="false" ca="false" dt2D="false" dtr="false" t="normal">+#REF!-'[9]Приложение №1'!$P1905</f>
        <v>#REF!</v>
      </c>
      <c r="Z593" s="113" t="n">
        <f aca="false" ca="false" dt2D="false" dtr="false" t="normal">SUM(AA593:AO593)</f>
        <v>10380935.740000002</v>
      </c>
      <c r="AA593" s="106" t="n">
        <v>4172919.55032498</v>
      </c>
      <c r="AB593" s="106" t="n">
        <v>1486982.78641038</v>
      </c>
      <c r="AC593" s="106" t="n">
        <v>1553566.1571465</v>
      </c>
      <c r="AD593" s="106" t="n">
        <v>972630.63727284</v>
      </c>
      <c r="AE593" s="106" t="n">
        <v>595090.92894678</v>
      </c>
      <c r="AF593" s="106" t="n"/>
      <c r="AG593" s="106" t="n">
        <v>160126.34455524</v>
      </c>
      <c r="AH593" s="106" t="n">
        <v>0</v>
      </c>
      <c r="AI593" s="106" t="n">
        <v>0</v>
      </c>
      <c r="AJ593" s="106" t="n">
        <v>0</v>
      </c>
      <c r="AK593" s="106" t="n">
        <v>0</v>
      </c>
      <c r="AL593" s="106" t="n">
        <v>0</v>
      </c>
      <c r="AM593" s="106" t="n">
        <v>1140281.4974</v>
      </c>
      <c r="AN593" s="114" t="n">
        <v>103809.3574</v>
      </c>
      <c r="AO593" s="115" t="n">
        <v>195528.48054328</v>
      </c>
      <c r="AP593" s="112" t="n">
        <f aca="false" ca="false" dt2D="false" dtr="false" t="normal">+N593-'Приложение №2'!E593</f>
        <v>0</v>
      </c>
      <c r="AQ593" s="9" t="n">
        <f aca="false" ca="false" dt2D="false" dtr="false" t="normal">945052.78-R406</f>
        <v>945052.78</v>
      </c>
      <c r="AR593" s="3" t="n">
        <f aca="false" ca="false" dt2D="false" dtr="false" t="normal">+(K593*10+L593*20)*12*0.85</f>
        <v>253510.8</v>
      </c>
      <c r="AS593" s="3" t="n">
        <f aca="false" ca="false" dt2D="false" dtr="false" t="normal">+(K593*10+L593*20)*12*30-S406</f>
        <v>8115932.22</v>
      </c>
      <c r="AT593" s="9" t="n">
        <f aca="false" ca="false" dt2D="false" dtr="false" t="normal">+S593-AS593</f>
        <v>-7484355.17</v>
      </c>
      <c r="AU593" s="9" t="e">
        <f aca="false" ca="false" dt2D="false" dtr="false" t="normal">+P593-'[5]Приложение №1'!$P644</f>
        <v>#REF!</v>
      </c>
      <c r="AV593" s="9" t="e">
        <f aca="false" ca="false" dt2D="false" dtr="false" t="normal">+Q593-'[5]Приложение №1'!$Q644</f>
        <v>#REF!</v>
      </c>
      <c r="AW593" s="113" t="n">
        <f aca="false" ca="true" dt2D="false" dtr="false" t="normal">SUBTOTAL(9, AX593:BL593)</f>
        <v>5223518.526905213</v>
      </c>
      <c r="AX593" s="106" t="n"/>
      <c r="AY593" s="106" t="n">
        <v>2457065.2679874</v>
      </c>
      <c r="AZ593" s="106" t="n"/>
      <c r="BA593" s="106" t="n">
        <v>2053849.931742</v>
      </c>
      <c r="BB593" s="106" t="n">
        <v>631577.05</v>
      </c>
      <c r="BC593" s="106" t="n"/>
      <c r="BD593" s="106" t="n"/>
      <c r="BE593" s="106" t="n"/>
      <c r="BF593" s="106" t="n"/>
      <c r="BG593" s="106" t="n">
        <v>0</v>
      </c>
      <c r="BH593" s="106" t="n">
        <v>0</v>
      </c>
      <c r="BI593" s="106" t="n">
        <v>0</v>
      </c>
      <c r="BJ593" s="106" t="n"/>
      <c r="BK593" s="114" t="n"/>
      <c r="BL593" s="115" t="n">
        <v>81026.2771758132</v>
      </c>
      <c r="BM593" s="113" t="n">
        <f aca="false" ca="true" dt2D="false" dtr="false" t="normal">SUBTOTAL(9, BN593:CB593)</f>
        <v>5223518.526905213</v>
      </c>
      <c r="BN593" s="106" t="n"/>
      <c r="BO593" s="106" t="n">
        <v>2457065.2679874</v>
      </c>
      <c r="BP593" s="106" t="n"/>
      <c r="BQ593" s="106" t="n">
        <v>2053849.931742</v>
      </c>
      <c r="BR593" s="106" t="n">
        <v>631577.05</v>
      </c>
      <c r="BS593" s="106" t="n"/>
      <c r="BT593" s="106" t="n"/>
      <c r="BU593" s="106" t="n"/>
      <c r="BV593" s="106" t="n"/>
      <c r="BW593" s="106" t="n">
        <v>0</v>
      </c>
      <c r="BX593" s="106" t="n">
        <v>0</v>
      </c>
      <c r="BY593" s="106" t="n">
        <v>0</v>
      </c>
      <c r="BZ593" s="106" t="n"/>
      <c r="CA593" s="114" t="n"/>
      <c r="CB593" s="115" t="n">
        <v>81026.2771758132</v>
      </c>
      <c r="CD593" s="116" t="e">
        <f aca="false" ca="false" dt2D="false" dtr="false" t="normal">+CD592+1</f>
        <v>#REF!</v>
      </c>
      <c r="CE593" s="117" t="e">
        <f aca="false" ca="false" dt2D="false" dtr="false" t="normal">+CE592+1</f>
        <v>#REF!</v>
      </c>
      <c r="CF593" s="104" t="s">
        <v>111</v>
      </c>
      <c r="CG593" s="117" t="s">
        <v>130</v>
      </c>
      <c r="CH593" s="108" t="n">
        <f aca="false" ca="true" dt2D="false" dtr="false" t="normal">SUBTOTAL(9, CI593:CW593)</f>
        <v>712603.3300000001</v>
      </c>
      <c r="CI593" s="106" t="n"/>
      <c r="CJ593" s="114" t="n"/>
      <c r="CK593" s="114" t="n"/>
      <c r="CL593" s="114" t="n"/>
      <c r="CM593" s="114" t="n">
        <v>631577.05</v>
      </c>
      <c r="CN593" s="114" t="n"/>
      <c r="CO593" s="106" t="n"/>
      <c r="CP593" s="114" t="n"/>
      <c r="CQ593" s="114" t="n"/>
      <c r="CR593" s="114" t="n">
        <v>0</v>
      </c>
      <c r="CS593" s="114" t="n">
        <v>0</v>
      </c>
      <c r="CT593" s="114" t="n">
        <v>0</v>
      </c>
      <c r="CU593" s="114" t="n"/>
      <c r="CV593" s="114" t="n"/>
      <c r="CW593" s="115" t="n">
        <v>81026.28</v>
      </c>
      <c r="CX593" s="3" t="n">
        <f aca="false" ca="false" dt2D="false" dtr="false" t="normal">+N593-CH593</f>
        <v>-81026.28000000003</v>
      </c>
      <c r="CZ593" s="117" t="s">
        <v>130</v>
      </c>
      <c r="DA593" s="113" t="n">
        <f aca="false" ca="true" dt2D="false" dtr="false" t="normal">SUBTOTAL(9, DB593:DP593)</f>
        <v>631577.05</v>
      </c>
      <c r="DB593" s="106" t="n"/>
      <c r="DC593" s="114" t="n"/>
      <c r="DD593" s="114" t="n"/>
      <c r="DE593" s="114" t="n"/>
      <c r="DF593" s="114" t="n">
        <v>631577.05</v>
      </c>
      <c r="DG593" s="114" t="n"/>
      <c r="DH593" s="106" t="n"/>
      <c r="DI593" s="114" t="n"/>
      <c r="DJ593" s="114" t="n"/>
      <c r="DK593" s="114" t="n">
        <v>0</v>
      </c>
      <c r="DL593" s="114" t="n">
        <v>0</v>
      </c>
      <c r="DM593" s="114" t="n">
        <v>0</v>
      </c>
      <c r="DN593" s="114" t="n"/>
      <c r="DO593" s="114" t="n"/>
      <c r="DP593" s="240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</row>
    <row customFormat="true" hidden="false" ht="15" outlineLevel="0" r="594" s="1">
      <c r="A594" s="183" t="n">
        <f aca="false" ca="false" dt2D="false" dtr="false" t="normal">+A593+1</f>
        <v>572</v>
      </c>
      <c r="B594" s="117" t="n">
        <f aca="false" ca="false" dt2D="false" dtr="false" t="normal">+B593+1</f>
        <v>113</v>
      </c>
      <c r="C594" s="117" t="s">
        <v>111</v>
      </c>
      <c r="D594" s="117" t="s">
        <v>132</v>
      </c>
      <c r="E594" s="201" t="n">
        <v>1989</v>
      </c>
      <c r="F594" s="201" t="n">
        <v>2017</v>
      </c>
      <c r="G594" s="201" t="s">
        <v>68</v>
      </c>
      <c r="H594" s="201" t="n">
        <v>9</v>
      </c>
      <c r="I594" s="201" t="n">
        <v>3</v>
      </c>
      <c r="J594" s="114" t="n">
        <v>7106.9</v>
      </c>
      <c r="K594" s="114" t="n">
        <v>6247.4</v>
      </c>
      <c r="L594" s="114" t="n">
        <v>0</v>
      </c>
      <c r="M594" s="202" t="n">
        <v>249</v>
      </c>
      <c r="N594" s="108" t="n">
        <f aca="false" ca="false" dt2D="false" dtr="false" t="normal">SUM(P594:T594)</f>
        <v>20945207.96</v>
      </c>
      <c r="O594" s="114" t="n"/>
      <c r="P594" s="113" t="n">
        <v>316550.26</v>
      </c>
      <c r="Q594" s="114" t="n"/>
      <c r="R594" s="113" t="n">
        <v>974391.9</v>
      </c>
      <c r="S594" s="113" t="n">
        <v>7232831.81</v>
      </c>
      <c r="T594" s="113" t="n">
        <v>12421433.99</v>
      </c>
      <c r="U594" s="114" t="n">
        <v>7522.68767618924</v>
      </c>
      <c r="V594" s="114" t="n">
        <v>7522.68767618924</v>
      </c>
      <c r="W594" s="110" t="n">
        <v>2024</v>
      </c>
      <c r="X594" s="9" t="e">
        <f aca="false" ca="false" dt2D="false" dtr="false" t="normal">+#REF!-'[9]Приложение №1'!$P821</f>
        <v>#REF!</v>
      </c>
      <c r="Z594" s="113" t="n">
        <f aca="false" ca="false" dt2D="false" dtr="false" t="normal">SUM(AA594:AO594)</f>
        <v>25881031.24</v>
      </c>
      <c r="AA594" s="106" t="n"/>
      <c r="AB594" s="106" t="n"/>
      <c r="AC594" s="106" t="n"/>
      <c r="AD594" s="106" t="n"/>
      <c r="AE594" s="106" t="n">
        <v>0</v>
      </c>
      <c r="AF594" s="106" t="n"/>
      <c r="AG594" s="106" t="n"/>
      <c r="AH594" s="106" t="n">
        <v>0</v>
      </c>
      <c r="AI594" s="106" t="n"/>
      <c r="AJ594" s="106" t="n">
        <v>0</v>
      </c>
      <c r="AK594" s="106" t="n">
        <v>25881031.24</v>
      </c>
      <c r="AL594" s="106" t="n">
        <v>0</v>
      </c>
      <c r="AM594" s="106" t="n"/>
      <c r="AN594" s="114" t="n"/>
      <c r="AO594" s="115" t="n"/>
      <c r="AP594" s="112" t="e">
        <f aca="false" ca="false" dt2D="false" dtr="false" t="normal">+N594-#REF!</f>
        <v>#REF!</v>
      </c>
      <c r="AQ594" s="1" t="n">
        <v>2787898.61</v>
      </c>
      <c r="AR594" s="3" t="n">
        <f aca="false" ca="false" dt2D="false" dtr="false" t="normal">+(K594*13.29+L594*22.52)*12*0.85</f>
        <v>846885.0491999999</v>
      </c>
      <c r="AS594" s="3" t="n">
        <f aca="false" ca="false" dt2D="false" dtr="false" t="normal">+(K594*13.29+L594*22.52)*12*30-131853.4</f>
        <v>29758207.16</v>
      </c>
      <c r="AT594" s="9" t="n">
        <f aca="false" ca="false" dt2D="false" dtr="false" t="normal">+S594-AS594</f>
        <v>-22525375.35</v>
      </c>
      <c r="AU594" s="9" t="e">
        <f aca="false" ca="false" dt2D="false" dtr="false" t="normal">+P594-'[5]Приложение №1'!$P550</f>
        <v>#REF!</v>
      </c>
      <c r="AV594" s="9" t="e">
        <f aca="false" ca="false" dt2D="false" dtr="false" t="normal">+Q594-'[5]Приложение №1'!$Q550</f>
        <v>#REF!</v>
      </c>
      <c r="AW594" s="113" t="n">
        <f aca="false" ca="true" dt2D="false" dtr="false" t="normal">SUBTOTAL(9, AX594:BL594)</f>
        <v>46997238.98822462</v>
      </c>
      <c r="AX594" s="106" t="n">
        <v>4565506.96</v>
      </c>
      <c r="AY594" s="106" t="n">
        <v>0</v>
      </c>
      <c r="AZ594" s="106" t="n">
        <v>1227624.86</v>
      </c>
      <c r="BA594" s="106" t="n"/>
      <c r="BB594" s="106" t="n">
        <v>0</v>
      </c>
      <c r="BC594" s="106" t="n"/>
      <c r="BD594" s="106" t="n"/>
      <c r="BE594" s="106" t="n">
        <v>0</v>
      </c>
      <c r="BF594" s="106" t="n"/>
      <c r="BG594" s="106" t="n">
        <v>0</v>
      </c>
      <c r="BH594" s="106" t="n">
        <v>40313035.834008</v>
      </c>
      <c r="BI594" s="106" t="n">
        <v>0</v>
      </c>
      <c r="BJ594" s="106" t="n"/>
      <c r="BK594" s="114" t="n"/>
      <c r="BL594" s="187" t="n">
        <v>891071.33421662</v>
      </c>
      <c r="BM594" s="113" t="n">
        <f aca="false" ca="true" dt2D="false" dtr="false" t="normal">SUBTOTAL(9, BN594:CB594)</f>
        <v>20197834.85421662</v>
      </c>
      <c r="BN594" s="192" t="n">
        <v>6402530.38</v>
      </c>
      <c r="BO594" s="106" t="n">
        <v>0</v>
      </c>
      <c r="BP594" s="106" t="n">
        <v>1227624.86</v>
      </c>
      <c r="BQ594" s="106" t="n"/>
      <c r="BR594" s="106" t="n">
        <v>0</v>
      </c>
      <c r="BS594" s="106" t="n"/>
      <c r="BT594" s="106" t="n"/>
      <c r="BU594" s="106" t="n">
        <v>0</v>
      </c>
      <c r="BV594" s="106" t="n"/>
      <c r="BW594" s="106" t="n">
        <v>0</v>
      </c>
      <c r="BX594" s="192" t="n">
        <v>11676608.28</v>
      </c>
      <c r="BY594" s="106" t="n">
        <v>0</v>
      </c>
      <c r="BZ594" s="106" t="n"/>
      <c r="CA594" s="114" t="n"/>
      <c r="CB594" s="115" t="n">
        <v>891071.33421662</v>
      </c>
      <c r="CD594" s="116" t="e">
        <f aca="false" ca="false" dt2D="false" dtr="false" t="normal">+CD593+1</f>
        <v>#REF!</v>
      </c>
      <c r="CE594" s="117" t="e">
        <f aca="false" ca="false" dt2D="false" dtr="false" t="normal">+CE593+1</f>
        <v>#REF!</v>
      </c>
      <c r="CF594" s="104" t="s">
        <v>111</v>
      </c>
      <c r="CG594" s="117" t="s">
        <v>132</v>
      </c>
      <c r="CH594" s="108" t="n">
        <f aca="false" ca="true" dt2D="false" dtr="false" t="normal">SUBTOTAL(9, CI594:CW594)</f>
        <v>21836279.29</v>
      </c>
      <c r="CI594" s="106" t="n">
        <v>6402530.38</v>
      </c>
      <c r="CJ594" s="114" t="n"/>
      <c r="CK594" s="114" t="n">
        <v>1227624.86</v>
      </c>
      <c r="CL594" s="114" t="n"/>
      <c r="CM594" s="114" t="n">
        <v>0</v>
      </c>
      <c r="CN594" s="114" t="n"/>
      <c r="CO594" s="106" t="n"/>
      <c r="CP594" s="114" t="n">
        <v>0</v>
      </c>
      <c r="CQ594" s="114" t="n">
        <v>13315052.72</v>
      </c>
      <c r="CR594" s="114" t="n">
        <v>0</v>
      </c>
      <c r="CS594" s="114" t="n"/>
      <c r="CT594" s="114" t="n">
        <v>0</v>
      </c>
      <c r="CU594" s="114" t="n"/>
      <c r="CV594" s="114" t="n"/>
      <c r="CW594" s="115" t="n">
        <v>891071.33</v>
      </c>
      <c r="CX594" s="3" t="n">
        <f aca="false" ca="false" dt2D="false" dtr="false" t="normal">+N594-CH594</f>
        <v>-891071.3299999982</v>
      </c>
      <c r="CZ594" s="117" t="s">
        <v>132</v>
      </c>
      <c r="DA594" s="113" t="n">
        <f aca="false" ca="true" dt2D="false" dtr="false" t="normal">SUBTOTAL(9, DB594:DP594)</f>
        <v>20945207.96</v>
      </c>
      <c r="DB594" s="106" t="n">
        <v>6402530.38</v>
      </c>
      <c r="DC594" s="114" t="n"/>
      <c r="DD594" s="114" t="n">
        <v>1227624.86</v>
      </c>
      <c r="DE594" s="114" t="n"/>
      <c r="DF594" s="114" t="n">
        <v>0</v>
      </c>
      <c r="DG594" s="114" t="n"/>
      <c r="DH594" s="106" t="n"/>
      <c r="DI594" s="114" t="n">
        <v>0</v>
      </c>
      <c r="DJ594" s="114" t="n">
        <v>13315052.72</v>
      </c>
      <c r="DK594" s="114" t="n">
        <v>0</v>
      </c>
      <c r="DL594" s="114" t="n"/>
      <c r="DM594" s="114" t="n">
        <v>0</v>
      </c>
      <c r="DN594" s="114" t="n"/>
      <c r="DO594" s="114" t="n"/>
      <c r="DP594" s="240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</row>
    <row customFormat="true" hidden="false" ht="15" outlineLevel="0" r="595" s="1">
      <c r="A595" s="183" t="n">
        <f aca="false" ca="false" dt2D="false" dtr="false" t="normal">+A594+1</f>
        <v>573</v>
      </c>
      <c r="B595" s="117" t="n">
        <f aca="false" ca="false" dt2D="false" dtr="false" t="normal">+B594+1</f>
        <v>114</v>
      </c>
      <c r="C595" s="117" t="s">
        <v>111</v>
      </c>
      <c r="D595" s="117" t="s">
        <v>133</v>
      </c>
      <c r="E595" s="201" t="n">
        <v>1989</v>
      </c>
      <c r="F595" s="201" t="n">
        <v>2017</v>
      </c>
      <c r="G595" s="201" t="s">
        <v>68</v>
      </c>
      <c r="H595" s="201" t="n">
        <v>9</v>
      </c>
      <c r="I595" s="201" t="n">
        <v>3</v>
      </c>
      <c r="J595" s="114" t="n">
        <v>8049.4</v>
      </c>
      <c r="K595" s="114" t="n">
        <v>6639.6</v>
      </c>
      <c r="L595" s="114" t="n">
        <v>0</v>
      </c>
      <c r="M595" s="202" t="n">
        <v>258</v>
      </c>
      <c r="N595" s="108" t="n">
        <f aca="false" ca="false" dt2D="false" dtr="false" t="normal">SUM(P595:T595)</f>
        <v>1815463.98</v>
      </c>
      <c r="O595" s="114" t="n"/>
      <c r="P595" s="114" t="n"/>
      <c r="Q595" s="114" t="n"/>
      <c r="R595" s="114" t="n"/>
      <c r="S595" s="113" t="n">
        <v>1815463.98</v>
      </c>
      <c r="T595" s="114" t="n">
        <v>0</v>
      </c>
      <c r="U595" s="114" t="n">
        <v>1291.17205516794</v>
      </c>
      <c r="V595" s="114" t="n">
        <v>1291.17205516794</v>
      </c>
      <c r="W595" s="110" t="n">
        <v>2024</v>
      </c>
      <c r="X595" s="9" t="e">
        <f aca="false" ca="false" dt2D="false" dtr="false" t="normal">+#REF!-'[9]Приложение №1'!$P1571</f>
        <v>#REF!</v>
      </c>
      <c r="Z595" s="113" t="n">
        <f aca="false" ca="false" dt2D="false" dtr="false" t="normal">SUM(AA595:AO595)</f>
        <v>34535107.58613093</v>
      </c>
      <c r="AA595" s="106" t="n">
        <v>9503098.76983194</v>
      </c>
      <c r="AB595" s="106" t="n">
        <v>0</v>
      </c>
      <c r="AC595" s="106" t="n">
        <v>6138860.89766292</v>
      </c>
      <c r="AD595" s="106" t="n">
        <v>2958309.31565568</v>
      </c>
      <c r="AE595" s="106" t="n">
        <v>0</v>
      </c>
      <c r="AF595" s="106" t="n"/>
      <c r="AG595" s="106" t="n">
        <v>715245.7676784</v>
      </c>
      <c r="AH595" s="106" t="n">
        <v>0</v>
      </c>
      <c r="AI595" s="106" t="n">
        <v>5352142.219578</v>
      </c>
      <c r="AJ595" s="106" t="n">
        <v>0</v>
      </c>
      <c r="AK595" s="106" t="n"/>
      <c r="AL595" s="106" t="n">
        <v>0</v>
      </c>
      <c r="AM595" s="106" t="n">
        <v>7589459.6136</v>
      </c>
      <c r="AN595" s="114" t="n">
        <v>782532.3664</v>
      </c>
      <c r="AO595" s="115" t="n">
        <v>1495458.635724</v>
      </c>
      <c r="AP595" s="112" t="n">
        <f aca="false" ca="false" dt2D="false" dtr="false" t="normal">+N595-'Приложение №2'!E597</f>
        <v>-2876069.0900000003</v>
      </c>
      <c r="AQ595" s="9" t="n">
        <f aca="false" ca="false" dt2D="false" dtr="false" t="normal">4261157.78-R419</f>
        <v>3323368.2700000005</v>
      </c>
      <c r="AR595" s="3" t="n">
        <f aca="false" ca="false" dt2D="false" dtr="false" t="normal">+(K595*13.29+L595*22.52)*12*0.85</f>
        <v>900050.8968</v>
      </c>
      <c r="AS595" s="3" t="n">
        <f aca="false" ca="false" dt2D="false" dtr="false" t="normal">+(K595*13.29+L595*22.52)*12*30-14694406.85-S419</f>
        <v>17072095.39</v>
      </c>
      <c r="AT595" s="9" t="n">
        <f aca="false" ca="false" dt2D="false" dtr="false" t="normal">+S595-AS595</f>
        <v>-15256631.41</v>
      </c>
      <c r="AW595" s="113" t="n">
        <f aca="false" ca="true" dt2D="false" dtr="false" t="normal">SUBTOTAL(9, AX595:BL595)</f>
        <v>8572865.97749306</v>
      </c>
      <c r="AX595" s="106" t="n">
        <v>3795804.42</v>
      </c>
      <c r="AY595" s="106" t="n">
        <v>0</v>
      </c>
      <c r="AZ595" s="106" t="n">
        <v>1815463.98</v>
      </c>
      <c r="BA595" s="106" t="n">
        <v>2422165.88</v>
      </c>
      <c r="BB595" s="106" t="n">
        <v>0</v>
      </c>
      <c r="BC595" s="106" t="n"/>
      <c r="BD595" s="106" t="n"/>
      <c r="BE595" s="106" t="n">
        <v>0</v>
      </c>
      <c r="BF595" s="106" t="n"/>
      <c r="BG595" s="106" t="n">
        <v>0</v>
      </c>
      <c r="BH595" s="106" t="n"/>
      <c r="BI595" s="106" t="n">
        <v>0</v>
      </c>
      <c r="BJ595" s="106" t="n"/>
      <c r="BK595" s="114" t="n"/>
      <c r="BL595" s="187" t="n">
        <v>539431.69749306</v>
      </c>
      <c r="BM595" s="113" t="n">
        <f aca="false" ca="true" dt2D="false" dtr="false" t="normal">SUBTOTAL(9, BN595:CB595)</f>
        <v>8572865.97749306</v>
      </c>
      <c r="BN595" s="106" t="n">
        <v>3795804.42</v>
      </c>
      <c r="BO595" s="106" t="n">
        <v>0</v>
      </c>
      <c r="BP595" s="106" t="n">
        <v>1815463.98</v>
      </c>
      <c r="BQ595" s="106" t="n">
        <v>2422165.88</v>
      </c>
      <c r="BR595" s="106" t="n">
        <v>0</v>
      </c>
      <c r="BS595" s="106" t="n"/>
      <c r="BT595" s="106" t="n"/>
      <c r="BU595" s="106" t="n">
        <v>0</v>
      </c>
      <c r="BV595" s="106" t="n"/>
      <c r="BW595" s="106" t="n">
        <v>0</v>
      </c>
      <c r="BX595" s="106" t="n"/>
      <c r="BY595" s="106" t="n">
        <v>0</v>
      </c>
      <c r="BZ595" s="106" t="n"/>
      <c r="CA595" s="114" t="n"/>
      <c r="CB595" s="115" t="n">
        <v>539431.69749306</v>
      </c>
      <c r="CD595" s="116" t="e">
        <f aca="false" ca="false" dt2D="false" dtr="false" t="normal">+CD594+1</f>
        <v>#REF!</v>
      </c>
      <c r="CE595" s="117" t="e">
        <f aca="false" ca="false" dt2D="false" dtr="false" t="normal">+CE594+1</f>
        <v>#REF!</v>
      </c>
      <c r="CF595" s="104" t="s">
        <v>111</v>
      </c>
      <c r="CG595" s="117" t="s">
        <v>133</v>
      </c>
      <c r="CH595" s="108" t="n">
        <f aca="false" ca="true" dt2D="false" dtr="false" t="normal">SUBTOTAL(9, CI595:CW595)</f>
        <v>1815463.98</v>
      </c>
      <c r="CI595" s="106" t="n"/>
      <c r="CJ595" s="114" t="n">
        <v>0</v>
      </c>
      <c r="CK595" s="114" t="n">
        <v>1815463.98</v>
      </c>
      <c r="CL595" s="114" t="n"/>
      <c r="CM595" s="114" t="n">
        <v>0</v>
      </c>
      <c r="CN595" s="114" t="n"/>
      <c r="CO595" s="106" t="n"/>
      <c r="CP595" s="114" t="n">
        <v>0</v>
      </c>
      <c r="CQ595" s="114" t="n"/>
      <c r="CR595" s="114" t="n">
        <v>0</v>
      </c>
      <c r="CS595" s="114" t="n"/>
      <c r="CT595" s="114" t="n">
        <v>0</v>
      </c>
      <c r="CU595" s="114" t="n"/>
      <c r="CV595" s="114" t="n"/>
      <c r="CW595" s="115" t="n"/>
      <c r="CX595" s="3" t="n">
        <f aca="false" ca="false" dt2D="false" dtr="false" t="normal">+N595-CH595</f>
        <v>0</v>
      </c>
      <c r="CZ595" s="117" t="s">
        <v>133</v>
      </c>
      <c r="DA595" s="113" t="n">
        <f aca="false" ca="true" dt2D="false" dtr="false" t="normal">SUBTOTAL(9, DB595:DP595)</f>
        <v>1815463.98</v>
      </c>
      <c r="DB595" s="106" t="n"/>
      <c r="DC595" s="114" t="n">
        <v>0</v>
      </c>
      <c r="DD595" s="114" t="n">
        <v>1815463.98</v>
      </c>
      <c r="DE595" s="114" t="n"/>
      <c r="DF595" s="114" t="n">
        <v>0</v>
      </c>
      <c r="DG595" s="114" t="n"/>
      <c r="DH595" s="106" t="n"/>
      <c r="DI595" s="114" t="n">
        <v>0</v>
      </c>
      <c r="DJ595" s="114" t="n"/>
      <c r="DK595" s="114" t="n">
        <v>0</v>
      </c>
      <c r="DL595" s="114" t="n"/>
      <c r="DM595" s="114" t="n">
        <v>0</v>
      </c>
      <c r="DN595" s="114" t="n"/>
      <c r="DO595" s="114" t="n"/>
      <c r="DP595" s="240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</row>
    <row customFormat="true" hidden="false" ht="15" outlineLevel="0" r="596" s="1">
      <c r="A596" s="183" t="n">
        <f aca="false" ca="false" dt2D="false" dtr="false" t="normal">+A595+1</f>
        <v>574</v>
      </c>
      <c r="B596" s="117" t="n">
        <f aca="false" ca="false" dt2D="false" dtr="false" t="normal">+B595+1</f>
        <v>115</v>
      </c>
      <c r="C596" s="117" t="s">
        <v>111</v>
      </c>
      <c r="D596" s="117" t="s">
        <v>134</v>
      </c>
      <c r="E596" s="201" t="n">
        <v>1994</v>
      </c>
      <c r="F596" s="201" t="n">
        <v>2013</v>
      </c>
      <c r="G596" s="201" t="s">
        <v>68</v>
      </c>
      <c r="H596" s="201" t="n">
        <v>9</v>
      </c>
      <c r="I596" s="201" t="n">
        <v>3</v>
      </c>
      <c r="J596" s="114" t="n">
        <v>7891.7</v>
      </c>
      <c r="K596" s="114" t="n">
        <v>6600.8</v>
      </c>
      <c r="L596" s="114" t="n">
        <v>0</v>
      </c>
      <c r="M596" s="202" t="n">
        <v>291</v>
      </c>
      <c r="N596" s="108" t="n">
        <f aca="false" ca="false" dt2D="false" dtr="false" t="normal">SUM(P596:T596)</f>
        <v>6801254.46</v>
      </c>
      <c r="O596" s="114" t="n"/>
      <c r="P596" s="113" t="n">
        <v>1020018.49</v>
      </c>
      <c r="Q596" s="114" t="n"/>
      <c r="R596" s="114" t="n"/>
      <c r="S596" s="113" t="n">
        <v>5781235.97</v>
      </c>
      <c r="T596" s="114" t="n">
        <v>0</v>
      </c>
      <c r="U596" s="114" t="n">
        <v>1911.37085745352</v>
      </c>
      <c r="V596" s="114" t="n">
        <v>1911.37085745352</v>
      </c>
      <c r="W596" s="110" t="n">
        <v>2024</v>
      </c>
      <c r="Z596" s="113" t="n">
        <f aca="false" ca="false" dt2D="false" dtr="false" t="normal">SUM(AA596:AO596)</f>
        <v>8703397.319999998</v>
      </c>
      <c r="AA596" s="106" t="n"/>
      <c r="AB596" s="114" t="n"/>
      <c r="AC596" s="106" t="n"/>
      <c r="AD596" s="106" t="n"/>
      <c r="AE596" s="114" t="n">
        <v>0</v>
      </c>
      <c r="AF596" s="114" t="n">
        <v>0</v>
      </c>
      <c r="AG596" s="114" t="n"/>
      <c r="AH596" s="114" t="n">
        <v>8628684.86</v>
      </c>
      <c r="AI596" s="106" t="n"/>
      <c r="AJ596" s="114" t="n">
        <v>0</v>
      </c>
      <c r="AK596" s="106" t="n"/>
      <c r="AL596" s="114" t="n">
        <v>0</v>
      </c>
      <c r="AM596" s="106" t="n">
        <v>55020.37</v>
      </c>
      <c r="AN596" s="106" t="n">
        <v>19692.09</v>
      </c>
      <c r="AO596" s="111" t="n"/>
      <c r="AP596" s="112" t="n">
        <f aca="false" ca="false" dt2D="false" dtr="false" t="normal">+N596-'Приложение №2'!E596</f>
        <v>0</v>
      </c>
      <c r="AQ596" s="9" t="n">
        <f aca="false" ca="false" dt2D="false" dtr="false" t="normal">4161512.94-301266.52-3086934.55-S74</f>
        <v>-3405726.2898999997</v>
      </c>
      <c r="AR596" s="3" t="n">
        <f aca="false" ca="false" dt2D="false" dtr="false" t="normal">+(K596*13.29+L596*22.52)*12*0.85</f>
        <v>894791.2464</v>
      </c>
      <c r="AS596" s="3" t="n">
        <f aca="false" ca="false" dt2D="false" dtr="false" t="normal">+(K596*13.29+L596*22.52)*12*30-1198680.53-8354818.57-S74</f>
        <v>17848330.2601</v>
      </c>
      <c r="AT596" s="9" t="n">
        <f aca="false" ca="false" dt2D="false" dtr="false" t="normal">+S596-AS596</f>
        <v>-12067094.2901</v>
      </c>
      <c r="AU596" s="9" t="e">
        <f aca="false" ca="false" dt2D="false" dtr="false" t="normal">+P596-'[5]Приложение №1'!$P268</f>
        <v>#REF!</v>
      </c>
      <c r="AV596" s="9" t="e">
        <f aca="false" ca="false" dt2D="false" dtr="false" t="normal">+Q596-'[5]Приложение №1'!$Q268</f>
        <v>#REF!</v>
      </c>
      <c r="AW596" s="113" t="n">
        <f aca="false" ca="true" dt2D="false" dtr="false" t="normal">SUBTOTAL(9, AX596:BL596)</f>
        <v>12616576.755879182</v>
      </c>
      <c r="AX596" s="106" t="n">
        <v>4667209.49</v>
      </c>
      <c r="AY596" s="106" t="n">
        <v>0</v>
      </c>
      <c r="AZ596" s="106" t="n">
        <v>2134044.97</v>
      </c>
      <c r="BA596" s="106" t="n">
        <v>2451411.64</v>
      </c>
      <c r="BB596" s="106" t="n"/>
      <c r="BC596" s="106" t="n"/>
      <c r="BD596" s="106" t="n"/>
      <c r="BE596" s="106" t="n">
        <v>0</v>
      </c>
      <c r="BF596" s="106" t="n"/>
      <c r="BG596" s="106" t="n">
        <v>0</v>
      </c>
      <c r="BH596" s="106" t="n"/>
      <c r="BI596" s="106" t="n">
        <v>0</v>
      </c>
      <c r="BJ596" s="106" t="n">
        <v>2550189.857</v>
      </c>
      <c r="BK596" s="114" t="n">
        <v>278424.5693</v>
      </c>
      <c r="BL596" s="187" t="n">
        <v>535296.22957918</v>
      </c>
      <c r="BM596" s="113" t="n">
        <f aca="false" ca="true" dt2D="false" dtr="false" t="normal">SUBTOTAL(9, BN596:CB596)</f>
        <v>12616576.755879182</v>
      </c>
      <c r="BN596" s="106" t="n">
        <v>4667209.49</v>
      </c>
      <c r="BO596" s="106" t="n">
        <v>0</v>
      </c>
      <c r="BP596" s="106" t="n">
        <v>2134044.97</v>
      </c>
      <c r="BQ596" s="106" t="n">
        <v>2451411.64</v>
      </c>
      <c r="BR596" s="106" t="n"/>
      <c r="BS596" s="106" t="n"/>
      <c r="BT596" s="106" t="n"/>
      <c r="BU596" s="106" t="n">
        <v>0</v>
      </c>
      <c r="BV596" s="106" t="n"/>
      <c r="BW596" s="106" t="n">
        <v>0</v>
      </c>
      <c r="BX596" s="106" t="n"/>
      <c r="BY596" s="106" t="n">
        <v>0</v>
      </c>
      <c r="BZ596" s="106" t="n">
        <v>2550189.857</v>
      </c>
      <c r="CA596" s="114" t="n">
        <v>278424.5693</v>
      </c>
      <c r="CB596" s="115" t="n">
        <v>535296.22957918</v>
      </c>
      <c r="CD596" s="116" t="e">
        <f aca="false" ca="false" dt2D="false" dtr="false" t="normal">+CD595+1</f>
        <v>#REF!</v>
      </c>
      <c r="CE596" s="117" t="e">
        <f aca="false" ca="false" dt2D="false" dtr="false" t="normal">+CE595+1</f>
        <v>#REF!</v>
      </c>
      <c r="CF596" s="104" t="s">
        <v>111</v>
      </c>
      <c r="CG596" s="117" t="s">
        <v>134</v>
      </c>
      <c r="CH596" s="108" t="n">
        <f aca="false" ca="true" dt2D="false" dtr="false" t="normal">SUBTOTAL(9, CI596:CW596)</f>
        <v>6801254.460000001</v>
      </c>
      <c r="CI596" s="106" t="n">
        <v>4667209.49</v>
      </c>
      <c r="CJ596" s="114" t="n">
        <v>0</v>
      </c>
      <c r="CK596" s="114" t="n">
        <v>2134044.97</v>
      </c>
      <c r="CL596" s="114" t="n"/>
      <c r="CM596" s="114" t="n"/>
      <c r="CN596" s="114" t="n"/>
      <c r="CO596" s="106" t="n"/>
      <c r="CP596" s="114" t="n">
        <v>0</v>
      </c>
      <c r="CQ596" s="114" t="n"/>
      <c r="CR596" s="114" t="n">
        <v>0</v>
      </c>
      <c r="CS596" s="114" t="n"/>
      <c r="CT596" s="114" t="n">
        <v>0</v>
      </c>
      <c r="CU596" s="114" t="n"/>
      <c r="CV596" s="114" t="n"/>
      <c r="CW596" s="115" t="n"/>
      <c r="CX596" s="3" t="n">
        <f aca="false" ca="false" dt2D="false" dtr="false" t="normal">+N596-CH596</f>
        <v>0</v>
      </c>
      <c r="CZ596" s="117" t="s">
        <v>134</v>
      </c>
      <c r="DA596" s="113" t="n">
        <f aca="false" ca="true" dt2D="false" dtr="false" t="normal">SUBTOTAL(9, DB596:DP596)</f>
        <v>6801254.460000001</v>
      </c>
      <c r="DB596" s="106" t="n">
        <v>4667209.49</v>
      </c>
      <c r="DC596" s="114" t="n">
        <v>0</v>
      </c>
      <c r="DD596" s="114" t="n">
        <v>2134044.97</v>
      </c>
      <c r="DE596" s="114" t="n"/>
      <c r="DF596" s="114" t="n"/>
      <c r="DG596" s="114" t="n"/>
      <c r="DH596" s="106" t="n"/>
      <c r="DI596" s="114" t="n">
        <v>0</v>
      </c>
      <c r="DJ596" s="114" t="n"/>
      <c r="DK596" s="114" t="n">
        <v>0</v>
      </c>
      <c r="DL596" s="114" t="n"/>
      <c r="DM596" s="114" t="n">
        <v>0</v>
      </c>
      <c r="DN596" s="241" t="n"/>
      <c r="DO596" s="241" t="n"/>
      <c r="DP596" s="240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</row>
    <row customFormat="true" hidden="false" ht="15" outlineLevel="0" r="597" s="1">
      <c r="A597" s="183" t="n">
        <f aca="false" ca="false" dt2D="false" dtr="false" t="normal">+A596+1</f>
        <v>575</v>
      </c>
      <c r="B597" s="117" t="n">
        <f aca="false" ca="false" dt2D="false" dtr="false" t="normal">+B596+1</f>
        <v>116</v>
      </c>
      <c r="C597" s="117" t="s">
        <v>111</v>
      </c>
      <c r="D597" s="117" t="s">
        <v>338</v>
      </c>
      <c r="E597" s="201" t="n">
        <v>1985</v>
      </c>
      <c r="F597" s="201" t="n">
        <v>2013</v>
      </c>
      <c r="G597" s="201" t="s">
        <v>68</v>
      </c>
      <c r="H597" s="201" t="n">
        <v>3</v>
      </c>
      <c r="I597" s="201" t="n">
        <v>3</v>
      </c>
      <c r="J597" s="114" t="n">
        <v>1439.1</v>
      </c>
      <c r="K597" s="114" t="n">
        <v>1284.3</v>
      </c>
      <c r="L597" s="114" t="n">
        <v>0</v>
      </c>
      <c r="M597" s="202" t="n">
        <v>55</v>
      </c>
      <c r="N597" s="108" t="n">
        <f aca="false" ca="false" dt2D="false" dtr="false" t="normal">SUM(P597:T597)</f>
        <v>4691533.07</v>
      </c>
      <c r="O597" s="114" t="n"/>
      <c r="P597" s="113" t="n">
        <v>196116.1</v>
      </c>
      <c r="Q597" s="114" t="n"/>
      <c r="R597" s="113" t="n">
        <v>162201.77</v>
      </c>
      <c r="S597" s="113" t="n">
        <v>4213000.98</v>
      </c>
      <c r="T597" s="113" t="n">
        <v>120214.22</v>
      </c>
      <c r="U597" s="114" t="n">
        <v>32142.3815804425</v>
      </c>
      <c r="V597" s="114" t="n">
        <v>1262.283020064</v>
      </c>
      <c r="W597" s="110" t="n">
        <v>2024</v>
      </c>
      <c r="X597" s="9" t="e">
        <f aca="false" ca="false" dt2D="false" dtr="false" t="normal">+#REF!-'[9]Приложение №1'!$P1293</f>
        <v>#REF!</v>
      </c>
      <c r="Z597" s="113" t="n">
        <f aca="false" ca="false" dt2D="false" dtr="false" t="normal">SUM(AA597:AO597)</f>
        <v>17444911.509005465</v>
      </c>
      <c r="AA597" s="106" t="n">
        <v>0</v>
      </c>
      <c r="AB597" s="106" t="n">
        <v>0</v>
      </c>
      <c r="AC597" s="106" t="n">
        <v>0</v>
      </c>
      <c r="AD597" s="106" t="n">
        <v>1124212.34351803</v>
      </c>
      <c r="AE597" s="106" t="n">
        <v>0</v>
      </c>
      <c r="AF597" s="106" t="n"/>
      <c r="AG597" s="106" t="n">
        <v>0</v>
      </c>
      <c r="AH597" s="106" t="n">
        <v>0</v>
      </c>
      <c r="AI597" s="106" t="n">
        <v>4206748.51575333</v>
      </c>
      <c r="AJ597" s="106" t="n">
        <v>0</v>
      </c>
      <c r="AK597" s="106" t="n">
        <v>8272430.93363266</v>
      </c>
      <c r="AL597" s="106" t="n">
        <v>3193396.30001221</v>
      </c>
      <c r="AM597" s="106" t="n">
        <v>215153.97</v>
      </c>
      <c r="AN597" s="106" t="n">
        <v>65657.7097212739</v>
      </c>
      <c r="AO597" s="115" t="n">
        <v>367311.736367965</v>
      </c>
      <c r="AP597" s="112" t="n">
        <f aca="false" ca="false" dt2D="false" dtr="false" t="normal">+N597-'Приложение №2'!E593</f>
        <v>4059956.0200000005</v>
      </c>
      <c r="AQ597" s="121" t="n">
        <v>633764.25</v>
      </c>
      <c r="AR597" s="3" t="n">
        <f aca="false" ca="false" dt2D="false" dtr="false" t="normal">+(K597*10.5+L597*21)*12*0.85</f>
        <v>137548.53</v>
      </c>
      <c r="AS597" s="3" t="n">
        <f aca="false" ca="false" dt2D="false" dtr="false" t="normal">+(K597*10.5+L597*21)*12*30</f>
        <v>4854654</v>
      </c>
      <c r="AT597" s="9" t="n">
        <f aca="false" ca="false" dt2D="false" dtr="false" t="normal">+S597-AS597</f>
        <v>-641653.0199999996</v>
      </c>
      <c r="AU597" s="9" t="e">
        <f aca="false" ca="false" dt2D="false" dtr="false" t="normal">+P597-'[5]Приложение №1'!$P826</f>
        <v>#REF!</v>
      </c>
      <c r="AV597" s="9" t="e">
        <f aca="false" ca="false" dt2D="false" dtr="false" t="normal">+Q597-'[5]Приложение №1'!$Q826</f>
        <v>#REF!</v>
      </c>
      <c r="AW597" s="186" t="n">
        <f aca="false" ca="true" dt2D="false" dtr="false" t="normal">SUBTOTAL(9, AX597:BL597)</f>
        <v>41280460.663762346</v>
      </c>
      <c r="AX597" s="106" t="n">
        <v>0</v>
      </c>
      <c r="AY597" s="106" t="n">
        <v>0</v>
      </c>
      <c r="AZ597" s="106" t="n">
        <v>0</v>
      </c>
      <c r="BA597" s="106" t="n">
        <v>1287686.27947242</v>
      </c>
      <c r="BB597" s="106" t="n">
        <v>0</v>
      </c>
      <c r="BC597" s="106" t="n"/>
      <c r="BD597" s="106" t="n">
        <v>0</v>
      </c>
      <c r="BE597" s="106" t="n"/>
      <c r="BF597" s="106" t="n">
        <v>14859752.822115</v>
      </c>
      <c r="BG597" s="106" t="n">
        <v>0</v>
      </c>
      <c r="BH597" s="106" t="n">
        <v>12356333.5081925</v>
      </c>
      <c r="BI597" s="106" t="n">
        <v>11615526.3232418</v>
      </c>
      <c r="BJ597" s="106" t="n">
        <v>215153.97</v>
      </c>
      <c r="BK597" s="106" t="n">
        <f aca="false" ca="false" dt2D="false" dtr="false" t="normal">65657.7097212739</f>
        <v>65657.7097212739</v>
      </c>
      <c r="BL597" s="187" t="n">
        <v>880350.051019349</v>
      </c>
      <c r="BM597" s="186" t="n">
        <f aca="false" ca="true" dt2D="false" dtr="false" t="normal">SUBTOTAL(9, BN597:CB597)</f>
        <v>28603068.74164734</v>
      </c>
      <c r="BN597" s="106" t="n">
        <v>0</v>
      </c>
      <c r="BO597" s="106" t="n">
        <v>0</v>
      </c>
      <c r="BP597" s="106" t="n">
        <v>0</v>
      </c>
      <c r="BQ597" s="106" t="n">
        <v>1287686.27947242</v>
      </c>
      <c r="BR597" s="106" t="n">
        <v>0</v>
      </c>
      <c r="BS597" s="106" t="n"/>
      <c r="BT597" s="106" t="n">
        <v>0</v>
      </c>
      <c r="BU597" s="106" t="n"/>
      <c r="BV597" s="106" t="n">
        <v>2182360.9</v>
      </c>
      <c r="BW597" s="106" t="n">
        <v>0</v>
      </c>
      <c r="BX597" s="106" t="n">
        <v>12356333.5081925</v>
      </c>
      <c r="BY597" s="106" t="n">
        <v>11615526.3232418</v>
      </c>
      <c r="BZ597" s="106" t="n">
        <v>215153.97</v>
      </c>
      <c r="CA597" s="106" t="n">
        <f aca="false" ca="false" dt2D="false" dtr="false" t="normal">65657.7097212739</f>
        <v>65657.7097212739</v>
      </c>
      <c r="CB597" s="115" t="n">
        <v>880350.051019349</v>
      </c>
      <c r="CD597" s="116" t="e">
        <f aca="false" ca="false" dt2D="false" dtr="false" t="normal">+CD596+1</f>
        <v>#REF!</v>
      </c>
      <c r="CE597" s="117" t="e">
        <f aca="false" ca="false" dt2D="false" dtr="false" t="normal">+CE596+1</f>
        <v>#REF!</v>
      </c>
      <c r="CF597" s="104" t="s">
        <v>111</v>
      </c>
      <c r="CG597" s="117" t="s">
        <v>338</v>
      </c>
      <c r="CH597" s="108" t="n">
        <f aca="false" ca="true" dt2D="false" dtr="false" t="normal">SUBTOTAL(9, CI597:CW597)</f>
        <v>5571883.12</v>
      </c>
      <c r="CI597" s="106" t="n">
        <v>0</v>
      </c>
      <c r="CJ597" s="114" t="n">
        <v>0</v>
      </c>
      <c r="CK597" s="114" t="n">
        <v>0</v>
      </c>
      <c r="CL597" s="114" t="n">
        <v>1287686.28</v>
      </c>
      <c r="CM597" s="114" t="n">
        <v>0</v>
      </c>
      <c r="CN597" s="114" t="n"/>
      <c r="CO597" s="106" t="n">
        <v>0</v>
      </c>
      <c r="CP597" s="114" t="n"/>
      <c r="CQ597" s="114" t="n"/>
      <c r="CR597" s="114" t="n">
        <v>0</v>
      </c>
      <c r="CS597" s="114" t="n"/>
      <c r="CT597" s="243" t="n">
        <v>3403846.79</v>
      </c>
      <c r="CU597" s="114" t="n"/>
      <c r="CV597" s="114" t="n"/>
      <c r="CW597" s="115" t="n">
        <v>880350.05</v>
      </c>
      <c r="CX597" s="3" t="n">
        <f aca="false" ca="false" dt2D="false" dtr="false" t="normal">+N597-CH597</f>
        <v>-880350.0499999998</v>
      </c>
      <c r="CZ597" s="117" t="s">
        <v>338</v>
      </c>
      <c r="DA597" s="113" t="n">
        <f aca="false" ca="true" dt2D="false" dtr="false" t="normal">SUBTOTAL(9, DB597:DP597)</f>
        <v>4691533.07</v>
      </c>
      <c r="DB597" s="106" t="n">
        <v>0</v>
      </c>
      <c r="DC597" s="114" t="n">
        <v>0</v>
      </c>
      <c r="DD597" s="114" t="n">
        <v>0</v>
      </c>
      <c r="DE597" s="114" t="n">
        <v>1287686.28</v>
      </c>
      <c r="DF597" s="114" t="n">
        <v>0</v>
      </c>
      <c r="DG597" s="114" t="n"/>
      <c r="DH597" s="106" t="n">
        <v>0</v>
      </c>
      <c r="DI597" s="114" t="n"/>
      <c r="DJ597" s="114" t="n"/>
      <c r="DK597" s="114" t="n">
        <v>0</v>
      </c>
      <c r="DL597" s="114" t="n"/>
      <c r="DM597" s="243" t="n">
        <v>3403846.79</v>
      </c>
      <c r="DN597" s="241" t="n"/>
      <c r="DO597" s="241" t="n"/>
      <c r="DP597" s="240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</row>
    <row customFormat="true" hidden="false" ht="15" outlineLevel="0" r="598" s="1">
      <c r="A598" s="183" t="n">
        <f aca="false" ca="false" dt2D="false" dtr="false" t="normal">+A597+1</f>
        <v>576</v>
      </c>
      <c r="B598" s="117" t="s">
        <v>463</v>
      </c>
      <c r="C598" s="104" t="s">
        <v>111</v>
      </c>
      <c r="D598" s="104" t="s">
        <v>480</v>
      </c>
      <c r="E598" s="105" t="n">
        <v>1973</v>
      </c>
      <c r="F598" s="105" t="n">
        <v>2017</v>
      </c>
      <c r="G598" s="105" t="s">
        <v>68</v>
      </c>
      <c r="H598" s="105" t="n">
        <v>5</v>
      </c>
      <c r="I598" s="105" t="n">
        <v>2</v>
      </c>
      <c r="J598" s="106" t="n">
        <v>2354.6</v>
      </c>
      <c r="K598" s="106" t="n">
        <v>2141.8</v>
      </c>
      <c r="L598" s="106" t="n">
        <v>0</v>
      </c>
      <c r="M598" s="107" t="n">
        <v>96</v>
      </c>
      <c r="N598" s="108" t="n">
        <f aca="false" ca="false" dt2D="false" dtr="false" t="normal">SUM(P598:T598)</f>
        <v>1070216.81</v>
      </c>
      <c r="O598" s="106" t="n"/>
      <c r="P598" s="114" t="n"/>
      <c r="Q598" s="114" t="n"/>
      <c r="R598" s="113" t="n">
        <v>265572.58</v>
      </c>
      <c r="S598" s="113" t="n">
        <v>804644.23</v>
      </c>
      <c r="T598" s="114" t="n">
        <v>0</v>
      </c>
      <c r="U598" s="114" t="n">
        <v>2419.65256272879</v>
      </c>
      <c r="V598" s="114" t="n">
        <v>1263.283020064</v>
      </c>
      <c r="W598" s="110" t="n">
        <v>2024</v>
      </c>
      <c r="X598" s="9" t="e">
        <f aca="false" ca="false" dt2D="false" dtr="false" t="normal">+#REF!-'[9]Приложение №1'!$P591</f>
        <v>#REF!</v>
      </c>
      <c r="Z598" s="113" t="n">
        <f aca="false" ca="false" dt2D="false" dtr="false" t="normal">SUM(AA598:AO598)</f>
        <v>5617414.62</v>
      </c>
      <c r="AA598" s="106" t="n">
        <v>0</v>
      </c>
      <c r="AB598" s="106" t="n">
        <v>0</v>
      </c>
      <c r="AC598" s="106" t="n">
        <v>0</v>
      </c>
      <c r="AD598" s="106" t="n">
        <v>0</v>
      </c>
      <c r="AE598" s="106" t="n">
        <v>0</v>
      </c>
      <c r="AF598" s="106" t="n"/>
      <c r="AG598" s="106" t="n">
        <v>0</v>
      </c>
      <c r="AH598" s="106" t="n">
        <v>0</v>
      </c>
      <c r="AI598" s="106" t="n">
        <v>0</v>
      </c>
      <c r="AJ598" s="106" t="n">
        <v>0</v>
      </c>
      <c r="AK598" s="106" t="n">
        <v>4892509.73294748</v>
      </c>
      <c r="AL598" s="106" t="n">
        <v>0</v>
      </c>
      <c r="AM598" s="106" t="n">
        <v>561741.462</v>
      </c>
      <c r="AN598" s="114" t="n">
        <v>56174.1462</v>
      </c>
      <c r="AO598" s="115" t="n">
        <v>106989.27885252</v>
      </c>
      <c r="AP598" s="112" t="n">
        <f aca="false" ca="false" dt2D="false" dtr="false" t="normal">+N598-'Приложение №2'!E598</f>
        <v>0</v>
      </c>
      <c r="AQ598" s="121" t="n">
        <v>1148972.82</v>
      </c>
      <c r="AR598" s="3" t="n">
        <f aca="false" ca="false" dt2D="false" dtr="false" t="normal">+(K598*10.5+L598*21)*12*0.85</f>
        <v>229386.78000000003</v>
      </c>
      <c r="AS598" s="3" t="n">
        <f aca="false" ca="false" dt2D="false" dtr="false" t="normal">+(K598*10.5+L598*21)*12*30</f>
        <v>8096004.000000002</v>
      </c>
      <c r="AT598" s="9" t="n">
        <f aca="false" ca="false" dt2D="false" dtr="false" t="normal">+S598-AS598</f>
        <v>-7291359.770000001</v>
      </c>
      <c r="AU598" s="9" t="e">
        <f aca="false" ca="false" dt2D="false" dtr="false" t="normal">+P598-'[5]Приложение №1'!$P740</f>
        <v>#REF!</v>
      </c>
      <c r="AV598" s="9" t="e">
        <f aca="false" ca="false" dt2D="false" dtr="false" t="normal">+Q598-'[5]Приложение №1'!$Q740</f>
        <v>#REF!</v>
      </c>
      <c r="AW598" s="186" t="n">
        <f aca="false" ca="true" dt2D="false" dtr="false" t="normal">SUBTOTAL(9, AX598:BL598)</f>
        <v>5182411.85885252</v>
      </c>
      <c r="AX598" s="106" t="n">
        <v>0</v>
      </c>
      <c r="AY598" s="106" t="n">
        <v>0</v>
      </c>
      <c r="AZ598" s="106" t="n">
        <v>0</v>
      </c>
      <c r="BA598" s="106" t="n">
        <v>0</v>
      </c>
      <c r="BB598" s="106" t="n">
        <v>0</v>
      </c>
      <c r="BC598" s="106" t="n"/>
      <c r="BD598" s="106" t="n"/>
      <c r="BE598" s="106" t="n">
        <v>0</v>
      </c>
      <c r="BF598" s="106" t="n">
        <v>0</v>
      </c>
      <c r="BG598" s="106" t="n">
        <v>0</v>
      </c>
      <c r="BH598" s="106" t="n">
        <v>5075422.58</v>
      </c>
      <c r="BI598" s="106" t="n">
        <v>0</v>
      </c>
      <c r="BJ598" s="106" t="n"/>
      <c r="BK598" s="114" t="n"/>
      <c r="BL598" s="115" t="n">
        <v>106989.27885252</v>
      </c>
      <c r="BM598" s="186" t="n">
        <f aca="false" ca="true" dt2D="false" dtr="false" t="normal">SUBTOTAL(9, BN598:CB598)</f>
        <v>5182411.85885252</v>
      </c>
      <c r="BN598" s="106" t="n">
        <v>0</v>
      </c>
      <c r="BO598" s="106" t="n">
        <v>0</v>
      </c>
      <c r="BP598" s="106" t="n">
        <v>0</v>
      </c>
      <c r="BQ598" s="106" t="n">
        <v>0</v>
      </c>
      <c r="BR598" s="106" t="n">
        <v>0</v>
      </c>
      <c r="BS598" s="106" t="n"/>
      <c r="BT598" s="106" t="n"/>
      <c r="BU598" s="106" t="n">
        <v>0</v>
      </c>
      <c r="BV598" s="106" t="n">
        <v>0</v>
      </c>
      <c r="BW598" s="106" t="n">
        <v>0</v>
      </c>
      <c r="BX598" s="106" t="n">
        <v>5075422.58</v>
      </c>
      <c r="BY598" s="106" t="n">
        <v>0</v>
      </c>
      <c r="BZ598" s="106" t="n"/>
      <c r="CA598" s="114" t="n"/>
      <c r="CB598" s="115" t="n">
        <v>106989.27885252</v>
      </c>
      <c r="CD598" s="116" t="e">
        <f aca="false" ca="false" dt2D="false" dtr="false" t="normal">+CD597+1</f>
        <v>#REF!</v>
      </c>
      <c r="CE598" s="117" t="s">
        <v>463</v>
      </c>
      <c r="CF598" s="104" t="s">
        <v>111</v>
      </c>
      <c r="CG598" s="104" t="s">
        <v>480</v>
      </c>
      <c r="CH598" s="232" t="n">
        <f aca="false" ca="true" dt2D="false" dtr="false" t="normal">SUBTOTAL(9, CI598:CW598)</f>
        <v>1070216.81</v>
      </c>
      <c r="CI598" s="106" t="n">
        <v>0</v>
      </c>
      <c r="CJ598" s="114" t="n">
        <v>0</v>
      </c>
      <c r="CK598" s="114" t="n">
        <v>0</v>
      </c>
      <c r="CL598" s="114" t="n">
        <v>0</v>
      </c>
      <c r="CM598" s="114" t="n">
        <v>0</v>
      </c>
      <c r="CN598" s="114" t="n"/>
      <c r="CO598" s="106" t="n"/>
      <c r="CP598" s="114" t="n">
        <v>0</v>
      </c>
      <c r="CQ598" s="114" t="n">
        <v>0</v>
      </c>
      <c r="CR598" s="114" t="n">
        <v>0</v>
      </c>
      <c r="CS598" s="114" t="n">
        <v>1070216.81</v>
      </c>
      <c r="CT598" s="114" t="n">
        <v>0</v>
      </c>
      <c r="CU598" s="114" t="n"/>
      <c r="CV598" s="114" t="n"/>
      <c r="CW598" s="115" t="n"/>
      <c r="CX598" s="3" t="n">
        <f aca="false" ca="false" dt2D="false" dtr="false" t="normal">+N598-CH598</f>
        <v>0</v>
      </c>
      <c r="CZ598" s="104" t="s">
        <v>480</v>
      </c>
      <c r="DA598" s="186" t="n">
        <f aca="false" ca="true" dt2D="false" dtr="false" t="normal">SUBTOTAL(9, DB598:DP598)</f>
        <v>1070216.81</v>
      </c>
      <c r="DB598" s="106" t="n">
        <v>0</v>
      </c>
      <c r="DC598" s="114" t="n">
        <v>0</v>
      </c>
      <c r="DD598" s="114" t="n">
        <v>0</v>
      </c>
      <c r="DE598" s="114" t="n">
        <v>0</v>
      </c>
      <c r="DF598" s="114" t="n">
        <v>0</v>
      </c>
      <c r="DG598" s="114" t="n"/>
      <c r="DH598" s="106" t="n"/>
      <c r="DI598" s="114" t="n">
        <v>0</v>
      </c>
      <c r="DJ598" s="114" t="n">
        <v>0</v>
      </c>
      <c r="DK598" s="114" t="n">
        <v>0</v>
      </c>
      <c r="DL598" s="114" t="n">
        <v>1070216.81</v>
      </c>
      <c r="DM598" s="114" t="n">
        <v>0</v>
      </c>
      <c r="DN598" s="114" t="n"/>
      <c r="DO598" s="114" t="n"/>
      <c r="DP598" s="115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</row>
    <row customFormat="true" hidden="false" ht="15" outlineLevel="0" r="599" s="1">
      <c r="A599" s="183" t="n">
        <f aca="false" ca="false" dt2D="false" dtr="false" t="normal">+A598+1</f>
        <v>577</v>
      </c>
      <c r="B599" s="117" t="n">
        <f aca="false" ca="false" dt2D="false" dtr="false" t="normal">+B597+1</f>
        <v>117</v>
      </c>
      <c r="C599" s="104" t="s">
        <v>111</v>
      </c>
      <c r="D599" s="104" t="s">
        <v>137</v>
      </c>
      <c r="E599" s="105" t="n">
        <v>1976</v>
      </c>
      <c r="F599" s="105" t="n">
        <v>2013</v>
      </c>
      <c r="G599" s="105" t="s">
        <v>68</v>
      </c>
      <c r="H599" s="105" t="n">
        <v>4</v>
      </c>
      <c r="I599" s="105" t="n">
        <v>4</v>
      </c>
      <c r="J599" s="106" t="n">
        <v>2991.3</v>
      </c>
      <c r="K599" s="106" t="n">
        <v>2484.4</v>
      </c>
      <c r="L599" s="106" t="n">
        <v>250.6</v>
      </c>
      <c r="M599" s="107" t="n">
        <v>122</v>
      </c>
      <c r="N599" s="108" t="n">
        <f aca="false" ca="false" dt2D="false" dtr="false" t="normal">SUM(P599:T599)</f>
        <v>29341925.770000003</v>
      </c>
      <c r="O599" s="106" t="n"/>
      <c r="P599" s="113" t="n">
        <v>3677895.94</v>
      </c>
      <c r="Q599" s="114" t="n"/>
      <c r="R599" s="113" t="n">
        <v>1766224.81</v>
      </c>
      <c r="S599" s="113" t="n">
        <v>10344610.64</v>
      </c>
      <c r="T599" s="113" t="n">
        <v>13553194.38</v>
      </c>
      <c r="U599" s="114" t="n">
        <v>11900.8983088749</v>
      </c>
      <c r="V599" s="114" t="n">
        <v>1271.283020064</v>
      </c>
      <c r="W599" s="110" t="n">
        <v>2024</v>
      </c>
      <c r="X599" s="9" t="e">
        <f aca="false" ca="false" dt2D="false" dtr="false" t="normal">+#REF!-'[9]Приложение №1'!$P1137</f>
        <v>#REF!</v>
      </c>
      <c r="Z599" s="113" t="n">
        <f aca="false" ca="false" dt2D="false" dtr="false" t="normal">SUM(AA599:AO599)</f>
        <v>37022548.278852</v>
      </c>
      <c r="AA599" s="106" t="n">
        <v>6531079.89898182</v>
      </c>
      <c r="AB599" s="106" t="n">
        <v>0</v>
      </c>
      <c r="AC599" s="106" t="n">
        <v>0</v>
      </c>
      <c r="AD599" s="106" t="n">
        <v>0</v>
      </c>
      <c r="AE599" s="106" t="n">
        <v>1171020.99</v>
      </c>
      <c r="AF599" s="106" t="n"/>
      <c r="AG599" s="106" t="n">
        <v>0</v>
      </c>
      <c r="AH599" s="106" t="n">
        <v>0</v>
      </c>
      <c r="AI599" s="106" t="n">
        <v>11939807.781027</v>
      </c>
      <c r="AJ599" s="106" t="n">
        <v>0</v>
      </c>
      <c r="AK599" s="106" t="n">
        <v>6199203.47364066</v>
      </c>
      <c r="AL599" s="106" t="n">
        <v>6686566.58272218</v>
      </c>
      <c r="AM599" s="106" t="n">
        <v>3445210.5711</v>
      </c>
      <c r="AN599" s="114" t="n">
        <v>359077.4958</v>
      </c>
      <c r="AO599" s="115" t="n">
        <v>690581.48558034</v>
      </c>
      <c r="AP599" s="112" t="n">
        <f aca="false" ca="false" dt2D="false" dtr="false" t="normal">+N599-'Приложение №2'!E599</f>
        <v>0</v>
      </c>
      <c r="AQ599" s="1" t="n">
        <f aca="false" ca="false" dt2D="false" dtr="false" t="normal">1676530.68-230063.63</f>
        <v>1446467.0499999998</v>
      </c>
      <c r="AR599" s="3" t="n">
        <f aca="false" ca="false" dt2D="false" dtr="false" t="normal">+(K599*10.5+L599*21)*12*0.85</f>
        <v>319757.75999999995</v>
      </c>
      <c r="AS599" s="3" t="n">
        <f aca="false" ca="false" dt2D="false" dtr="false" t="normal">+(K599*10.5+L599*21)*12*30-940957.36</f>
        <v>10344610.64</v>
      </c>
      <c r="AT599" s="9" t="n">
        <f aca="false" ca="false" dt2D="false" dtr="false" t="normal">+S599-AS599</f>
        <v>0</v>
      </c>
      <c r="AU599" s="9" t="e">
        <f aca="false" ca="false" dt2D="false" dtr="false" t="normal">+P599-'[5]Приложение №1'!$P554</f>
        <v>#REF!</v>
      </c>
      <c r="AV599" s="9" t="e">
        <f aca="false" ca="false" dt2D="false" dtr="false" t="normal">+Q599-'[5]Приложение №1'!$Q554</f>
        <v>#REF!</v>
      </c>
      <c r="AW599" s="186" t="n">
        <f aca="false" ca="true" dt2D="false" dtr="false" t="normal">SUBTOTAL(9, AX599:BL599)</f>
        <v>29566591.758568875</v>
      </c>
      <c r="AX599" s="106" t="n">
        <v>6531079.89898182</v>
      </c>
      <c r="AY599" s="106" t="n">
        <v>0</v>
      </c>
      <c r="AZ599" s="106" t="n">
        <v>0</v>
      </c>
      <c r="BA599" s="106" t="n">
        <v>0</v>
      </c>
      <c r="BB599" s="106" t="n"/>
      <c r="BC599" s="106" t="n"/>
      <c r="BD599" s="106" t="n">
        <v>250556.926690272</v>
      </c>
      <c r="BE599" s="106" t="n">
        <v>0</v>
      </c>
      <c r="BF599" s="106" t="n">
        <v>14196898.8484305</v>
      </c>
      <c r="BG599" s="106" t="n">
        <v>0</v>
      </c>
      <c r="BH599" s="106" t="n">
        <v>0</v>
      </c>
      <c r="BI599" s="106" t="n">
        <v>7950585.80699977</v>
      </c>
      <c r="BJ599" s="106" t="n"/>
      <c r="BK599" s="114" t="n"/>
      <c r="BL599" s="115" t="n">
        <v>637470.277466516</v>
      </c>
      <c r="BM599" s="186" t="n">
        <f aca="false" ca="true" dt2D="false" dtr="false" t="normal">SUBTOTAL(9, BN599:CB599)</f>
        <v>29566591.758568875</v>
      </c>
      <c r="BN599" s="106" t="n">
        <v>6531079.89898182</v>
      </c>
      <c r="BO599" s="106" t="n">
        <v>0</v>
      </c>
      <c r="BP599" s="106" t="n">
        <v>0</v>
      </c>
      <c r="BQ599" s="106" t="n">
        <v>0</v>
      </c>
      <c r="BR599" s="106" t="n"/>
      <c r="BS599" s="106" t="n"/>
      <c r="BT599" s="106" t="n">
        <v>250556.926690272</v>
      </c>
      <c r="BU599" s="106" t="n">
        <v>0</v>
      </c>
      <c r="BV599" s="106" t="n">
        <v>14196898.8484305</v>
      </c>
      <c r="BW599" s="106" t="n">
        <v>0</v>
      </c>
      <c r="BX599" s="106" t="n">
        <v>0</v>
      </c>
      <c r="BY599" s="106" t="n">
        <v>7950585.80699977</v>
      </c>
      <c r="BZ599" s="106" t="n"/>
      <c r="CA599" s="114" t="n"/>
      <c r="CB599" s="115" t="n">
        <v>637470.277466516</v>
      </c>
      <c r="CD599" s="116" t="e">
        <f aca="false" ca="false" dt2D="false" dtr="false" t="normal">+#REF!+1</f>
        <v>#REF!</v>
      </c>
      <c r="CE599" s="117" t="e">
        <f aca="false" ca="false" dt2D="false" dtr="false" t="normal">+#REF!+1</f>
        <v>#REF!</v>
      </c>
      <c r="CF599" s="104" t="s">
        <v>111</v>
      </c>
      <c r="CG599" s="117" t="s">
        <v>137</v>
      </c>
      <c r="CH599" s="108" t="n">
        <f aca="false" ca="true" dt2D="false" dtr="false" t="normal">SUBTOTAL(9, CI599:CW599)</f>
        <v>29934724.13</v>
      </c>
      <c r="CI599" s="106" t="n">
        <v>6860405.91</v>
      </c>
      <c r="CJ599" s="114" t="n">
        <v>0</v>
      </c>
      <c r="CK599" s="114" t="n">
        <v>0</v>
      </c>
      <c r="CL599" s="114" t="n">
        <v>0</v>
      </c>
      <c r="CM599" s="114" t="n"/>
      <c r="CN599" s="114" t="n"/>
      <c r="CO599" s="106" t="n"/>
      <c r="CP599" s="114" t="n">
        <v>0</v>
      </c>
      <c r="CQ599" s="114" t="n">
        <v>14196898.85</v>
      </c>
      <c r="CR599" s="114" t="n">
        <v>0</v>
      </c>
      <c r="CS599" s="114" t="n">
        <v>0</v>
      </c>
      <c r="CT599" s="243" t="n">
        <v>8239949.09</v>
      </c>
      <c r="CU599" s="114" t="n"/>
      <c r="CV599" s="114" t="n"/>
      <c r="CW599" s="115" t="n">
        <v>637470.28</v>
      </c>
      <c r="CX599" s="3" t="n">
        <f aca="false" ca="false" dt2D="false" dtr="false" t="normal">+N599-CH599</f>
        <v>-592798.3599999957</v>
      </c>
      <c r="CZ599" s="117" t="s">
        <v>137</v>
      </c>
      <c r="DA599" s="113" t="n">
        <f aca="false" ca="true" dt2D="false" dtr="false" t="normal">SUBTOTAL(9, DB599:DP599)</f>
        <v>29341925.772499997</v>
      </c>
      <c r="DB599" s="106" t="n">
        <v>6860405.91</v>
      </c>
      <c r="DC599" s="114" t="n">
        <v>0</v>
      </c>
      <c r="DD599" s="114" t="n">
        <v>0</v>
      </c>
      <c r="DE599" s="114" t="n">
        <v>0</v>
      </c>
      <c r="DF599" s="114" t="n"/>
      <c r="DG599" s="114" t="n"/>
      <c r="DH599" s="106" t="n"/>
      <c r="DI599" s="114" t="n">
        <v>0</v>
      </c>
      <c r="DJ599" s="114" t="n">
        <v>14196898.85</v>
      </c>
      <c r="DK599" s="114" t="n">
        <v>0</v>
      </c>
      <c r="DL599" s="114" t="n">
        <v>0</v>
      </c>
      <c r="DM599" s="243" t="n">
        <v>8239949.09</v>
      </c>
      <c r="DN599" s="114" t="n"/>
      <c r="DO599" s="114" t="n"/>
      <c r="DP599" s="115" t="n">
        <f aca="false" ca="false" dt2D="false" dtr="false" t="normal">38845.15*1.15</f>
        <v>44671.9225</v>
      </c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</row>
    <row customFormat="true" hidden="false" ht="15" outlineLevel="0" r="600" s="129">
      <c r="A600" s="183" t="n">
        <f aca="false" ca="false" dt2D="false" dtr="false" t="normal">+A599+1</f>
        <v>578</v>
      </c>
      <c r="B600" s="117" t="n">
        <f aca="false" ca="false" dt2D="false" dtr="false" t="normal">+B599+1</f>
        <v>118</v>
      </c>
      <c r="C600" s="104" t="s">
        <v>111</v>
      </c>
      <c r="D600" s="104" t="s">
        <v>346</v>
      </c>
      <c r="E600" s="105" t="s">
        <v>347</v>
      </c>
      <c r="F600" s="105" t="n"/>
      <c r="G600" s="105" t="s">
        <v>68</v>
      </c>
      <c r="H600" s="105" t="s">
        <v>104</v>
      </c>
      <c r="I600" s="105" t="s">
        <v>187</v>
      </c>
      <c r="J600" s="106" t="n">
        <v>4021.68</v>
      </c>
      <c r="K600" s="106" t="n">
        <v>3212.2</v>
      </c>
      <c r="L600" s="106" t="n">
        <v>201.5</v>
      </c>
      <c r="M600" s="107" t="n">
        <v>152</v>
      </c>
      <c r="N600" s="108" t="n">
        <f aca="false" ca="false" dt2D="false" dtr="false" t="normal">SUM(P600:T600)</f>
        <v>4406173.38</v>
      </c>
      <c r="O600" s="106" t="n">
        <v>0</v>
      </c>
      <c r="P600" s="114" t="n"/>
      <c r="Q600" s="114" t="n"/>
      <c r="R600" s="113" t="n">
        <v>387187.92</v>
      </c>
      <c r="S600" s="113" t="n">
        <v>3545041.29</v>
      </c>
      <c r="T600" s="113" t="n">
        <v>473944.17</v>
      </c>
      <c r="U600" s="114" t="n">
        <v>2065.77010036384</v>
      </c>
      <c r="V600" s="114" t="n">
        <v>1274.283020064</v>
      </c>
      <c r="W600" s="110" t="n">
        <v>2024</v>
      </c>
      <c r="X600" s="129" t="n">
        <v>1358102.97</v>
      </c>
      <c r="Y600" s="129" t="n">
        <f aca="false" ca="false" dt2D="false" dtr="false" t="normal">+(K600*9.1+L600*18.19)*12</f>
        <v>394755.66000000003</v>
      </c>
      <c r="AA600" s="130" t="e">
        <f aca="false" ca="false" dt2D="false" dtr="false" t="normal">+N600-'[8]Приложение № 2'!E522</f>
        <v>#REF!</v>
      </c>
      <c r="AD600" s="130" t="e">
        <f aca="false" ca="false" dt2D="false" dtr="false" t="normal">+N600-'[8]Приложение № 2'!E522</f>
        <v>#REF!</v>
      </c>
      <c r="AP600" s="112" t="n">
        <f aca="false" ca="false" dt2D="false" dtr="false" t="normal">+N600-'Приложение №2'!E600</f>
        <v>0</v>
      </c>
      <c r="AQ600" s="121" t="n">
        <f aca="false" ca="false" dt2D="false" dtr="false" t="normal">2065064.66-R258</f>
        <v>-263905.63746779994</v>
      </c>
      <c r="AR600" s="3" t="n">
        <f aca="false" ca="false" dt2D="false" dtr="false" t="normal">+(K600*10.5+L600*21)*12*0.85</f>
        <v>387187.9199999999</v>
      </c>
      <c r="AS600" s="3" t="n">
        <f aca="false" ca="false" dt2D="false" dtr="false" t="normal">+(K600*10.5+L600*21)*12*30-S258</f>
        <v>5449253.898003918</v>
      </c>
      <c r="AT600" s="9" t="n">
        <f aca="false" ca="false" dt2D="false" dtr="false" t="normal">+S600-AS600</f>
        <v>-1904212.608003918</v>
      </c>
      <c r="AU600" s="9" t="e">
        <f aca="false" ca="false" dt2D="false" dtr="false" t="normal">+P600-'[5]Приложение №1'!$P557</f>
        <v>#REF!</v>
      </c>
      <c r="AV600" s="9" t="e">
        <f aca="false" ca="false" dt2D="false" dtr="false" t="normal">+Q600-'[5]Приложение №1'!$Q557</f>
        <v>#REF!</v>
      </c>
      <c r="AW600" s="186" t="n">
        <f aca="false" ca="true" dt2D="false" dtr="false" t="normal">SUBTOTAL(9, AX600:BL600)</f>
        <v>6635666.716388715</v>
      </c>
      <c r="AX600" s="106" t="n"/>
      <c r="AY600" s="106" t="n"/>
      <c r="AZ600" s="106" t="n"/>
      <c r="BA600" s="106" t="n">
        <v>3159390.00484044</v>
      </c>
      <c r="BB600" s="106" t="n">
        <v>1459023.88944373</v>
      </c>
      <c r="BC600" s="106" t="n"/>
      <c r="BD600" s="106" t="n"/>
      <c r="BE600" s="106" t="n">
        <v>0</v>
      </c>
      <c r="BF600" s="106" t="n"/>
      <c r="BG600" s="106" t="n">
        <v>0</v>
      </c>
      <c r="BH600" s="106" t="n">
        <v>0</v>
      </c>
      <c r="BI600" s="106" t="n">
        <v>0</v>
      </c>
      <c r="BJ600" s="106" t="n">
        <v>1231638.8674678</v>
      </c>
      <c r="BK600" s="114" t="n">
        <v>24000</v>
      </c>
      <c r="BL600" s="115" t="n">
        <v>761613.954636745</v>
      </c>
      <c r="BM600" s="186" t="n">
        <f aca="false" ca="true" dt2D="false" dtr="false" t="normal">SUBTOTAL(9, BN600:CB600)</f>
        <v>6635666.716388715</v>
      </c>
      <c r="BN600" s="106" t="n"/>
      <c r="BO600" s="106" t="n"/>
      <c r="BP600" s="106" t="n"/>
      <c r="BQ600" s="106" t="n">
        <v>3159390.00484044</v>
      </c>
      <c r="BR600" s="106" t="n">
        <v>1459023.88944373</v>
      </c>
      <c r="BS600" s="106" t="n"/>
      <c r="BT600" s="106" t="n"/>
      <c r="BU600" s="106" t="n">
        <v>0</v>
      </c>
      <c r="BV600" s="106" t="n"/>
      <c r="BW600" s="106" t="n">
        <v>0</v>
      </c>
      <c r="BX600" s="106" t="n">
        <v>0</v>
      </c>
      <c r="BY600" s="106" t="n">
        <v>0</v>
      </c>
      <c r="BZ600" s="106" t="n">
        <v>1231638.8674678</v>
      </c>
      <c r="CA600" s="114" t="n">
        <v>24000</v>
      </c>
      <c r="CB600" s="115" t="n">
        <v>761613.954636745</v>
      </c>
      <c r="CD600" s="116" t="e">
        <f aca="false" ca="false" dt2D="false" dtr="false" t="normal">+CD599+1</f>
        <v>#REF!</v>
      </c>
      <c r="CE600" s="117" t="e">
        <f aca="false" ca="false" dt2D="false" dtr="false" t="normal">+CE599+1</f>
        <v>#REF!</v>
      </c>
      <c r="CF600" s="104" t="s">
        <v>111</v>
      </c>
      <c r="CG600" s="117" t="s">
        <v>346</v>
      </c>
      <c r="CH600" s="108" t="n">
        <f aca="false" ca="true" dt2D="false" dtr="false" t="normal">SUBTOTAL(9, CI600:CW600)</f>
        <v>5167787.33</v>
      </c>
      <c r="CI600" s="106" t="n"/>
      <c r="CJ600" s="114" t="n"/>
      <c r="CK600" s="114" t="n"/>
      <c r="CL600" s="114" t="n">
        <v>2954683.2</v>
      </c>
      <c r="CM600" s="114" t="n">
        <v>1451490.18</v>
      </c>
      <c r="CN600" s="114" t="n"/>
      <c r="CO600" s="106" t="n"/>
      <c r="CP600" s="114" t="n">
        <v>0</v>
      </c>
      <c r="CQ600" s="114" t="n"/>
      <c r="CR600" s="114" t="n">
        <v>0</v>
      </c>
      <c r="CS600" s="114" t="n">
        <v>0</v>
      </c>
      <c r="CT600" s="114" t="n">
        <v>0</v>
      </c>
      <c r="CU600" s="114" t="n"/>
      <c r="CV600" s="114" t="n"/>
      <c r="CW600" s="115" t="n">
        <v>761613.95</v>
      </c>
      <c r="CX600" s="3" t="n">
        <f aca="false" ca="false" dt2D="false" dtr="false" t="normal">+N600-CH600</f>
        <v>-761613.9500000002</v>
      </c>
      <c r="CZ600" s="117" t="s">
        <v>346</v>
      </c>
      <c r="DA600" s="113" t="n">
        <f aca="false" ca="true" dt2D="false" dtr="false" t="normal">SUBTOTAL(9, DB600:DP600)</f>
        <v>4406173.38</v>
      </c>
      <c r="DB600" s="106" t="n"/>
      <c r="DC600" s="114" t="n"/>
      <c r="DD600" s="114" t="n"/>
      <c r="DE600" s="114" t="n">
        <v>2954683.2</v>
      </c>
      <c r="DF600" s="114" t="n">
        <v>1451490.18</v>
      </c>
      <c r="DG600" s="114" t="n"/>
      <c r="DH600" s="106" t="n"/>
      <c r="DI600" s="114" t="n">
        <v>0</v>
      </c>
      <c r="DJ600" s="114" t="n"/>
      <c r="DK600" s="114" t="n">
        <v>0</v>
      </c>
      <c r="DL600" s="114" t="n">
        <v>0</v>
      </c>
      <c r="DM600" s="114" t="n">
        <v>0</v>
      </c>
      <c r="DN600" s="241" t="n"/>
      <c r="DO600" s="241" t="n"/>
      <c r="DP600" s="240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</row>
    <row customFormat="true" hidden="false" ht="15" outlineLevel="0" r="601" s="1">
      <c r="A601" s="183" t="n">
        <f aca="false" ca="false" dt2D="false" dtr="false" t="normal">+A600+1</f>
        <v>579</v>
      </c>
      <c r="B601" s="117" t="n">
        <f aca="false" ca="false" dt2D="false" dtr="false" t="normal">+B600+1</f>
        <v>119</v>
      </c>
      <c r="C601" s="104" t="s">
        <v>111</v>
      </c>
      <c r="D601" s="104" t="s">
        <v>348</v>
      </c>
      <c r="E601" s="105" t="n">
        <v>1974</v>
      </c>
      <c r="F601" s="105" t="n">
        <v>2012</v>
      </c>
      <c r="G601" s="105" t="s">
        <v>68</v>
      </c>
      <c r="H601" s="105" t="n">
        <v>4</v>
      </c>
      <c r="I601" s="105" t="n">
        <v>4</v>
      </c>
      <c r="J601" s="106" t="n">
        <v>3917</v>
      </c>
      <c r="K601" s="106" t="n">
        <v>3431.9</v>
      </c>
      <c r="L601" s="106" t="n">
        <v>0</v>
      </c>
      <c r="M601" s="107" t="n">
        <v>163</v>
      </c>
      <c r="N601" s="108" t="n">
        <f aca="false" ca="false" dt2D="false" dtr="false" t="normal">SUM(P601:T601)</f>
        <v>1683109.2000000002</v>
      </c>
      <c r="O601" s="106" t="n"/>
      <c r="P601" s="114" t="n"/>
      <c r="Q601" s="114" t="n"/>
      <c r="R601" s="113" t="n">
        <v>308170.89</v>
      </c>
      <c r="S601" s="113" t="n">
        <v>1374938.31</v>
      </c>
      <c r="T601" s="114" t="n"/>
      <c r="U601" s="114" t="n">
        <v>1224.82451707789</v>
      </c>
      <c r="V601" s="114" t="n">
        <v>1275.283020064</v>
      </c>
      <c r="W601" s="110" t="n">
        <v>2024</v>
      </c>
      <c r="X601" s="9" t="e">
        <f aca="false" ca="false" dt2D="false" dtr="false" t="normal">+#REF!-'[9]Приложение №1'!$P657</f>
        <v>#REF!</v>
      </c>
      <c r="Z601" s="113" t="n">
        <f aca="false" ca="false" dt2D="false" dtr="false" t="normal">SUM(AA601:AO601)</f>
        <v>9641868.17</v>
      </c>
      <c r="AA601" s="106" t="n">
        <v>0</v>
      </c>
      <c r="AB601" s="106" t="n">
        <v>0</v>
      </c>
      <c r="AC601" s="106" t="n">
        <v>0</v>
      </c>
      <c r="AD601" s="106" t="n">
        <v>0</v>
      </c>
      <c r="AE601" s="106" t="n">
        <v>0</v>
      </c>
      <c r="AF601" s="106" t="n"/>
      <c r="AG601" s="106" t="n">
        <v>0</v>
      </c>
      <c r="AH601" s="106" t="n">
        <v>0</v>
      </c>
      <c r="AI601" s="106" t="n">
        <v>0</v>
      </c>
      <c r="AJ601" s="106" t="n">
        <v>0</v>
      </c>
      <c r="AK601" s="106" t="n">
        <v>0</v>
      </c>
      <c r="AL601" s="106" t="n">
        <v>8397623.65013418</v>
      </c>
      <c r="AM601" s="106" t="n">
        <v>964186.817</v>
      </c>
      <c r="AN601" s="114" t="n">
        <v>96418.6817</v>
      </c>
      <c r="AO601" s="115" t="n">
        <v>183639.02116582</v>
      </c>
      <c r="AP601" s="112" t="n">
        <f aca="false" ca="false" dt2D="false" dtr="false" t="normal">+N601-'Приложение №2'!E601</f>
        <v>0</v>
      </c>
      <c r="AQ601" s="121" t="n">
        <f aca="false" ca="false" dt2D="false" dtr="false" t="normal">2029704.09-R259</f>
        <v>-858693.05</v>
      </c>
      <c r="AR601" s="3" t="n">
        <f aca="false" ca="false" dt2D="false" dtr="false" t="normal">+(K601*10.5+L601*21)*12*0.85</f>
        <v>367556.49</v>
      </c>
      <c r="AS601" s="3" t="n">
        <f aca="false" ca="false" dt2D="false" dtr="false" t="normal">+(K601*10.5+L601*21)*12*30-S259</f>
        <v>6209314.94</v>
      </c>
      <c r="AT601" s="9" t="n">
        <f aca="false" ca="false" dt2D="false" dtr="false" t="normal">+S601-AS601</f>
        <v>-4834376.630000001</v>
      </c>
      <c r="AU601" s="9" t="e">
        <f aca="false" ca="false" dt2D="false" dtr="false" t="normal">+P601-'[5]Приложение №1'!$P558</f>
        <v>#REF!</v>
      </c>
      <c r="AV601" s="9" t="e">
        <f aca="false" ca="false" dt2D="false" dtr="false" t="normal">+Q601-'[5]Приложение №1'!$Q558</f>
        <v>#REF!</v>
      </c>
      <c r="AW601" s="186" t="n">
        <f aca="false" ca="true" dt2D="false" dtr="false" t="normal">SUBTOTAL(9, AX601:BL601)</f>
        <v>4203475.260159601</v>
      </c>
      <c r="AX601" s="106" t="n"/>
      <c r="AY601" s="106" t="n"/>
      <c r="AZ601" s="106" t="n"/>
      <c r="BA601" s="106" t="n"/>
      <c r="BB601" s="106" t="n">
        <v>1373738.52</v>
      </c>
      <c r="BC601" s="106" t="n"/>
      <c r="BD601" s="106" t="n"/>
      <c r="BE601" s="106" t="n">
        <v>0</v>
      </c>
      <c r="BF601" s="106" t="n">
        <v>0</v>
      </c>
      <c r="BG601" s="106" t="n">
        <v>0</v>
      </c>
      <c r="BH601" s="106" t="n">
        <v>0</v>
      </c>
      <c r="BI601" s="106" t="n">
        <v>0</v>
      </c>
      <c r="BJ601" s="106" t="n">
        <v>2241354.12896392</v>
      </c>
      <c r="BK601" s="114" t="n">
        <v>204049.1212581</v>
      </c>
      <c r="BL601" s="115" t="n">
        <v>384333.489937582</v>
      </c>
      <c r="BM601" s="186" t="n">
        <f aca="false" ca="true" dt2D="false" dtr="false" t="normal">SUBTOTAL(9, BN601:CB601)</f>
        <v>4203475.260159601</v>
      </c>
      <c r="BN601" s="106" t="n"/>
      <c r="BO601" s="106" t="n"/>
      <c r="BP601" s="106" t="n"/>
      <c r="BQ601" s="106" t="n"/>
      <c r="BR601" s="106" t="n">
        <v>1373738.52</v>
      </c>
      <c r="BS601" s="106" t="n"/>
      <c r="BT601" s="106" t="n"/>
      <c r="BU601" s="106" t="n">
        <v>0</v>
      </c>
      <c r="BV601" s="106" t="n">
        <v>0</v>
      </c>
      <c r="BW601" s="106" t="n">
        <v>0</v>
      </c>
      <c r="BX601" s="106" t="n">
        <v>0</v>
      </c>
      <c r="BY601" s="106" t="n">
        <v>0</v>
      </c>
      <c r="BZ601" s="106" t="n">
        <v>2241354.12896392</v>
      </c>
      <c r="CA601" s="114" t="n">
        <v>204049.1212581</v>
      </c>
      <c r="CB601" s="115" t="n">
        <v>384333.489937582</v>
      </c>
      <c r="CD601" s="116" t="e">
        <f aca="false" ca="false" dt2D="false" dtr="false" t="normal">+CD600+1</f>
        <v>#REF!</v>
      </c>
      <c r="CE601" s="117" t="e">
        <f aca="false" ca="false" dt2D="false" dtr="false" t="normal">+CE600+1</f>
        <v>#REF!</v>
      </c>
      <c r="CF601" s="104" t="s">
        <v>111</v>
      </c>
      <c r="CG601" s="117" t="s">
        <v>348</v>
      </c>
      <c r="CH601" s="108" t="n">
        <f aca="false" ca="true" dt2D="false" dtr="false" t="normal">SUBTOTAL(9, CI601:CW601)</f>
        <v>2067442.69</v>
      </c>
      <c r="CI601" s="106" t="n"/>
      <c r="CJ601" s="114" t="n"/>
      <c r="CK601" s="114" t="n"/>
      <c r="CL601" s="114" t="n"/>
      <c r="CM601" s="114" t="n">
        <v>1683109.2</v>
      </c>
      <c r="CN601" s="114" t="n"/>
      <c r="CO601" s="106" t="n"/>
      <c r="CP601" s="114" t="n">
        <v>0</v>
      </c>
      <c r="CQ601" s="114" t="n">
        <v>0</v>
      </c>
      <c r="CR601" s="114" t="n">
        <v>0</v>
      </c>
      <c r="CS601" s="114" t="n">
        <v>0</v>
      </c>
      <c r="CT601" s="114" t="n">
        <v>0</v>
      </c>
      <c r="CU601" s="114" t="n"/>
      <c r="CV601" s="114" t="n"/>
      <c r="CW601" s="115" t="n">
        <v>384333.49</v>
      </c>
      <c r="CX601" s="3" t="n">
        <f aca="false" ca="false" dt2D="false" dtr="false" t="normal">+N601-CH601</f>
        <v>-384333.48999999976</v>
      </c>
      <c r="CZ601" s="117" t="s">
        <v>348</v>
      </c>
      <c r="DA601" s="113" t="n">
        <f aca="false" ca="true" dt2D="false" dtr="false" t="normal">SUBTOTAL(9, DB601:DP601)</f>
        <v>1683109.2</v>
      </c>
      <c r="DB601" s="106" t="n"/>
      <c r="DC601" s="114" t="n"/>
      <c r="DD601" s="114" t="n"/>
      <c r="DE601" s="114" t="n"/>
      <c r="DF601" s="114" t="n">
        <v>1683109.2</v>
      </c>
      <c r="DG601" s="114" t="n"/>
      <c r="DH601" s="106" t="n"/>
      <c r="DI601" s="114" t="n">
        <v>0</v>
      </c>
      <c r="DJ601" s="114" t="n">
        <v>0</v>
      </c>
      <c r="DK601" s="114" t="n">
        <v>0</v>
      </c>
      <c r="DL601" s="114" t="n">
        <v>0</v>
      </c>
      <c r="DM601" s="114" t="n">
        <v>0</v>
      </c>
      <c r="DN601" s="241" t="n"/>
      <c r="DO601" s="241" t="n"/>
      <c r="DP601" s="240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</row>
    <row customFormat="true" hidden="false" ht="15" outlineLevel="0" r="602" s="129">
      <c r="A602" s="183" t="n">
        <f aca="false" ca="false" dt2D="false" dtr="false" t="normal">+A601+1</f>
        <v>580</v>
      </c>
      <c r="B602" s="117" t="n">
        <f aca="false" ca="false" dt2D="false" dtr="false" t="normal">+B601+1</f>
        <v>120</v>
      </c>
      <c r="C602" s="104" t="s">
        <v>111</v>
      </c>
      <c r="D602" s="104" t="s">
        <v>602</v>
      </c>
      <c r="E602" s="105" t="s">
        <v>377</v>
      </c>
      <c r="F602" s="105" t="n"/>
      <c r="G602" s="105" t="s">
        <v>68</v>
      </c>
      <c r="H602" s="105" t="s">
        <v>187</v>
      </c>
      <c r="I602" s="105" t="s">
        <v>187</v>
      </c>
      <c r="J602" s="106" t="n">
        <v>3131.3</v>
      </c>
      <c r="K602" s="106" t="n">
        <v>2721.1</v>
      </c>
      <c r="L602" s="106" t="n">
        <v>64.9</v>
      </c>
      <c r="M602" s="107" t="n">
        <v>111</v>
      </c>
      <c r="N602" s="108" t="n">
        <f aca="false" ca="false" dt2D="false" dtr="false" t="normal">SUM(P602:T602)</f>
        <v>31642003.71</v>
      </c>
      <c r="O602" s="106" t="n">
        <v>0</v>
      </c>
      <c r="P602" s="113" t="n">
        <v>9849338.16</v>
      </c>
      <c r="Q602" s="114" t="n"/>
      <c r="R602" s="113" t="n">
        <v>2024960.92</v>
      </c>
      <c r="S602" s="113" t="n">
        <v>10776402</v>
      </c>
      <c r="T602" s="113" t="n">
        <v>8991302.63</v>
      </c>
      <c r="U602" s="114" t="n">
        <v>13452.1822694802</v>
      </c>
      <c r="V602" s="114" t="n">
        <v>1276.283020064</v>
      </c>
      <c r="W602" s="110" t="n">
        <v>2024</v>
      </c>
      <c r="X602" s="129" t="n">
        <v>1106960.28</v>
      </c>
      <c r="Y602" s="129" t="n">
        <f aca="false" ca="false" dt2D="false" dtr="false" t="normal">+(K602*9.1+L602*18.19)*12</f>
        <v>311310.49199999997</v>
      </c>
      <c r="AA602" s="130" t="e">
        <f aca="false" ca="false" dt2D="false" dtr="false" t="normal">+N602-'[8]Приложение № 2'!E524</f>
        <v>#REF!</v>
      </c>
      <c r="AD602" s="130" t="e">
        <f aca="false" ca="false" dt2D="false" dtr="false" t="normal">+N602-'[8]Приложение № 2'!E524</f>
        <v>#REF!</v>
      </c>
      <c r="AP602" s="112" t="n">
        <f aca="false" ca="false" dt2D="false" dtr="false" t="normal">+N602-'Приложение №2'!E602</f>
        <v>0</v>
      </c>
      <c r="AQ602" s="121" t="n">
        <v>1719629.52</v>
      </c>
      <c r="AR602" s="3" t="n">
        <f aca="false" ca="false" dt2D="false" dtr="false" t="normal">+(K602*10.5+L602*21)*12*0.85</f>
        <v>305331.39</v>
      </c>
      <c r="AS602" s="3" t="n">
        <f aca="false" ca="false" dt2D="false" dtr="false" t="normal">+(K602*10.5+L602*21)*12*30</f>
        <v>10776402</v>
      </c>
      <c r="AT602" s="9" t="n">
        <f aca="false" ca="false" dt2D="false" dtr="false" t="normal">+S602-AS602</f>
        <v>0</v>
      </c>
      <c r="AU602" s="9" t="e">
        <f aca="false" ca="false" dt2D="false" dtr="false" t="normal">+P602-'[5]Приложение №1'!$P559</f>
        <v>#REF!</v>
      </c>
      <c r="AV602" s="9" t="e">
        <f aca="false" ca="false" dt2D="false" dtr="false" t="normal">+Q602-'[5]Приложение №1'!$Q559</f>
        <v>#REF!</v>
      </c>
      <c r="AW602" s="186" t="n">
        <f aca="false" ca="true" dt2D="false" dtr="false" t="normal">SUBTOTAL(9, AX602:BL602)</f>
        <v>36604733.17348261</v>
      </c>
      <c r="AX602" s="106" t="n"/>
      <c r="AY602" s="106" t="n">
        <v>2569498.16661747</v>
      </c>
      <c r="AZ602" s="106" t="n">
        <v>2781035.59826779</v>
      </c>
      <c r="BA602" s="106" t="n">
        <v>1702285.74585747</v>
      </c>
      <c r="BB602" s="106" t="n">
        <v>1236504.55666671</v>
      </c>
      <c r="BC602" s="106" t="n"/>
      <c r="BD602" s="106" t="n"/>
      <c r="BE602" s="106" t="n"/>
      <c r="BF602" s="106" t="n"/>
      <c r="BG602" s="106" t="n"/>
      <c r="BH602" s="106" t="n">
        <v>19117612.313415</v>
      </c>
      <c r="BI602" s="106" t="n">
        <v>7647211.05653022</v>
      </c>
      <c r="BJ602" s="106" t="n">
        <v>1005086.03524081</v>
      </c>
      <c r="BK602" s="114" t="n">
        <v>44175.9789672</v>
      </c>
      <c r="BL602" s="115" t="n">
        <v>501323.721919949</v>
      </c>
      <c r="BM602" s="186" t="n">
        <f aca="false" ca="true" dt2D="false" dtr="false" t="normal">SUBTOTAL(9, BN602:CB602)</f>
        <v>36604733.17348261</v>
      </c>
      <c r="BN602" s="106" t="n"/>
      <c r="BO602" s="106" t="n">
        <v>2569498.16661747</v>
      </c>
      <c r="BP602" s="106" t="n">
        <v>2781035.59826779</v>
      </c>
      <c r="BQ602" s="106" t="n">
        <v>1702285.74585747</v>
      </c>
      <c r="BR602" s="106" t="n">
        <v>1236504.55666671</v>
      </c>
      <c r="BS602" s="106" t="n"/>
      <c r="BT602" s="106" t="n"/>
      <c r="BU602" s="106" t="n"/>
      <c r="BV602" s="106" t="n"/>
      <c r="BW602" s="106" t="n"/>
      <c r="BX602" s="106" t="n">
        <v>19117612.313415</v>
      </c>
      <c r="BY602" s="106" t="n">
        <v>7647211.05653022</v>
      </c>
      <c r="BZ602" s="106" t="n">
        <v>1005086.03524081</v>
      </c>
      <c r="CA602" s="114" t="n">
        <v>44175.9789672</v>
      </c>
      <c r="CB602" s="115" t="n">
        <v>501323.721919949</v>
      </c>
      <c r="CD602" s="116" t="e">
        <f aca="false" ca="false" dt2D="false" dtr="false" t="normal">+CD601+1</f>
        <v>#REF!</v>
      </c>
      <c r="CE602" s="117" t="e">
        <f aca="false" ca="false" dt2D="false" dtr="false" t="normal">+CE601+1</f>
        <v>#REF!</v>
      </c>
      <c r="CF602" s="104" t="s">
        <v>111</v>
      </c>
      <c r="CG602" s="117" t="s">
        <v>602</v>
      </c>
      <c r="CH602" s="108" t="n">
        <f aca="false" ca="true" dt2D="false" dtr="false" t="normal">SUBTOTAL(9, CI602:CW602)</f>
        <v>32143327.43</v>
      </c>
      <c r="CI602" s="106" t="n"/>
      <c r="CJ602" s="114" t="n">
        <v>2569498.17</v>
      </c>
      <c r="CK602" s="243" t="n">
        <v>1525309.8</v>
      </c>
      <c r="CL602" s="114" t="n">
        <v>1702285.75</v>
      </c>
      <c r="CM602" s="114" t="n">
        <v>1315142.4</v>
      </c>
      <c r="CN602" s="114" t="n"/>
      <c r="CO602" s="106" t="n"/>
      <c r="CP602" s="114" t="n"/>
      <c r="CQ602" s="114" t="n"/>
      <c r="CR602" s="114" t="n"/>
      <c r="CS602" s="243" t="n">
        <v>16575676.34</v>
      </c>
      <c r="CT602" s="243" t="n">
        <v>7954091.25</v>
      </c>
      <c r="CU602" s="114" t="n"/>
      <c r="CV602" s="114" t="n"/>
      <c r="CW602" s="115" t="n">
        <v>501323.72</v>
      </c>
      <c r="CX602" s="3" t="n">
        <f aca="false" ca="false" dt2D="false" dtr="false" t="normal">+N602-CH602</f>
        <v>-501323.7199999988</v>
      </c>
      <c r="CZ602" s="117" t="s">
        <v>602</v>
      </c>
      <c r="DA602" s="113" t="n">
        <f aca="false" ca="true" dt2D="false" dtr="false" t="normal">SUBTOTAL(9, DB602:DP602)</f>
        <v>31642003.71</v>
      </c>
      <c r="DB602" s="106" t="n"/>
      <c r="DC602" s="114" t="n">
        <v>2569498.17</v>
      </c>
      <c r="DD602" s="243" t="n">
        <v>1525309.8</v>
      </c>
      <c r="DE602" s="114" t="n">
        <v>1702285.75</v>
      </c>
      <c r="DF602" s="114" t="n">
        <v>1315142.4</v>
      </c>
      <c r="DG602" s="114" t="n"/>
      <c r="DH602" s="106" t="n"/>
      <c r="DI602" s="114" t="n"/>
      <c r="DJ602" s="114" t="n"/>
      <c r="DK602" s="114" t="n"/>
      <c r="DL602" s="243" t="n">
        <v>16575676.34</v>
      </c>
      <c r="DM602" s="243" t="n">
        <v>7954091.25</v>
      </c>
      <c r="DN602" s="241" t="n"/>
      <c r="DO602" s="241" t="n"/>
      <c r="DP602" s="240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</row>
    <row customFormat="true" hidden="false" ht="15" outlineLevel="0" r="603" s="1">
      <c r="A603" s="183" t="n">
        <f aca="false" ca="false" dt2D="false" dtr="false" t="normal">+A602+1</f>
        <v>581</v>
      </c>
      <c r="B603" s="117" t="n">
        <f aca="false" ca="false" dt2D="false" dtr="false" t="normal">+B602+1</f>
        <v>121</v>
      </c>
      <c r="C603" s="104" t="s">
        <v>111</v>
      </c>
      <c r="D603" s="104" t="s">
        <v>603</v>
      </c>
      <c r="E603" s="105" t="n">
        <v>1978</v>
      </c>
      <c r="F603" s="105" t="n">
        <v>2012</v>
      </c>
      <c r="G603" s="105" t="s">
        <v>68</v>
      </c>
      <c r="H603" s="105" t="n">
        <v>4</v>
      </c>
      <c r="I603" s="105" t="n">
        <v>6</v>
      </c>
      <c r="J603" s="106" t="n">
        <v>5689.4</v>
      </c>
      <c r="K603" s="106" t="n">
        <v>4976.8</v>
      </c>
      <c r="L603" s="106" t="n">
        <v>71.5</v>
      </c>
      <c r="M603" s="107" t="n">
        <v>227</v>
      </c>
      <c r="N603" s="108" t="n">
        <f aca="false" ca="false" dt2D="false" dtr="false" t="normal">SUM(P603:T603)</f>
        <v>2414991.26</v>
      </c>
      <c r="O603" s="106" t="n"/>
      <c r="P603" s="114" t="n"/>
      <c r="Q603" s="114" t="n"/>
      <c r="R603" s="113" t="n">
        <v>2028592.66</v>
      </c>
      <c r="S603" s="114" t="n"/>
      <c r="T603" s="114" t="n">
        <v>386398.6</v>
      </c>
      <c r="U603" s="114" t="n">
        <v>414.39664453665</v>
      </c>
      <c r="V603" s="114" t="n">
        <v>1265.283020064</v>
      </c>
      <c r="W603" s="110" t="n">
        <v>2024</v>
      </c>
      <c r="X603" s="9" t="e">
        <f aca="false" ca="false" dt2D="false" dtr="false" t="normal">+#REF!-'[9]Приложение №1'!$P651</f>
        <v>#REF!</v>
      </c>
      <c r="Z603" s="113" t="n">
        <f aca="false" ca="false" dt2D="false" dtr="false" t="normal">SUM(AA603:AO603)</f>
        <v>2287454.9999999995</v>
      </c>
      <c r="AA603" s="106" t="n">
        <v>0</v>
      </c>
      <c r="AB603" s="106" t="n">
        <v>0</v>
      </c>
      <c r="AC603" s="106" t="n">
        <v>0</v>
      </c>
      <c r="AD603" s="106" t="n">
        <v>0</v>
      </c>
      <c r="AE603" s="106" t="n">
        <v>1544567.38947</v>
      </c>
      <c r="AF603" s="106" t="n"/>
      <c r="AG603" s="106" t="n">
        <v>0</v>
      </c>
      <c r="AH603" s="106" t="n">
        <v>0</v>
      </c>
      <c r="AI603" s="106" t="n">
        <v>0</v>
      </c>
      <c r="AJ603" s="106" t="n">
        <v>0</v>
      </c>
      <c r="AK603" s="106" t="n">
        <v>0</v>
      </c>
      <c r="AL603" s="106" t="n">
        <v>0</v>
      </c>
      <c r="AM603" s="106" t="n">
        <v>686236.5</v>
      </c>
      <c r="AN603" s="114" t="n">
        <v>22874.55</v>
      </c>
      <c r="AO603" s="115" t="n">
        <v>33776.56053</v>
      </c>
      <c r="AP603" s="112" t="n">
        <f aca="false" ca="false" dt2D="false" dtr="false" t="normal">+N603-'Приложение №2'!E603</f>
        <v>0</v>
      </c>
      <c r="AQ603" s="121" t="n">
        <v>3083043.07</v>
      </c>
      <c r="AR603" s="3" t="n">
        <f aca="false" ca="false" dt2D="false" dtr="false" t="normal">+(K603*10.5+L603*21)*12*0.85</f>
        <v>548330.5800000001</v>
      </c>
      <c r="AS603" s="3" t="n">
        <f aca="false" ca="false" dt2D="false" dtr="false" t="normal">+(K603*10.5+L603*21)*12*30</f>
        <v>19352844</v>
      </c>
      <c r="AT603" s="9" t="n">
        <f aca="false" ca="false" dt2D="false" dtr="false" t="normal">+S603-AS603</f>
        <v>-19352844</v>
      </c>
      <c r="AU603" s="9" t="e">
        <f aca="false" ca="false" dt2D="false" dtr="false" t="normal">+P603-'[5]Приложение №1'!$P548</f>
        <v>#REF!</v>
      </c>
      <c r="AV603" s="9" t="e">
        <f aca="false" ca="false" dt2D="false" dtr="false" t="normal">+Q603-'[5]Приложение №1'!$Q548</f>
        <v>#REF!</v>
      </c>
      <c r="AW603" s="186" t="n">
        <f aca="false" ca="true" dt2D="false" dtr="false" t="normal">SUBTOTAL(9, AX603:BL603)</f>
        <v>2062369.2205299998</v>
      </c>
      <c r="AX603" s="106" t="n">
        <v>0</v>
      </c>
      <c r="AY603" s="106" t="n">
        <v>0</v>
      </c>
      <c r="AZ603" s="106" t="n">
        <v>0</v>
      </c>
      <c r="BA603" s="106" t="n">
        <v>0</v>
      </c>
      <c r="BB603" s="106" t="n">
        <v>2028592.66</v>
      </c>
      <c r="BC603" s="106" t="n"/>
      <c r="BD603" s="106" t="n"/>
      <c r="BE603" s="106" t="n">
        <v>0</v>
      </c>
      <c r="BF603" s="106" t="n">
        <v>0</v>
      </c>
      <c r="BG603" s="106" t="n">
        <v>0</v>
      </c>
      <c r="BH603" s="106" t="n">
        <v>0</v>
      </c>
      <c r="BI603" s="106" t="n">
        <v>0</v>
      </c>
      <c r="BJ603" s="106" t="n"/>
      <c r="BK603" s="114" t="n"/>
      <c r="BL603" s="115" t="n">
        <v>33776.56053</v>
      </c>
      <c r="BM603" s="186" t="n">
        <f aca="false" ca="true" dt2D="false" dtr="false" t="normal">SUBTOTAL(9, BN603:CB603)</f>
        <v>2062369.2205299998</v>
      </c>
      <c r="BN603" s="106" t="n">
        <v>0</v>
      </c>
      <c r="BO603" s="106" t="n">
        <v>0</v>
      </c>
      <c r="BP603" s="106" t="n">
        <v>0</v>
      </c>
      <c r="BQ603" s="106" t="n">
        <v>0</v>
      </c>
      <c r="BR603" s="106" t="n">
        <v>2028592.66</v>
      </c>
      <c r="BS603" s="106" t="n"/>
      <c r="BT603" s="106" t="n"/>
      <c r="BU603" s="106" t="n">
        <v>0</v>
      </c>
      <c r="BV603" s="106" t="n">
        <v>0</v>
      </c>
      <c r="BW603" s="106" t="n">
        <v>0</v>
      </c>
      <c r="BX603" s="106" t="n">
        <v>0</v>
      </c>
      <c r="BY603" s="106" t="n">
        <v>0</v>
      </c>
      <c r="BZ603" s="106" t="n"/>
      <c r="CA603" s="114" t="n"/>
      <c r="CB603" s="115" t="n">
        <v>33776.56053</v>
      </c>
      <c r="CD603" s="116" t="e">
        <f aca="false" ca="false" dt2D="false" dtr="false" t="normal">+CD602+1</f>
        <v>#REF!</v>
      </c>
      <c r="CE603" s="117" t="e">
        <f aca="false" ca="false" dt2D="false" dtr="false" t="normal">+CE602+1</f>
        <v>#REF!</v>
      </c>
      <c r="CF603" s="104" t="s">
        <v>111</v>
      </c>
      <c r="CG603" s="117" t="s">
        <v>603</v>
      </c>
      <c r="CH603" s="108" t="n">
        <f aca="false" ca="true" dt2D="false" dtr="false" t="normal">SUBTOTAL(9, CI603:CW603)</f>
        <v>2448767.82</v>
      </c>
      <c r="CI603" s="106" t="n">
        <v>0</v>
      </c>
      <c r="CJ603" s="114" t="n">
        <v>0</v>
      </c>
      <c r="CK603" s="114" t="n">
        <v>0</v>
      </c>
      <c r="CL603" s="114" t="n">
        <v>0</v>
      </c>
      <c r="CM603" s="114" t="n">
        <v>2414991.26</v>
      </c>
      <c r="CN603" s="114" t="n"/>
      <c r="CO603" s="106" t="n"/>
      <c r="CP603" s="114" t="n">
        <v>0</v>
      </c>
      <c r="CQ603" s="114" t="n">
        <v>0</v>
      </c>
      <c r="CR603" s="114" t="n">
        <v>0</v>
      </c>
      <c r="CS603" s="114" t="n">
        <v>0</v>
      </c>
      <c r="CT603" s="114" t="n">
        <v>0</v>
      </c>
      <c r="CU603" s="114" t="n"/>
      <c r="CV603" s="114" t="n"/>
      <c r="CW603" s="115" t="n">
        <v>33776.56</v>
      </c>
      <c r="CX603" s="3" t="n">
        <f aca="false" ca="false" dt2D="false" dtr="false" t="normal">+N603-CH603</f>
        <v>-33776.560000000056</v>
      </c>
      <c r="CZ603" s="117" t="s">
        <v>603</v>
      </c>
      <c r="DA603" s="113" t="n">
        <f aca="false" ca="true" dt2D="false" dtr="false" t="normal">SUBTOTAL(9, DB603:DP603)</f>
        <v>2414991.26</v>
      </c>
      <c r="DB603" s="106" t="n">
        <v>0</v>
      </c>
      <c r="DC603" s="114" t="n">
        <v>0</v>
      </c>
      <c r="DD603" s="114" t="n">
        <v>0</v>
      </c>
      <c r="DE603" s="114" t="n">
        <v>0</v>
      </c>
      <c r="DF603" s="114" t="n">
        <v>2414991.26</v>
      </c>
      <c r="DG603" s="114" t="n"/>
      <c r="DH603" s="106" t="n"/>
      <c r="DI603" s="114" t="n">
        <v>0</v>
      </c>
      <c r="DJ603" s="114" t="n">
        <v>0</v>
      </c>
      <c r="DK603" s="114" t="n">
        <v>0</v>
      </c>
      <c r="DL603" s="114" t="n">
        <v>0</v>
      </c>
      <c r="DM603" s="114" t="n">
        <v>0</v>
      </c>
      <c r="DN603" s="114" t="n"/>
      <c r="DO603" s="114" t="n"/>
      <c r="DP603" s="240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</row>
    <row customFormat="true" hidden="false" ht="15" outlineLevel="0" r="604" s="1">
      <c r="A604" s="183" t="n">
        <f aca="false" ca="false" dt2D="false" dtr="false" t="normal">+A603+1</f>
        <v>582</v>
      </c>
      <c r="B604" s="117" t="n">
        <f aca="false" ca="false" dt2D="false" dtr="false" t="normal">+B603+1</f>
        <v>122</v>
      </c>
      <c r="C604" s="104" t="s">
        <v>111</v>
      </c>
      <c r="D604" s="104" t="s">
        <v>339</v>
      </c>
      <c r="E604" s="105" t="n">
        <v>1974</v>
      </c>
      <c r="F604" s="105" t="n">
        <v>2013</v>
      </c>
      <c r="G604" s="105" t="s">
        <v>68</v>
      </c>
      <c r="H604" s="105" t="n">
        <v>4</v>
      </c>
      <c r="I604" s="105" t="n">
        <v>4</v>
      </c>
      <c r="J604" s="106" t="n">
        <v>4783.36</v>
      </c>
      <c r="K604" s="106" t="n">
        <v>3510.2</v>
      </c>
      <c r="L604" s="106" t="n">
        <v>0</v>
      </c>
      <c r="M604" s="107" t="n">
        <v>164</v>
      </c>
      <c r="N604" s="108" t="n">
        <f aca="false" ca="false" dt2D="false" dtr="false" t="normal">SUM(P604:T604)</f>
        <v>8433375.37</v>
      </c>
      <c r="O604" s="106" t="n"/>
      <c r="P604" s="114" t="n"/>
      <c r="Q604" s="114" t="n"/>
      <c r="R604" s="113" t="n">
        <v>1563311.82</v>
      </c>
      <c r="S604" s="113" t="n">
        <v>6870063.55</v>
      </c>
      <c r="T604" s="114" t="n"/>
      <c r="U604" s="114" t="n">
        <v>2481.17463703493</v>
      </c>
      <c r="V604" s="114" t="n">
        <v>1266.283020064</v>
      </c>
      <c r="W604" s="110" t="n">
        <v>2024</v>
      </c>
      <c r="X604" s="9" t="e">
        <f aca="false" ca="false" dt2D="false" dtr="false" t="normal">+#REF!-'[9]Приложение №1'!$P1133</f>
        <v>#REF!</v>
      </c>
      <c r="Z604" s="113" t="n">
        <f aca="false" ca="false" dt2D="false" dtr="false" t="normal">SUM(AA604:AO604)</f>
        <v>10786909.54642</v>
      </c>
      <c r="AA604" s="106" t="n">
        <v>0</v>
      </c>
      <c r="AB604" s="106" t="n">
        <v>0</v>
      </c>
      <c r="AC604" s="106" t="n">
        <v>0</v>
      </c>
      <c r="AD604" s="106" t="n">
        <v>0</v>
      </c>
      <c r="AE604" s="106" t="n">
        <v>1314097.4</v>
      </c>
      <c r="AF604" s="106" t="n"/>
      <c r="AG604" s="106" t="n">
        <v>0</v>
      </c>
      <c r="AH604" s="106" t="n">
        <v>0</v>
      </c>
      <c r="AI604" s="106" t="n">
        <v>0</v>
      </c>
      <c r="AJ604" s="106" t="n">
        <v>0</v>
      </c>
      <c r="AK604" s="106" t="n">
        <v>0</v>
      </c>
      <c r="AL604" s="106" t="n">
        <v>8060676.2652087</v>
      </c>
      <c r="AM604" s="106" t="n">
        <v>1135899.355</v>
      </c>
      <c r="AN604" s="114" t="n">
        <v>95049.9655</v>
      </c>
      <c r="AO604" s="115" t="n">
        <v>181186.5607113</v>
      </c>
      <c r="AP604" s="112" t="n">
        <f aca="false" ca="false" dt2D="false" dtr="false" t="normal">+N604-'Приложение №2'!E604</f>
        <v>0</v>
      </c>
      <c r="AQ604" s="9" t="n">
        <f aca="false" ca="false" dt2D="false" dtr="false" t="normal">2096998.22-R253</f>
        <v>1475402.5699999998</v>
      </c>
      <c r="AR604" s="3" t="n">
        <f aca="false" ca="false" dt2D="false" dtr="false" t="normal">+(K604*10.5+L604*21)*12*0.85</f>
        <v>375942.4199999999</v>
      </c>
      <c r="AS604" s="3" t="n">
        <f aca="false" ca="false" dt2D="false" dtr="false" t="normal">+(K604*10.5+L604*21)*12*30</f>
        <v>13268555.999999998</v>
      </c>
      <c r="AT604" s="9" t="n">
        <f aca="false" ca="false" dt2D="false" dtr="false" t="normal">+S604-AS604</f>
        <v>-6398492.449999998</v>
      </c>
      <c r="AU604" s="9" t="e">
        <f aca="false" ca="false" dt2D="false" dtr="false" t="normal">+P604-'[5]Приложение №1'!$P549</f>
        <v>#REF!</v>
      </c>
      <c r="AV604" s="9" t="e">
        <f aca="false" ca="false" dt2D="false" dtr="false" t="normal">+Q604-'[5]Приложение №1'!$Q549</f>
        <v>#REF!</v>
      </c>
      <c r="AW604" s="186" t="n">
        <f aca="false" ca="true" dt2D="false" dtr="false" t="normal">SUBTOTAL(9, AX604:BL604)</f>
        <v>8709419.210919999</v>
      </c>
      <c r="AX604" s="106" t="n">
        <v>0</v>
      </c>
      <c r="AY604" s="106" t="n">
        <v>0</v>
      </c>
      <c r="AZ604" s="106" t="n">
        <v>0</v>
      </c>
      <c r="BA604" s="106" t="n">
        <v>0</v>
      </c>
      <c r="BB604" s="106" t="n"/>
      <c r="BC604" s="106" t="n"/>
      <c r="BD604" s="106" t="n"/>
      <c r="BE604" s="106" t="n"/>
      <c r="BF604" s="106" t="n"/>
      <c r="BG604" s="106" t="n"/>
      <c r="BH604" s="106" t="n"/>
      <c r="BI604" s="106" t="n">
        <v>8518226.9435697</v>
      </c>
      <c r="BJ604" s="106" t="n"/>
      <c r="BK604" s="114" t="n"/>
      <c r="BL604" s="115" t="n">
        <v>191192.2673503</v>
      </c>
      <c r="BM604" s="186" t="n">
        <f aca="false" ca="true" dt2D="false" dtr="false" t="normal">SUBTOTAL(9, BN604:CB604)</f>
        <v>8709419.210919999</v>
      </c>
      <c r="BN604" s="106" t="n">
        <v>0</v>
      </c>
      <c r="BO604" s="106" t="n">
        <v>0</v>
      </c>
      <c r="BP604" s="106" t="n">
        <v>0</v>
      </c>
      <c r="BQ604" s="106" t="n">
        <v>0</v>
      </c>
      <c r="BR604" s="106" t="n"/>
      <c r="BS604" s="106" t="n"/>
      <c r="BT604" s="106" t="n"/>
      <c r="BU604" s="106" t="n"/>
      <c r="BV604" s="106" t="n"/>
      <c r="BW604" s="106" t="n"/>
      <c r="BX604" s="106" t="n"/>
      <c r="BY604" s="106" t="n">
        <v>8518226.9435697</v>
      </c>
      <c r="BZ604" s="106" t="n"/>
      <c r="CA604" s="114" t="n"/>
      <c r="CB604" s="115" t="n">
        <v>191192.2673503</v>
      </c>
      <c r="CD604" s="116" t="e">
        <f aca="false" ca="false" dt2D="false" dtr="false" t="normal">+CD603+1</f>
        <v>#REF!</v>
      </c>
      <c r="CE604" s="117" t="e">
        <f aca="false" ca="false" dt2D="false" dtr="false" t="normal">+CE603+1</f>
        <v>#REF!</v>
      </c>
      <c r="CF604" s="104" t="s">
        <v>111</v>
      </c>
      <c r="CG604" s="117" t="s">
        <v>339</v>
      </c>
      <c r="CH604" s="108" t="n">
        <f aca="false" ca="true" dt2D="false" dtr="false" t="normal">SUBTOTAL(9, CI604:CW604)</f>
        <v>8624567.639999999</v>
      </c>
      <c r="CI604" s="106" t="n">
        <v>0</v>
      </c>
      <c r="CJ604" s="114" t="n">
        <v>0</v>
      </c>
      <c r="CK604" s="114" t="n">
        <v>0</v>
      </c>
      <c r="CL604" s="114" t="n">
        <v>0</v>
      </c>
      <c r="CM604" s="114" t="n"/>
      <c r="CN604" s="114" t="n"/>
      <c r="CO604" s="106" t="n"/>
      <c r="CP604" s="114" t="n"/>
      <c r="CQ604" s="114" t="n"/>
      <c r="CR604" s="114" t="n"/>
      <c r="CS604" s="114" t="n"/>
      <c r="CT604" s="114" t="n">
        <v>8433375.37</v>
      </c>
      <c r="CU604" s="114" t="n"/>
      <c r="CV604" s="114" t="n"/>
      <c r="CW604" s="115" t="n">
        <v>191192.27</v>
      </c>
      <c r="CX604" s="3" t="n">
        <f aca="false" ca="false" dt2D="false" dtr="false" t="normal">+N604-CH604</f>
        <v>-191192.26999999955</v>
      </c>
      <c r="CZ604" s="117" t="s">
        <v>339</v>
      </c>
      <c r="DA604" s="113" t="n">
        <f aca="false" ca="true" dt2D="false" dtr="false" t="normal">SUBTOTAL(9, DB604:DP604)</f>
        <v>8433375.37</v>
      </c>
      <c r="DB604" s="106" t="n">
        <v>0</v>
      </c>
      <c r="DC604" s="114" t="n">
        <v>0</v>
      </c>
      <c r="DD604" s="114" t="n">
        <v>0</v>
      </c>
      <c r="DE604" s="114" t="n">
        <v>0</v>
      </c>
      <c r="DF604" s="114" t="n"/>
      <c r="DG604" s="114" t="n"/>
      <c r="DH604" s="106" t="n"/>
      <c r="DI604" s="114" t="n"/>
      <c r="DJ604" s="114" t="n"/>
      <c r="DK604" s="114" t="n"/>
      <c r="DL604" s="114" t="n"/>
      <c r="DM604" s="114" t="n">
        <v>8433375.37</v>
      </c>
      <c r="DN604" s="241" t="n"/>
      <c r="DO604" s="241" t="n"/>
      <c r="DP604" s="240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</row>
    <row customFormat="true" hidden="false" ht="15" outlineLevel="0" r="605" s="129">
      <c r="A605" s="183" t="n">
        <f aca="false" ca="false" dt2D="false" dtr="false" t="normal">+A604+1</f>
        <v>583</v>
      </c>
      <c r="B605" s="117" t="n">
        <f aca="false" ca="false" dt2D="false" dtr="false" t="normal">+B604+1</f>
        <v>123</v>
      </c>
      <c r="C605" s="104" t="s">
        <v>111</v>
      </c>
      <c r="D605" s="104" t="s">
        <v>604</v>
      </c>
      <c r="E605" s="105" t="s">
        <v>345</v>
      </c>
      <c r="F605" s="105" t="n"/>
      <c r="G605" s="105" t="s">
        <v>68</v>
      </c>
      <c r="H605" s="105" t="s">
        <v>187</v>
      </c>
      <c r="I605" s="105" t="s">
        <v>188</v>
      </c>
      <c r="J605" s="106" t="n">
        <v>5658.4</v>
      </c>
      <c r="K605" s="106" t="n">
        <v>4959.9</v>
      </c>
      <c r="L605" s="106" t="n">
        <v>0</v>
      </c>
      <c r="M605" s="107" t="n">
        <v>203</v>
      </c>
      <c r="N605" s="108" t="n">
        <f aca="false" ca="false" dt2D="false" dtr="false" t="normal">SUM(P605:T605)</f>
        <v>5179834.09</v>
      </c>
      <c r="O605" s="106" t="n">
        <v>0</v>
      </c>
      <c r="P605" s="114" t="n"/>
      <c r="Q605" s="114" t="n"/>
      <c r="R605" s="113" t="n">
        <v>2406511.95</v>
      </c>
      <c r="S605" s="113" t="n">
        <v>2773322.14</v>
      </c>
      <c r="T605" s="114" t="n"/>
      <c r="U605" s="106" t="n">
        <v>1100.71499223775</v>
      </c>
      <c r="V605" s="106" t="n">
        <v>1100.71499223775</v>
      </c>
      <c r="W605" s="110" t="n">
        <v>2024</v>
      </c>
      <c r="X605" s="129" t="n">
        <v>1826494.26</v>
      </c>
      <c r="Y605" s="129" t="n">
        <f aca="false" ca="false" dt2D="false" dtr="false" t="normal">+(K605*9.1+L605*18.19)*12</f>
        <v>541621.08</v>
      </c>
      <c r="AA605" s="130" t="e">
        <f aca="false" ca="false" dt2D="false" dtr="false" t="normal">+N605-'[8]Приложение № 2'!E260</f>
        <v>#REF!</v>
      </c>
      <c r="AD605" s="130" t="e">
        <f aca="false" ca="false" dt2D="false" dtr="false" t="normal">+N605-'[8]Приложение № 2'!E260</f>
        <v>#REF!</v>
      </c>
      <c r="AP605" s="112" t="n">
        <f aca="false" ca="false" dt2D="false" dtr="false" t="normal">+N605-'Приложение №2'!E605</f>
        <v>0</v>
      </c>
      <c r="AQ605" s="129" t="n">
        <f aca="false" ca="false" dt2D="false" dtr="false" t="normal">2320931.87-204954.46</f>
        <v>2115977.41</v>
      </c>
      <c r="AR605" s="3" t="n">
        <f aca="false" ca="false" dt2D="false" dtr="false" t="normal">+(K605*10+L605*20)*12*0.85</f>
        <v>505909.8</v>
      </c>
      <c r="AS605" s="3" t="n">
        <f aca="false" ca="false" dt2D="false" dtr="false" t="normal">+(K605*10+L605*20)*12*30-70591.75</f>
        <v>17785048.25</v>
      </c>
      <c r="AT605" s="9" t="n">
        <f aca="false" ca="false" dt2D="false" dtr="false" t="normal">+S605-AS605</f>
        <v>-15011726.11</v>
      </c>
      <c r="AU605" s="9" t="e">
        <f aca="false" ca="false" dt2D="false" dtr="false" t="normal">+P605-'[5]Приложение №1'!$P272</f>
        <v>#REF!</v>
      </c>
      <c r="AV605" s="9" t="e">
        <f aca="false" ca="false" dt2D="false" dtr="false" t="normal">+Q605-'[5]Приложение №1'!$Q272</f>
        <v>#REF!</v>
      </c>
      <c r="AW605" s="113" t="n">
        <f aca="false" ca="true" dt2D="false" dtr="false" t="normal">SUBTOTAL(9, AX605:BL605)</f>
        <v>5459436.289999998</v>
      </c>
      <c r="AX605" s="106" t="n"/>
      <c r="AY605" s="106" t="n">
        <v>5131838.11971792</v>
      </c>
      <c r="AZ605" s="106" t="n"/>
      <c r="BA605" s="106" t="n"/>
      <c r="BB605" s="106" t="n"/>
      <c r="BC605" s="106" t="n"/>
      <c r="BD605" s="106" t="n"/>
      <c r="BE605" s="106" t="n"/>
      <c r="BF605" s="106" t="n"/>
      <c r="BG605" s="106" t="n"/>
      <c r="BH605" s="106" t="n"/>
      <c r="BI605" s="106" t="n"/>
      <c r="BJ605" s="106" t="n">
        <v>191375.2643328</v>
      </c>
      <c r="BK605" s="114" t="n">
        <v>24000</v>
      </c>
      <c r="BL605" s="187" t="n">
        <v>112222.905949278</v>
      </c>
      <c r="BM605" s="113" t="n">
        <f aca="false" ca="true" dt2D="false" dtr="false" t="normal">SUBTOTAL(9, BN605:CB605)</f>
        <v>5459436.289999998</v>
      </c>
      <c r="BN605" s="106" t="n"/>
      <c r="BO605" s="106" t="n">
        <v>5131838.11971792</v>
      </c>
      <c r="BP605" s="106" t="n"/>
      <c r="BQ605" s="106" t="n"/>
      <c r="BR605" s="106" t="n"/>
      <c r="BS605" s="106" t="n"/>
      <c r="BT605" s="106" t="n"/>
      <c r="BU605" s="106" t="n"/>
      <c r="BV605" s="106" t="n"/>
      <c r="BW605" s="106" t="n"/>
      <c r="BX605" s="106" t="n"/>
      <c r="BY605" s="106" t="n"/>
      <c r="BZ605" s="106" t="n">
        <v>191375.2643328</v>
      </c>
      <c r="CA605" s="114" t="n">
        <v>24000</v>
      </c>
      <c r="CB605" s="115" t="n">
        <v>112222.905949278</v>
      </c>
      <c r="CD605" s="116" t="e">
        <f aca="false" ca="false" dt2D="false" dtr="false" t="normal">+CD604+1</f>
        <v>#REF!</v>
      </c>
      <c r="CE605" s="117" t="e">
        <f aca="false" ca="false" dt2D="false" dtr="false" t="normal">+CE604+1</f>
        <v>#REF!</v>
      </c>
      <c r="CF605" s="104" t="s">
        <v>111</v>
      </c>
      <c r="CG605" s="117" t="s">
        <v>604</v>
      </c>
      <c r="CH605" s="108" t="n">
        <f aca="false" ca="true" dt2D="false" dtr="false" t="normal">SUBTOTAL(9, CI605:CW605)</f>
        <v>5244061.03</v>
      </c>
      <c r="CI605" s="106" t="n"/>
      <c r="CJ605" s="114" t="n">
        <v>5131838.12</v>
      </c>
      <c r="CK605" s="114" t="n"/>
      <c r="CL605" s="114" t="n"/>
      <c r="CM605" s="114" t="n"/>
      <c r="CN605" s="114" t="n"/>
      <c r="CO605" s="106" t="n"/>
      <c r="CP605" s="114" t="n"/>
      <c r="CQ605" s="114" t="n"/>
      <c r="CR605" s="114" t="n"/>
      <c r="CS605" s="114" t="n"/>
      <c r="CT605" s="114" t="n"/>
      <c r="CU605" s="114" t="n"/>
      <c r="CV605" s="114" t="n"/>
      <c r="CW605" s="115" t="n">
        <v>112222.91</v>
      </c>
      <c r="CX605" s="3" t="n">
        <f aca="false" ca="false" dt2D="false" dtr="false" t="normal">+N605-CH605</f>
        <v>-64226.94000000041</v>
      </c>
      <c r="CZ605" s="117" t="s">
        <v>604</v>
      </c>
      <c r="DA605" s="113" t="n">
        <f aca="false" ca="true" dt2D="false" dtr="false" t="normal">SUBTOTAL(9, DB605:DP605)</f>
        <v>5179834.0945</v>
      </c>
      <c r="DB605" s="106" t="n"/>
      <c r="DC605" s="114" t="n">
        <v>5131838.12</v>
      </c>
      <c r="DD605" s="114" t="n"/>
      <c r="DE605" s="114" t="n"/>
      <c r="DF605" s="114" t="n"/>
      <c r="DG605" s="114" t="n"/>
      <c r="DH605" s="106" t="n"/>
      <c r="DI605" s="114" t="n"/>
      <c r="DJ605" s="114" t="n"/>
      <c r="DK605" s="114" t="n"/>
      <c r="DL605" s="114" t="n"/>
      <c r="DM605" s="114" t="n"/>
      <c r="DN605" s="241" t="n"/>
      <c r="DO605" s="241" t="n"/>
      <c r="DP605" s="115" t="n">
        <f aca="false" ca="false" dt2D="false" dtr="false" t="normal">41735.63*1.15</f>
        <v>47995.9745</v>
      </c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</row>
    <row customFormat="true" hidden="false" ht="15" outlineLevel="0" r="606" s="129">
      <c r="A606" s="183" t="n">
        <f aca="false" ca="false" dt2D="false" dtr="false" t="normal">+A605+1</f>
        <v>584</v>
      </c>
      <c r="B606" s="117" t="n">
        <f aca="false" ca="false" dt2D="false" dtr="false" t="normal">+B605+1</f>
        <v>124</v>
      </c>
      <c r="C606" s="104" t="s">
        <v>111</v>
      </c>
      <c r="D606" s="104" t="s">
        <v>605</v>
      </c>
      <c r="E606" s="105" t="s">
        <v>384</v>
      </c>
      <c r="F606" s="105" t="n"/>
      <c r="G606" s="105" t="s">
        <v>68</v>
      </c>
      <c r="H606" s="105" t="s">
        <v>187</v>
      </c>
      <c r="I606" s="105" t="s">
        <v>187</v>
      </c>
      <c r="J606" s="106" t="n">
        <v>4040.3</v>
      </c>
      <c r="K606" s="106" t="n">
        <v>3442.7</v>
      </c>
      <c r="L606" s="106" t="n">
        <v>0</v>
      </c>
      <c r="M606" s="107" t="n">
        <v>150</v>
      </c>
      <c r="N606" s="108" t="n">
        <f aca="false" ca="false" dt2D="false" dtr="false" t="normal">SUM(P606:T606)</f>
        <v>3601436.59</v>
      </c>
      <c r="O606" s="106" t="n">
        <v>0</v>
      </c>
      <c r="P606" s="114" t="n"/>
      <c r="Q606" s="114" t="n"/>
      <c r="R606" s="113" t="n">
        <v>1891518.82</v>
      </c>
      <c r="S606" s="113" t="n">
        <v>1709917.77</v>
      </c>
      <c r="T606" s="190" t="n"/>
      <c r="U606" s="106" t="n">
        <v>1115.80506869608</v>
      </c>
      <c r="V606" s="106" t="n">
        <v>1115.80506869608</v>
      </c>
      <c r="W606" s="110" t="n">
        <v>2024</v>
      </c>
      <c r="X606" s="129" t="n">
        <v>1285748.18</v>
      </c>
      <c r="Y606" s="129" t="n">
        <f aca="false" ca="false" dt2D="false" dtr="false" t="normal">+(K606*9.1+L606*18.19)*12</f>
        <v>375942.83999999997</v>
      </c>
      <c r="AA606" s="130" t="e">
        <f aca="false" ca="false" dt2D="false" dtr="false" t="normal">+N606-'[8]Приложение № 2'!E261</f>
        <v>#REF!</v>
      </c>
      <c r="AD606" s="130" t="e">
        <f aca="false" ca="false" dt2D="false" dtr="false" t="normal">+N606-'[8]Приложение № 2'!E261</f>
        <v>#REF!</v>
      </c>
      <c r="AP606" s="112" t="n">
        <f aca="false" ca="false" dt2D="false" dtr="false" t="normal">+N606-'Приложение №2'!E606</f>
        <v>0</v>
      </c>
      <c r="AQ606" s="129" t="n">
        <v>1614741.25</v>
      </c>
      <c r="AR606" s="3" t="n">
        <f aca="false" ca="false" dt2D="false" dtr="false" t="normal">+(K606*10+L606*20)*12*0.85</f>
        <v>351155.39999999997</v>
      </c>
      <c r="AS606" s="3" t="n">
        <f aca="false" ca="false" dt2D="false" dtr="false" t="normal">+(K606*10+L606*20)*12*30</f>
        <v>12393720</v>
      </c>
      <c r="AT606" s="9" t="n">
        <f aca="false" ca="false" dt2D="false" dtr="false" t="normal">+S606-AS606</f>
        <v>-10683802.23</v>
      </c>
      <c r="AU606" s="9" t="e">
        <f aca="false" ca="false" dt2D="false" dtr="false" t="normal">+P606-'[5]Приложение №1'!$P273</f>
        <v>#REF!</v>
      </c>
      <c r="AV606" s="9" t="e">
        <f aca="false" ca="false" dt2D="false" dtr="false" t="normal">+Q606-'[5]Приложение №1'!$Q273</f>
        <v>#REF!</v>
      </c>
      <c r="AW606" s="113" t="n">
        <f aca="false" ca="true" dt2D="false" dtr="false" t="normal">SUBTOTAL(9, AX606:BL606)</f>
        <v>3841382.1100000027</v>
      </c>
      <c r="AX606" s="106" t="n"/>
      <c r="AY606" s="106" t="n">
        <v>3569615.44623607</v>
      </c>
      <c r="AZ606" s="106" t="n"/>
      <c r="BA606" s="106" t="n"/>
      <c r="BB606" s="106" t="n"/>
      <c r="BC606" s="106" t="n"/>
      <c r="BD606" s="106" t="n"/>
      <c r="BE606" s="106" t="n"/>
      <c r="BF606" s="106" t="n"/>
      <c r="BG606" s="106" t="n"/>
      <c r="BH606" s="106" t="n"/>
      <c r="BI606" s="106" t="n"/>
      <c r="BJ606" s="106" t="n">
        <v>169706.403648</v>
      </c>
      <c r="BK606" s="114" t="n">
        <v>24000</v>
      </c>
      <c r="BL606" s="187" t="n">
        <v>78060.2601159328</v>
      </c>
      <c r="BM606" s="113" t="n">
        <f aca="false" ca="true" dt2D="false" dtr="false" t="normal">SUBTOTAL(9, BN606:CB606)</f>
        <v>3841382.1100000027</v>
      </c>
      <c r="BN606" s="106" t="n"/>
      <c r="BO606" s="106" t="n">
        <v>3569615.44623607</v>
      </c>
      <c r="BP606" s="106" t="n"/>
      <c r="BQ606" s="106" t="n"/>
      <c r="BR606" s="106" t="n"/>
      <c r="BS606" s="106" t="n"/>
      <c r="BT606" s="106" t="n"/>
      <c r="BU606" s="106" t="n"/>
      <c r="BV606" s="106" t="n"/>
      <c r="BW606" s="106" t="n"/>
      <c r="BX606" s="106" t="n"/>
      <c r="BY606" s="106" t="n"/>
      <c r="BZ606" s="106" t="n">
        <v>169706.403648</v>
      </c>
      <c r="CA606" s="114" t="n">
        <v>24000</v>
      </c>
      <c r="CB606" s="115" t="n">
        <v>78060.2601159328</v>
      </c>
      <c r="CD606" s="116" t="e">
        <f aca="false" ca="false" dt2D="false" dtr="false" t="normal">+CD605+1</f>
        <v>#REF!</v>
      </c>
      <c r="CE606" s="117" t="e">
        <f aca="false" ca="false" dt2D="false" dtr="false" t="normal">+CE605+1</f>
        <v>#REF!</v>
      </c>
      <c r="CF606" s="104" t="s">
        <v>111</v>
      </c>
      <c r="CG606" s="117" t="s">
        <v>605</v>
      </c>
      <c r="CH606" s="108" t="n">
        <f aca="false" ca="true" dt2D="false" dtr="false" t="normal">SUBTOTAL(9, CI606:CW606)</f>
        <v>3647675.71</v>
      </c>
      <c r="CI606" s="106" t="n"/>
      <c r="CJ606" s="114" t="n">
        <v>3569615.45</v>
      </c>
      <c r="CK606" s="114" t="n"/>
      <c r="CL606" s="114" t="n"/>
      <c r="CM606" s="114" t="n"/>
      <c r="CN606" s="114" t="n"/>
      <c r="CO606" s="106" t="n"/>
      <c r="CP606" s="114" t="n"/>
      <c r="CQ606" s="114" t="n"/>
      <c r="CR606" s="114" t="n"/>
      <c r="CS606" s="114" t="n"/>
      <c r="CT606" s="114" t="n"/>
      <c r="CU606" s="114" t="n"/>
      <c r="CV606" s="114" t="n"/>
      <c r="CW606" s="115" t="n">
        <v>78060.26</v>
      </c>
      <c r="CX606" s="3" t="n">
        <f aca="false" ca="false" dt2D="false" dtr="false" t="normal">+N606-CH606</f>
        <v>-46239.12000000011</v>
      </c>
      <c r="CZ606" s="117" t="s">
        <v>605</v>
      </c>
      <c r="DA606" s="113" t="n">
        <f aca="false" ca="true" dt2D="false" dtr="false" t="normal">SUBTOTAL(9, DB606:DP606)</f>
        <v>3601436.594</v>
      </c>
      <c r="DB606" s="106" t="n"/>
      <c r="DC606" s="114" t="n">
        <v>3569615.45</v>
      </c>
      <c r="DD606" s="114" t="n"/>
      <c r="DE606" s="114" t="n"/>
      <c r="DF606" s="114" t="n"/>
      <c r="DG606" s="114" t="n"/>
      <c r="DH606" s="106" t="n"/>
      <c r="DI606" s="114" t="n"/>
      <c r="DJ606" s="114" t="n"/>
      <c r="DK606" s="114" t="n"/>
      <c r="DL606" s="114" t="n"/>
      <c r="DM606" s="114" t="n"/>
      <c r="DN606" s="241" t="n"/>
      <c r="DO606" s="241" t="n"/>
      <c r="DP606" s="115" t="n">
        <f aca="false" ca="false" dt2D="false" dtr="false" t="normal">27670.56*1.15</f>
        <v>31821.144</v>
      </c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</row>
    <row customFormat="true" hidden="false" ht="15" outlineLevel="0" r="607" s="129">
      <c r="A607" s="183" t="n">
        <f aca="false" ca="false" dt2D="false" dtr="false" t="normal">+A606+1</f>
        <v>585</v>
      </c>
      <c r="B607" s="117" t="n">
        <f aca="false" ca="false" dt2D="false" dtr="false" t="normal">+B606+1</f>
        <v>125</v>
      </c>
      <c r="C607" s="104" t="s">
        <v>111</v>
      </c>
      <c r="D607" s="104" t="s">
        <v>340</v>
      </c>
      <c r="E607" s="105" t="s">
        <v>341</v>
      </c>
      <c r="F607" s="105" t="n"/>
      <c r="G607" s="105" t="s">
        <v>68</v>
      </c>
      <c r="H607" s="105" t="s">
        <v>187</v>
      </c>
      <c r="I607" s="105" t="s">
        <v>105</v>
      </c>
      <c r="J607" s="106" t="n">
        <v>1276.4</v>
      </c>
      <c r="K607" s="106" t="n">
        <v>1181.5</v>
      </c>
      <c r="L607" s="106" t="n">
        <v>48.4</v>
      </c>
      <c r="M607" s="107" t="n">
        <v>69</v>
      </c>
      <c r="N607" s="108" t="n">
        <f aca="false" ca="false" dt2D="false" dtr="false" t="normal">SUM(P607:T607)</f>
        <v>20598753.58</v>
      </c>
      <c r="O607" s="106" t="n">
        <v>0</v>
      </c>
      <c r="P607" s="114" t="n">
        <v>5964081.29</v>
      </c>
      <c r="Q607" s="114" t="n"/>
      <c r="R607" s="113" t="n">
        <v>136905.93</v>
      </c>
      <c r="S607" s="113" t="n">
        <v>1910141.83</v>
      </c>
      <c r="T607" s="113" t="n">
        <v>12587624.53</v>
      </c>
      <c r="U607" s="114" t="n">
        <v>16969.400865557</v>
      </c>
      <c r="V607" s="114" t="n">
        <v>1267.283020064</v>
      </c>
      <c r="W607" s="110" t="n">
        <v>2024</v>
      </c>
      <c r="X607" s="129" t="n">
        <v>424539.75</v>
      </c>
      <c r="Y607" s="129" t="n">
        <f aca="false" ca="false" dt2D="false" dtr="false" t="normal">+(K607*9.1+L607*18.19)*12</f>
        <v>139584.552</v>
      </c>
      <c r="AA607" s="130" t="e">
        <f aca="false" ca="false" dt2D="false" dtr="false" t="normal">+N607-'[8]Приложение № 2'!E515</f>
        <v>#REF!</v>
      </c>
      <c r="AD607" s="130" t="e">
        <f aca="false" ca="false" dt2D="false" dtr="false" t="normal">+N607-'[8]Приложение № 2'!E515</f>
        <v>#REF!</v>
      </c>
      <c r="AP607" s="112" t="n">
        <f aca="false" ca="false" dt2D="false" dtr="false" t="normal">+N607-'Приложение №2'!E607</f>
        <v>0</v>
      </c>
      <c r="AQ607" s="121" t="n">
        <f aca="false" ca="false" dt2D="false" dtr="false" t="normal">687944.89-R254</f>
        <v>86065.48106337106</v>
      </c>
      <c r="AR607" s="3" t="n">
        <f aca="false" ca="false" dt2D="false" dtr="false" t="normal">+(K607*10.5+L607*21)*12*0.85</f>
        <v>136905.93</v>
      </c>
      <c r="AS607" s="3" t="n">
        <f aca="false" ca="false" dt2D="false" dtr="false" t="normal">+(K607*10.5+L607*21)*12*30-S254</f>
        <v>1872891.22077185</v>
      </c>
      <c r="AT607" s="9" t="n">
        <f aca="false" ca="false" dt2D="false" dtr="false" t="normal">+S607-AS607</f>
        <v>37250.60922814999</v>
      </c>
      <c r="AU607" s="9" t="e">
        <f aca="false" ca="false" dt2D="false" dtr="false" t="normal">+P607-'[5]Приложение №1'!$P550</f>
        <v>#REF!</v>
      </c>
      <c r="AV607" s="9" t="e">
        <f aca="false" ca="false" dt2D="false" dtr="false" t="normal">+Q607-'[5]Приложение №1'!$Q550</f>
        <v>#REF!</v>
      </c>
      <c r="AW607" s="186" t="n">
        <f aca="false" ca="true" dt2D="false" dtr="false" t="normal">SUBTOTAL(9, AX607:BL607)</f>
        <v>20049347.12265561</v>
      </c>
      <c r="AX607" s="106" t="n">
        <v>3048488.28203636</v>
      </c>
      <c r="AY607" s="106" t="n">
        <v>1412219.9147629</v>
      </c>
      <c r="AZ607" s="106" t="n"/>
      <c r="BA607" s="106" t="n">
        <v>1138276.28876388</v>
      </c>
      <c r="BB607" s="106" t="n">
        <v>498007.812552476</v>
      </c>
      <c r="BC607" s="106" t="n"/>
      <c r="BD607" s="106" t="n">
        <v>112672.747399037</v>
      </c>
      <c r="BE607" s="106" t="n">
        <v>0</v>
      </c>
      <c r="BF607" s="106" t="n"/>
      <c r="BG607" s="106" t="n">
        <v>0</v>
      </c>
      <c r="BH607" s="106" t="n">
        <v>8439609.25494225</v>
      </c>
      <c r="BI607" s="106" t="n">
        <v>3575292.68154626</v>
      </c>
      <c r="BJ607" s="106" t="n">
        <v>1430573.48171582</v>
      </c>
      <c r="BK607" s="114" t="n"/>
      <c r="BL607" s="115" t="n">
        <v>394206.658936629</v>
      </c>
      <c r="BM607" s="186" t="n">
        <f aca="false" ca="true" dt2D="false" dtr="false" t="normal">SUBTOTAL(9, BN607:CB607)</f>
        <v>20049347.12265561</v>
      </c>
      <c r="BN607" s="106" t="n">
        <v>3048488.28203636</v>
      </c>
      <c r="BO607" s="106" t="n">
        <v>1412219.9147629</v>
      </c>
      <c r="BP607" s="106" t="n"/>
      <c r="BQ607" s="106" t="n">
        <v>1138276.28876388</v>
      </c>
      <c r="BR607" s="106" t="n">
        <v>498007.812552476</v>
      </c>
      <c r="BS607" s="106" t="n"/>
      <c r="BT607" s="106" t="n">
        <v>112672.747399037</v>
      </c>
      <c r="BU607" s="106" t="n">
        <v>0</v>
      </c>
      <c r="BV607" s="106" t="n"/>
      <c r="BW607" s="106" t="n">
        <v>0</v>
      </c>
      <c r="BX607" s="106" t="n">
        <v>8439609.25494225</v>
      </c>
      <c r="BY607" s="106" t="n">
        <v>3575292.68154626</v>
      </c>
      <c r="BZ607" s="106" t="n">
        <v>1430573.48171582</v>
      </c>
      <c r="CA607" s="114" t="n"/>
      <c r="CB607" s="115" t="n">
        <v>394206.658936629</v>
      </c>
      <c r="CD607" s="116" t="e">
        <f aca="false" ca="false" dt2D="false" dtr="false" t="normal">+CD606+1</f>
        <v>#REF!</v>
      </c>
      <c r="CE607" s="117" t="e">
        <f aca="false" ca="false" dt2D="false" dtr="false" t="normal">+CE606+1</f>
        <v>#REF!</v>
      </c>
      <c r="CF607" s="104" t="s">
        <v>111</v>
      </c>
      <c r="CG607" s="117" t="s">
        <v>340</v>
      </c>
      <c r="CH607" s="108" t="n">
        <f aca="false" ca="true" dt2D="false" dtr="false" t="normal">SUBTOTAL(9, CI607:CW607)</f>
        <v>20992960.24</v>
      </c>
      <c r="CI607" s="106" t="n">
        <v>3048488.28</v>
      </c>
      <c r="CJ607" s="114" t="n">
        <v>2451339</v>
      </c>
      <c r="CK607" s="114" t="n"/>
      <c r="CL607" s="114" t="n">
        <v>1193990.27</v>
      </c>
      <c r="CM607" s="114" t="n">
        <v>498007.81</v>
      </c>
      <c r="CN607" s="114" t="n"/>
      <c r="CO607" s="106" t="n"/>
      <c r="CP607" s="114" t="n">
        <v>0</v>
      </c>
      <c r="CQ607" s="114" t="n"/>
      <c r="CR607" s="114" t="n">
        <v>0</v>
      </c>
      <c r="CS607" s="243" t="n">
        <v>9428594.13</v>
      </c>
      <c r="CT607" s="114" t="n">
        <v>3978334.09</v>
      </c>
      <c r="CU607" s="114" t="n"/>
      <c r="CV607" s="114" t="n"/>
      <c r="CW607" s="115" t="n">
        <v>394206.66</v>
      </c>
      <c r="CX607" s="3" t="n">
        <f aca="false" ca="false" dt2D="false" dtr="false" t="normal">+N607-CH607</f>
        <v>-394206.66000000015</v>
      </c>
      <c r="CZ607" s="117" t="s">
        <v>340</v>
      </c>
      <c r="DA607" s="113" t="n">
        <f aca="false" ca="true" dt2D="false" dtr="false" t="normal">SUBTOTAL(9, DB607:DP607)</f>
        <v>20598753.58</v>
      </c>
      <c r="DB607" s="106" t="n">
        <v>3048488.28</v>
      </c>
      <c r="DC607" s="114" t="n">
        <v>2451339</v>
      </c>
      <c r="DD607" s="114" t="n"/>
      <c r="DE607" s="114" t="n">
        <v>1193990.27</v>
      </c>
      <c r="DF607" s="114" t="n">
        <v>498007.81</v>
      </c>
      <c r="DG607" s="114" t="n"/>
      <c r="DH607" s="106" t="n"/>
      <c r="DI607" s="114" t="n">
        <v>0</v>
      </c>
      <c r="DJ607" s="114" t="n"/>
      <c r="DK607" s="114" t="n">
        <v>0</v>
      </c>
      <c r="DL607" s="243" t="n">
        <v>9428594.13</v>
      </c>
      <c r="DM607" s="114" t="n">
        <v>3978334.09</v>
      </c>
      <c r="DN607" s="241" t="n"/>
      <c r="DO607" s="241" t="n"/>
      <c r="DP607" s="240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</row>
    <row customFormat="true" hidden="false" ht="15" outlineLevel="0" r="608" s="1">
      <c r="A608" s="183" t="n">
        <f aca="false" ca="false" dt2D="false" dtr="false" t="normal">+A607+1</f>
        <v>586</v>
      </c>
      <c r="B608" s="117" t="n">
        <f aca="false" ca="false" dt2D="false" dtr="false" t="normal">+B607+1</f>
        <v>126</v>
      </c>
      <c r="C608" s="104" t="s">
        <v>111</v>
      </c>
      <c r="D608" s="104" t="s">
        <v>606</v>
      </c>
      <c r="E608" s="105" t="n">
        <v>1975</v>
      </c>
      <c r="F608" s="105" t="n">
        <v>2013</v>
      </c>
      <c r="G608" s="105" t="s">
        <v>68</v>
      </c>
      <c r="H608" s="105" t="n">
        <v>4</v>
      </c>
      <c r="I608" s="105" t="n">
        <v>6</v>
      </c>
      <c r="J608" s="106" t="n">
        <v>4262.6</v>
      </c>
      <c r="K608" s="106" t="n">
        <v>3725.7</v>
      </c>
      <c r="L608" s="106" t="n">
        <v>243.2</v>
      </c>
      <c r="M608" s="107" t="n">
        <v>159</v>
      </c>
      <c r="N608" s="108" t="n">
        <f aca="false" ca="false" dt2D="false" dtr="false" t="normal">SUM(P608:T608)</f>
        <v>10126345.49</v>
      </c>
      <c r="O608" s="106" t="n"/>
      <c r="P608" s="113" t="n">
        <v>2143246.12</v>
      </c>
      <c r="Q608" s="114" t="n"/>
      <c r="R608" s="113" t="n">
        <v>775614.7</v>
      </c>
      <c r="S608" s="113" t="n">
        <v>4780661.11</v>
      </c>
      <c r="T608" s="113" t="n">
        <v>2426823.56</v>
      </c>
      <c r="U608" s="106" t="n">
        <v>2689.64318575412</v>
      </c>
      <c r="V608" s="106" t="n">
        <v>2689.64318575412</v>
      </c>
      <c r="W608" s="110" t="n">
        <v>2024</v>
      </c>
      <c r="X608" s="9" t="e">
        <f aca="false" ca="false" dt2D="false" dtr="false" t="normal">+#REF!-'[9]Приложение №1'!$P958</f>
        <v>#REF!</v>
      </c>
      <c r="Z608" s="113" t="n">
        <f aca="false" ca="false" dt2D="false" dtr="false" t="normal">SUM(AA608:AO608)</f>
        <v>40281151.46</v>
      </c>
      <c r="AA608" s="106" t="n">
        <v>9306102.43215198</v>
      </c>
      <c r="AB608" s="106" t="n">
        <v>0</v>
      </c>
      <c r="AC608" s="106" t="n">
        <v>0</v>
      </c>
      <c r="AD608" s="106" t="n">
        <v>0</v>
      </c>
      <c r="AE608" s="106" t="n">
        <v>0</v>
      </c>
      <c r="AF608" s="106" t="n"/>
      <c r="AG608" s="106" t="n">
        <v>357100.62596124</v>
      </c>
      <c r="AH608" s="106" t="n">
        <v>0</v>
      </c>
      <c r="AI608" s="106" t="n">
        <v>17012971.2107124</v>
      </c>
      <c r="AJ608" s="106" t="n">
        <v>0</v>
      </c>
      <c r="AK608" s="106" t="n">
        <v>8833213.41254856</v>
      </c>
      <c r="AL608" s="106" t="n">
        <v>0</v>
      </c>
      <c r="AM608" s="106" t="n">
        <v>3592433.8741</v>
      </c>
      <c r="AN608" s="114" t="n">
        <v>402811.5146</v>
      </c>
      <c r="AO608" s="115" t="n">
        <v>776518.38992582</v>
      </c>
      <c r="AP608" s="112" t="n">
        <f aca="false" ca="false" dt2D="false" dtr="false" t="normal">+N608-'Приложение №2'!E608</f>
        <v>0</v>
      </c>
      <c r="AQ608" s="1" t="n">
        <f aca="false" ca="false" dt2D="false" dtr="false" t="normal">1889670.92-1080583.3044-463107.12</f>
        <v>345980.4955999999</v>
      </c>
      <c r="AR608" s="3" t="n">
        <f aca="false" ca="false" dt2D="false" dtr="false" t="normal">+(K608*10+L608*20)*12*0.85</f>
        <v>429634.2</v>
      </c>
      <c r="AS608" s="3" t="n">
        <f aca="false" ca="false" dt2D="false" dtr="false" t="normal">+(K608*10+L608*20)*12*30-4573.626-647859.33-9730465.93</f>
        <v>4780661.114</v>
      </c>
      <c r="AT608" s="9" t="n">
        <f aca="false" ca="false" dt2D="false" dtr="false" t="normal">+S608-AS608</f>
        <v>-0.003999999724328518</v>
      </c>
      <c r="AU608" s="9" t="e">
        <f aca="false" ca="false" dt2D="false" dtr="false" t="normal">+P608-'[5]Приложение №1'!$P579</f>
        <v>#REF!</v>
      </c>
      <c r="AV608" s="9" t="e">
        <f aca="false" ca="false" dt2D="false" dtr="false" t="normal">+Q608-'[5]Приложение №1'!$Q579</f>
        <v>#REF!</v>
      </c>
      <c r="AW608" s="113" t="n">
        <f aca="false" ca="true" dt2D="false" dtr="false" t="normal">SUBTOTAL(9, AX608:BL608)</f>
        <v>10674924.839939507</v>
      </c>
      <c r="AX608" s="106" t="n">
        <v>10082885.3290445</v>
      </c>
      <c r="AY608" s="106" t="n">
        <v>0</v>
      </c>
      <c r="AZ608" s="106" t="n">
        <v>0</v>
      </c>
      <c r="BA608" s="106" t="n">
        <v>0</v>
      </c>
      <c r="BB608" s="106" t="n">
        <v>0</v>
      </c>
      <c r="BC608" s="106" t="n"/>
      <c r="BD608" s="106" t="n">
        <v>363596.119320301</v>
      </c>
      <c r="BE608" s="106" t="n">
        <v>0</v>
      </c>
      <c r="BF608" s="106" t="n"/>
      <c r="BG608" s="106" t="n">
        <v>0</v>
      </c>
      <c r="BH608" s="106" t="n"/>
      <c r="BI608" s="106" t="n">
        <v>0</v>
      </c>
      <c r="BJ608" s="106" t="n"/>
      <c r="BK608" s="114" t="n"/>
      <c r="BL608" s="115" t="n">
        <v>228443.391574705</v>
      </c>
      <c r="BM608" s="113" t="n">
        <f aca="false" ca="true" dt2D="false" dtr="false" t="normal">SUBTOTAL(9, BN608:CB608)</f>
        <v>10674924.839939507</v>
      </c>
      <c r="BN608" s="106" t="n">
        <v>10082885.3290445</v>
      </c>
      <c r="BO608" s="106" t="n">
        <v>0</v>
      </c>
      <c r="BP608" s="106" t="n">
        <v>0</v>
      </c>
      <c r="BQ608" s="106" t="n">
        <v>0</v>
      </c>
      <c r="BR608" s="106" t="n">
        <v>0</v>
      </c>
      <c r="BS608" s="106" t="n"/>
      <c r="BT608" s="106" t="n">
        <v>363596.119320301</v>
      </c>
      <c r="BU608" s="106" t="n">
        <v>0</v>
      </c>
      <c r="BV608" s="106" t="n"/>
      <c r="BW608" s="106" t="n">
        <v>0</v>
      </c>
      <c r="BX608" s="106" t="n"/>
      <c r="BY608" s="106" t="n">
        <v>0</v>
      </c>
      <c r="BZ608" s="106" t="n"/>
      <c r="CA608" s="114" t="n"/>
      <c r="CB608" s="115" t="n">
        <v>228443.391574705</v>
      </c>
      <c r="CD608" s="116" t="e">
        <f aca="false" ca="false" dt2D="false" dtr="false" t="normal">+CD607+1</f>
        <v>#REF!</v>
      </c>
      <c r="CE608" s="117" t="e">
        <f aca="false" ca="false" dt2D="false" dtr="false" t="normal">+CE607+1</f>
        <v>#REF!</v>
      </c>
      <c r="CF608" s="104" t="s">
        <v>111</v>
      </c>
      <c r="CG608" s="117" t="s">
        <v>606</v>
      </c>
      <c r="CH608" s="108" t="n">
        <f aca="false" ca="true" dt2D="false" dtr="false" t="normal">SUBTOTAL(9, CI608:CW608)</f>
        <v>10311328.72</v>
      </c>
      <c r="CI608" s="106" t="n">
        <v>10082885.33</v>
      </c>
      <c r="CJ608" s="114" t="n">
        <v>0</v>
      </c>
      <c r="CK608" s="114" t="n">
        <v>0</v>
      </c>
      <c r="CL608" s="114" t="n">
        <v>0</v>
      </c>
      <c r="CM608" s="114" t="n">
        <v>0</v>
      </c>
      <c r="CN608" s="114" t="n"/>
      <c r="CO608" s="106" t="n"/>
      <c r="CP608" s="114" t="n">
        <v>0</v>
      </c>
      <c r="CQ608" s="114" t="n"/>
      <c r="CR608" s="114" t="n">
        <v>0</v>
      </c>
      <c r="CS608" s="114" t="n"/>
      <c r="CT608" s="114" t="n">
        <v>0</v>
      </c>
      <c r="CU608" s="114" t="n"/>
      <c r="CV608" s="114" t="n"/>
      <c r="CW608" s="115" t="n">
        <v>228443.39</v>
      </c>
      <c r="CX608" s="3" t="n">
        <f aca="false" ca="false" dt2D="false" dtr="false" t="normal">+N608-CH608</f>
        <v>-184983.23000000045</v>
      </c>
      <c r="CZ608" s="117" t="s">
        <v>606</v>
      </c>
      <c r="DA608" s="113" t="n">
        <f aca="false" ca="true" dt2D="false" dtr="false" t="normal">SUBTOTAL(9, DB608:DP608)</f>
        <v>10126345.486</v>
      </c>
      <c r="DB608" s="106" t="n">
        <v>10082885.33</v>
      </c>
      <c r="DC608" s="114" t="n">
        <v>0</v>
      </c>
      <c r="DD608" s="114" t="n">
        <v>0</v>
      </c>
      <c r="DE608" s="114" t="n">
        <v>0</v>
      </c>
      <c r="DF608" s="114" t="n">
        <v>0</v>
      </c>
      <c r="DG608" s="114" t="n"/>
      <c r="DH608" s="106" t="n"/>
      <c r="DI608" s="114" t="n">
        <v>0</v>
      </c>
      <c r="DJ608" s="114" t="n"/>
      <c r="DK608" s="114" t="n">
        <v>0</v>
      </c>
      <c r="DL608" s="114" t="n"/>
      <c r="DM608" s="114" t="n">
        <v>0</v>
      </c>
      <c r="DN608" s="114" t="n"/>
      <c r="DO608" s="114" t="n"/>
      <c r="DP608" s="115" t="n">
        <f aca="false" ca="false" dt2D="false" dtr="false" t="normal">37791.44*1.15</f>
        <v>43460.156</v>
      </c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</row>
    <row customFormat="true" hidden="false" ht="15" outlineLevel="0" r="609" s="1">
      <c r="A609" s="183" t="n">
        <f aca="false" ca="false" dt2D="false" dtr="false" t="normal">+A608+1</f>
        <v>587</v>
      </c>
      <c r="B609" s="117" t="n">
        <f aca="false" ca="false" dt2D="false" dtr="false" t="normal">+B608+1</f>
        <v>127</v>
      </c>
      <c r="C609" s="104" t="s">
        <v>111</v>
      </c>
      <c r="D609" s="104" t="s">
        <v>607</v>
      </c>
      <c r="E609" s="105" t="n">
        <v>1976</v>
      </c>
      <c r="F609" s="105" t="n">
        <v>2005</v>
      </c>
      <c r="G609" s="105" t="s">
        <v>68</v>
      </c>
      <c r="H609" s="105" t="n">
        <v>5</v>
      </c>
      <c r="I609" s="105" t="n">
        <v>6</v>
      </c>
      <c r="J609" s="106" t="n">
        <v>3918.8</v>
      </c>
      <c r="K609" s="106" t="n">
        <v>3433.8</v>
      </c>
      <c r="L609" s="106" t="n">
        <v>0</v>
      </c>
      <c r="M609" s="107" t="n">
        <v>155</v>
      </c>
      <c r="N609" s="108" t="n">
        <f aca="false" ca="false" dt2D="false" dtr="false" t="normal">SUM(P609:T609)</f>
        <v>1488237.82</v>
      </c>
      <c r="O609" s="106" t="n"/>
      <c r="P609" s="114" t="n"/>
      <c r="Q609" s="114" t="n"/>
      <c r="R609" s="113" t="n">
        <v>1488237.82</v>
      </c>
      <c r="S609" s="114" t="n">
        <v>0</v>
      </c>
      <c r="T609" s="114" t="n">
        <v>0</v>
      </c>
      <c r="U609" s="114" t="n">
        <v>317.544124759741</v>
      </c>
      <c r="V609" s="114" t="n">
        <v>1269.283020064</v>
      </c>
      <c r="W609" s="110" t="n">
        <v>2024</v>
      </c>
      <c r="X609" s="9" t="e">
        <f aca="false" ca="false" dt2D="false" dtr="false" t="normal">+S609-'[9]Приложение №1'!$P655</f>
        <v>#REF!</v>
      </c>
      <c r="Z609" s="113" t="n">
        <f aca="false" ca="false" dt2D="false" dtr="false" t="normal">SUM(AA609:AO609)</f>
        <v>1580265.2399999998</v>
      </c>
      <c r="AA609" s="106" t="n">
        <v>0</v>
      </c>
      <c r="AB609" s="106" t="n">
        <v>0</v>
      </c>
      <c r="AC609" s="106" t="n">
        <v>0</v>
      </c>
      <c r="AD609" s="106" t="n">
        <v>0</v>
      </c>
      <c r="AE609" s="106" t="n">
        <v>1067048.81906616</v>
      </c>
      <c r="AF609" s="106" t="n"/>
      <c r="AG609" s="106" t="n">
        <v>0</v>
      </c>
      <c r="AH609" s="106" t="n">
        <v>0</v>
      </c>
      <c r="AI609" s="106" t="n">
        <v>0</v>
      </c>
      <c r="AJ609" s="106" t="n">
        <v>0</v>
      </c>
      <c r="AK609" s="106" t="n">
        <v>0</v>
      </c>
      <c r="AL609" s="106" t="n">
        <v>0</v>
      </c>
      <c r="AM609" s="106" t="n">
        <v>474079.572</v>
      </c>
      <c r="AN609" s="114" t="n">
        <v>15802.6524</v>
      </c>
      <c r="AO609" s="115" t="n">
        <v>23334.19653384</v>
      </c>
      <c r="AP609" s="112" t="n">
        <f aca="false" ca="false" dt2D="false" dtr="false" t="normal">+N609-'Приложение №2'!E609</f>
        <v>0</v>
      </c>
      <c r="AQ609" s="1" t="n">
        <f aca="false" ca="false" dt2D="false" dtr="false" t="normal">2119160.71-846033</f>
        <v>1273127.71</v>
      </c>
      <c r="AR609" s="3" t="n">
        <f aca="false" ca="false" dt2D="false" dtr="false" t="normal">+(K609*10.5+L609*21)*12*0.85</f>
        <v>367759.98000000004</v>
      </c>
      <c r="AS609" s="3" t="n">
        <f aca="false" ca="false" dt2D="false" dtr="false" t="normal">+(K609*10.5+L609*21)*12*30-62340.65-1126498.46</f>
        <v>11790924.89</v>
      </c>
      <c r="AT609" s="9" t="n">
        <f aca="false" ca="false" dt2D="false" dtr="false" t="normal">+S609-AS609</f>
        <v>-11790924.89</v>
      </c>
      <c r="AU609" s="9" t="e">
        <f aca="false" ca="false" dt2D="false" dtr="false" t="normal">+P609-'[5]Приложение №1'!$P552</f>
        <v>#REF!</v>
      </c>
      <c r="AV609" s="9" t="e">
        <f aca="false" ca="false" dt2D="false" dtr="false" t="normal">+Q609-'[5]Приложение №1'!$Q552</f>
        <v>#REF!</v>
      </c>
      <c r="AW609" s="186" t="n">
        <f aca="false" ca="true" dt2D="false" dtr="false" t="normal">SUBTOTAL(9, AX609:BL609)</f>
        <v>1090383.0155999998</v>
      </c>
      <c r="AX609" s="106" t="n">
        <v>0</v>
      </c>
      <c r="AY609" s="106" t="n">
        <v>0</v>
      </c>
      <c r="AZ609" s="106" t="n">
        <v>0</v>
      </c>
      <c r="BA609" s="106" t="n">
        <v>0</v>
      </c>
      <c r="BB609" s="106" t="n">
        <v>1067048.81906616</v>
      </c>
      <c r="BC609" s="106" t="n"/>
      <c r="BD609" s="106" t="n"/>
      <c r="BE609" s="106" t="n">
        <v>0</v>
      </c>
      <c r="BF609" s="106" t="n">
        <v>0</v>
      </c>
      <c r="BG609" s="106" t="n">
        <v>0</v>
      </c>
      <c r="BH609" s="106" t="n">
        <v>0</v>
      </c>
      <c r="BI609" s="106" t="n">
        <v>0</v>
      </c>
      <c r="BJ609" s="106" t="n"/>
      <c r="BK609" s="114" t="n"/>
      <c r="BL609" s="115" t="n">
        <v>23334.19653384</v>
      </c>
      <c r="BM609" s="186" t="n">
        <f aca="false" ca="true" dt2D="false" dtr="false" t="normal">SUBTOTAL(9, BN609:CB609)</f>
        <v>1090383.0155999998</v>
      </c>
      <c r="BN609" s="106" t="n">
        <v>0</v>
      </c>
      <c r="BO609" s="106" t="n">
        <v>0</v>
      </c>
      <c r="BP609" s="106" t="n">
        <v>0</v>
      </c>
      <c r="BQ609" s="106" t="n">
        <v>0</v>
      </c>
      <c r="BR609" s="106" t="n">
        <v>1067048.81906616</v>
      </c>
      <c r="BS609" s="106" t="n"/>
      <c r="BT609" s="106" t="n"/>
      <c r="BU609" s="106" t="n">
        <v>0</v>
      </c>
      <c r="BV609" s="106" t="n">
        <v>0</v>
      </c>
      <c r="BW609" s="106" t="n">
        <v>0</v>
      </c>
      <c r="BX609" s="106" t="n">
        <v>0</v>
      </c>
      <c r="BY609" s="106" t="n">
        <v>0</v>
      </c>
      <c r="BZ609" s="106" t="n"/>
      <c r="CA609" s="114" t="n"/>
      <c r="CB609" s="115" t="n">
        <v>23334.19653384</v>
      </c>
      <c r="CD609" s="116" t="e">
        <f aca="false" ca="false" dt2D="false" dtr="false" t="normal">+CD608+1</f>
        <v>#REF!</v>
      </c>
      <c r="CE609" s="117" t="e">
        <f aca="false" ca="false" dt2D="false" dtr="false" t="normal">+CE608+1</f>
        <v>#REF!</v>
      </c>
      <c r="CF609" s="104" t="s">
        <v>111</v>
      </c>
      <c r="CG609" s="117" t="s">
        <v>607</v>
      </c>
      <c r="CH609" s="108" t="n">
        <f aca="false" ca="true" dt2D="false" dtr="false" t="normal">SUBTOTAL(9, CI609:CW609)</f>
        <v>1488237.82</v>
      </c>
      <c r="CI609" s="106" t="n">
        <v>0</v>
      </c>
      <c r="CJ609" s="114" t="n">
        <v>0</v>
      </c>
      <c r="CK609" s="114" t="n">
        <v>0</v>
      </c>
      <c r="CL609" s="114" t="n">
        <v>0</v>
      </c>
      <c r="CM609" s="243" t="n">
        <v>1488237.82</v>
      </c>
      <c r="CN609" s="114" t="n"/>
      <c r="CO609" s="106" t="n"/>
      <c r="CP609" s="114" t="n">
        <v>0</v>
      </c>
      <c r="CQ609" s="114" t="n">
        <v>0</v>
      </c>
      <c r="CR609" s="114" t="n">
        <v>0</v>
      </c>
      <c r="CS609" s="114" t="n">
        <v>0</v>
      </c>
      <c r="CT609" s="114" t="n">
        <v>0</v>
      </c>
      <c r="CU609" s="114" t="n"/>
      <c r="CV609" s="114" t="n"/>
      <c r="CW609" s="115" t="n"/>
      <c r="CX609" s="3" t="n">
        <f aca="false" ca="false" dt2D="false" dtr="false" t="normal">+N609-CH609</f>
        <v>0</v>
      </c>
      <c r="CZ609" s="117" t="s">
        <v>607</v>
      </c>
      <c r="DA609" s="113" t="n">
        <f aca="false" ca="true" dt2D="false" dtr="false" t="normal">SUBTOTAL(9, DB609:DP609)</f>
        <v>1488237.82</v>
      </c>
      <c r="DB609" s="106" t="n">
        <v>0</v>
      </c>
      <c r="DC609" s="114" t="n">
        <v>0</v>
      </c>
      <c r="DD609" s="114" t="n">
        <v>0</v>
      </c>
      <c r="DE609" s="114" t="n">
        <v>0</v>
      </c>
      <c r="DF609" s="243" t="n">
        <v>1488237.82</v>
      </c>
      <c r="DG609" s="114" t="n"/>
      <c r="DH609" s="106" t="n"/>
      <c r="DI609" s="114" t="n">
        <v>0</v>
      </c>
      <c r="DJ609" s="114" t="n">
        <v>0</v>
      </c>
      <c r="DK609" s="114" t="n">
        <v>0</v>
      </c>
      <c r="DL609" s="114" t="n">
        <v>0</v>
      </c>
      <c r="DM609" s="114" t="n">
        <v>0</v>
      </c>
      <c r="DN609" s="114" t="n"/>
      <c r="DO609" s="114" t="n"/>
      <c r="DP609" s="240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</row>
    <row customFormat="true" hidden="false" ht="15" outlineLevel="0" r="610" s="1">
      <c r="A610" s="183" t="n">
        <f aca="false" ca="false" dt2D="false" dtr="false" t="normal">+A609+1</f>
        <v>588</v>
      </c>
      <c r="B610" s="117" t="n">
        <f aca="false" ca="false" dt2D="false" dtr="false" t="normal">+B609+1</f>
        <v>128</v>
      </c>
      <c r="C610" s="104" t="s">
        <v>111</v>
      </c>
      <c r="D610" s="104" t="s">
        <v>608</v>
      </c>
      <c r="E610" s="105" t="n">
        <v>1970</v>
      </c>
      <c r="F610" s="105" t="n">
        <v>2017</v>
      </c>
      <c r="G610" s="105" t="s">
        <v>68</v>
      </c>
      <c r="H610" s="105" t="n">
        <v>5</v>
      </c>
      <c r="I610" s="105" t="n">
        <v>2</v>
      </c>
      <c r="J610" s="106" t="n">
        <v>1774.6</v>
      </c>
      <c r="K610" s="106" t="n">
        <v>1596.4</v>
      </c>
      <c r="L610" s="106" t="n">
        <v>0</v>
      </c>
      <c r="M610" s="107" t="n">
        <v>61</v>
      </c>
      <c r="N610" s="108" t="n">
        <f aca="false" ca="false" dt2D="false" dtr="false" t="normal">SUM(P610:T610)</f>
        <v>5715410.859999999</v>
      </c>
      <c r="O610" s="106" t="n"/>
      <c r="P610" s="114" t="n"/>
      <c r="Q610" s="114" t="n"/>
      <c r="R610" s="113" t="n">
        <v>645312.31</v>
      </c>
      <c r="S610" s="113" t="n">
        <v>5070098.55</v>
      </c>
      <c r="T610" s="114" t="n"/>
      <c r="U610" s="114" t="n">
        <v>3719.15477172051</v>
      </c>
      <c r="V610" s="114" t="n">
        <v>1272.283020064</v>
      </c>
      <c r="W610" s="110" t="n">
        <v>2024</v>
      </c>
      <c r="X610" s="9" t="e">
        <f aca="false" ca="false" dt2D="false" dtr="false" t="normal">+#REF!-'[9]Приложение №1'!$P409</f>
        <v>#REF!</v>
      </c>
      <c r="Z610" s="113" t="n">
        <f aca="false" ca="false" dt2D="false" dtr="false" t="normal">SUM(AA610:AO610)</f>
        <v>9973803.070000002</v>
      </c>
      <c r="AA610" s="106" t="n">
        <v>3804046.6453626</v>
      </c>
      <c r="AB610" s="106" t="n">
        <v>1355538.20841096</v>
      </c>
      <c r="AC610" s="106" t="n">
        <v>0</v>
      </c>
      <c r="AD610" s="106" t="n">
        <v>0</v>
      </c>
      <c r="AE610" s="106" t="n"/>
      <c r="AF610" s="106" t="n"/>
      <c r="AG610" s="106" t="n">
        <v>0</v>
      </c>
      <c r="AH610" s="106" t="n">
        <v>0</v>
      </c>
      <c r="AI610" s="106" t="n">
        <v>0</v>
      </c>
      <c r="AJ610" s="106" t="n">
        <v>0</v>
      </c>
      <c r="AK610" s="106" t="n">
        <v>3610744.24603242</v>
      </c>
      <c r="AL610" s="106" t="n">
        <v>0</v>
      </c>
      <c r="AM610" s="106" t="n">
        <v>911946.605</v>
      </c>
      <c r="AN610" s="114" t="n">
        <v>99738.0307</v>
      </c>
      <c r="AO610" s="115" t="n">
        <v>191789.33449402</v>
      </c>
      <c r="AP610" s="112" t="n">
        <f aca="false" ca="false" dt2D="false" dtr="false" t="normal">+N610-'Приложение №2'!E610</f>
        <v>0</v>
      </c>
      <c r="AQ610" s="1" t="n">
        <f aca="false" ca="false" dt2D="false" dtr="false" t="normal">825649.2-84643.55-266667.78</f>
        <v>474337.8699999999</v>
      </c>
      <c r="AR610" s="3" t="n">
        <f aca="false" ca="false" dt2D="false" dtr="false" t="normal">+(K610*10.5+L610*21)*12*0.85</f>
        <v>170974.44</v>
      </c>
      <c r="AS610" s="3" t="n">
        <f aca="false" ca="false" dt2D="false" dtr="false" t="normal">+(K610*10.5+L610*21)*12*30-19875.37-568427.42</f>
        <v>5446089.210000001</v>
      </c>
      <c r="AT610" s="9" t="n">
        <f aca="false" ca="false" dt2D="false" dtr="false" t="normal">+S610-AS610</f>
        <v>-375990.6600000011</v>
      </c>
      <c r="AU610" s="9" t="e">
        <f aca="false" ca="false" dt2D="false" dtr="false" t="normal">+P610-'[5]Приложение №1'!$P555</f>
        <v>#REF!</v>
      </c>
      <c r="AV610" s="9" t="e">
        <f aca="false" ca="false" dt2D="false" dtr="false" t="normal">+Q610-'[5]Приложение №1'!$Q555</f>
        <v>#REF!</v>
      </c>
      <c r="AW610" s="186" t="n">
        <f aca="false" ca="true" dt2D="false" dtr="false" t="normal">SUBTOTAL(9, AX610:BL610)</f>
        <v>5937258.677574618</v>
      </c>
      <c r="AX610" s="106" t="n">
        <v>3811453.27578584</v>
      </c>
      <c r="AY610" s="106" t="n">
        <v>1833049.73731807</v>
      </c>
      <c r="AZ610" s="106" t="n">
        <v>0</v>
      </c>
      <c r="BA610" s="106" t="n">
        <v>0</v>
      </c>
      <c r="BB610" s="106" t="n"/>
      <c r="BC610" s="106" t="n"/>
      <c r="BD610" s="106" t="n">
        <v>146248.291688611</v>
      </c>
      <c r="BE610" s="106" t="n">
        <v>0</v>
      </c>
      <c r="BF610" s="106" t="n">
        <v>0</v>
      </c>
      <c r="BG610" s="106" t="n">
        <v>0</v>
      </c>
      <c r="BH610" s="106" t="n">
        <v>0</v>
      </c>
      <c r="BI610" s="106" t="n">
        <v>0</v>
      </c>
      <c r="BJ610" s="106" t="n">
        <v>19875.37</v>
      </c>
      <c r="BK610" s="114" t="n"/>
      <c r="BL610" s="115" t="n">
        <v>126632.002782097</v>
      </c>
      <c r="BM610" s="186" t="n">
        <f aca="false" ca="true" dt2D="false" dtr="false" t="normal">SUBTOTAL(9, BN610:CB610)</f>
        <v>5937258.677574618</v>
      </c>
      <c r="BN610" s="106" t="n">
        <v>3811453.27578584</v>
      </c>
      <c r="BO610" s="106" t="n">
        <v>1833049.73731807</v>
      </c>
      <c r="BP610" s="106" t="n">
        <v>0</v>
      </c>
      <c r="BQ610" s="106" t="n">
        <v>0</v>
      </c>
      <c r="BR610" s="106" t="n"/>
      <c r="BS610" s="106" t="n"/>
      <c r="BT610" s="106" t="n">
        <v>146248.291688611</v>
      </c>
      <c r="BU610" s="106" t="n">
        <v>0</v>
      </c>
      <c r="BV610" s="106" t="n">
        <v>0</v>
      </c>
      <c r="BW610" s="106" t="n">
        <v>0</v>
      </c>
      <c r="BX610" s="106" t="n">
        <v>0</v>
      </c>
      <c r="BY610" s="106" t="n">
        <v>0</v>
      </c>
      <c r="BZ610" s="106" t="n">
        <v>19875.37</v>
      </c>
      <c r="CA610" s="114" t="n"/>
      <c r="CB610" s="115" t="n">
        <v>126632.002782097</v>
      </c>
      <c r="CD610" s="116" t="e">
        <f aca="false" ca="false" dt2D="false" dtr="false" t="normal">+CD609+1</f>
        <v>#REF!</v>
      </c>
      <c r="CE610" s="117" t="e">
        <f aca="false" ca="false" dt2D="false" dtr="false" t="normal">+CE609+1</f>
        <v>#REF!</v>
      </c>
      <c r="CF610" s="104" t="s">
        <v>111</v>
      </c>
      <c r="CG610" s="117" t="s">
        <v>608</v>
      </c>
      <c r="CH610" s="108" t="n">
        <f aca="false" ca="true" dt2D="false" dtr="false" t="normal">SUBTOTAL(9, CI610:CW610)</f>
        <v>5771135.02</v>
      </c>
      <c r="CI610" s="106" t="n">
        <v>3811453.28</v>
      </c>
      <c r="CJ610" s="114" t="n">
        <v>1833049.74</v>
      </c>
      <c r="CK610" s="114" t="n">
        <v>0</v>
      </c>
      <c r="CL610" s="114" t="n">
        <v>0</v>
      </c>
      <c r="CM610" s="114" t="n"/>
      <c r="CN610" s="114" t="n"/>
      <c r="CO610" s="106" t="n"/>
      <c r="CP610" s="114" t="n">
        <v>0</v>
      </c>
      <c r="CQ610" s="114" t="n">
        <v>0</v>
      </c>
      <c r="CR610" s="114" t="n">
        <v>0</v>
      </c>
      <c r="CS610" s="114" t="n">
        <v>0</v>
      </c>
      <c r="CT610" s="114" t="n">
        <v>0</v>
      </c>
      <c r="CU610" s="114" t="n"/>
      <c r="CV610" s="114" t="n"/>
      <c r="CW610" s="115" t="n">
        <v>126632</v>
      </c>
      <c r="CX610" s="3" t="n">
        <f aca="false" ca="false" dt2D="false" dtr="false" t="normal">+N610-CH610</f>
        <v>-55724.16000000015</v>
      </c>
      <c r="CZ610" s="117" t="s">
        <v>608</v>
      </c>
      <c r="DA610" s="113" t="n">
        <f aca="false" ca="true" dt2D="false" dtr="false" t="normal">SUBTOTAL(9, DB610:DP610)</f>
        <v>5715410.858499999</v>
      </c>
      <c r="DB610" s="106" t="n">
        <v>3811453.28</v>
      </c>
      <c r="DC610" s="114" t="n">
        <v>1833049.74</v>
      </c>
      <c r="DD610" s="114" t="n">
        <v>0</v>
      </c>
      <c r="DE610" s="114" t="n">
        <v>0</v>
      </c>
      <c r="DF610" s="114" t="n"/>
      <c r="DG610" s="114" t="n"/>
      <c r="DH610" s="106" t="n"/>
      <c r="DI610" s="114" t="n">
        <v>0</v>
      </c>
      <c r="DJ610" s="114" t="n">
        <v>0</v>
      </c>
      <c r="DK610" s="114" t="n">
        <v>0</v>
      </c>
      <c r="DL610" s="114" t="n">
        <v>0</v>
      </c>
      <c r="DM610" s="114" t="n">
        <v>0</v>
      </c>
      <c r="DN610" s="241" t="n"/>
      <c r="DO610" s="114" t="n"/>
      <c r="DP610" s="115" t="n">
        <f aca="false" ca="false" dt2D="false" dtr="false" t="normal">61658.99*1.15</f>
        <v>70907.8385</v>
      </c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</row>
    <row customFormat="true" hidden="false" ht="15" outlineLevel="0" r="611" s="129">
      <c r="A611" s="183" t="n">
        <f aca="false" ca="false" dt2D="false" dtr="false" t="normal">+A610+1</f>
        <v>589</v>
      </c>
      <c r="B611" s="117" t="n">
        <f aca="false" ca="false" dt2D="false" dtr="false" t="normal">+B610+1</f>
        <v>129</v>
      </c>
      <c r="C611" s="104" t="s">
        <v>111</v>
      </c>
      <c r="D611" s="104" t="s">
        <v>344</v>
      </c>
      <c r="E611" s="105" t="s">
        <v>345</v>
      </c>
      <c r="F611" s="105" t="n"/>
      <c r="G611" s="105" t="s">
        <v>68</v>
      </c>
      <c r="H611" s="105" t="s">
        <v>187</v>
      </c>
      <c r="I611" s="105" t="s">
        <v>187</v>
      </c>
      <c r="J611" s="106" t="n">
        <v>3893.1</v>
      </c>
      <c r="K611" s="106" t="n">
        <v>3553.5</v>
      </c>
      <c r="L611" s="106" t="n">
        <v>0</v>
      </c>
      <c r="M611" s="107" t="n">
        <v>150</v>
      </c>
      <c r="N611" s="108" t="n">
        <f aca="false" ca="false" dt2D="false" dtr="false" t="normal">SUM(P611:T611)</f>
        <v>14626578.9</v>
      </c>
      <c r="O611" s="106" t="n">
        <v>0</v>
      </c>
      <c r="P611" s="113" t="n">
        <v>2463058.04</v>
      </c>
      <c r="Q611" s="114" t="n"/>
      <c r="R611" s="113" t="n">
        <v>255443.21</v>
      </c>
      <c r="S611" s="113" t="n">
        <v>2728597.91</v>
      </c>
      <c r="T611" s="113" t="n">
        <v>9179479.74</v>
      </c>
      <c r="U611" s="114" t="n">
        <v>17913.0210460528</v>
      </c>
      <c r="V611" s="114" t="n">
        <v>1273.283020064</v>
      </c>
      <c r="W611" s="110" t="n">
        <v>2024</v>
      </c>
      <c r="X611" s="129" t="n">
        <v>609180.45</v>
      </c>
      <c r="Y611" s="129" t="n">
        <f aca="false" ca="false" dt2D="false" dtr="false" t="normal">+(K611*9.1+L611*18.19)*12</f>
        <v>388042.19999999995</v>
      </c>
      <c r="AA611" s="130" t="e">
        <f aca="false" ca="false" dt2D="false" dtr="false" t="normal">+N611-'[8]Приложение № 2'!E521</f>
        <v>#REF!</v>
      </c>
      <c r="AD611" s="130" t="e">
        <f aca="false" ca="false" dt2D="false" dtr="false" t="normal">+N611-'[8]Приложение № 2'!E521</f>
        <v>#REF!</v>
      </c>
      <c r="AP611" s="112" t="n">
        <f aca="false" ca="false" dt2D="false" dtr="false" t="normal">+N611-'Приложение №2'!E611</f>
        <v>0</v>
      </c>
      <c r="AQ611" s="121" t="n">
        <v>1198086.63</v>
      </c>
      <c r="AR611" s="3" t="n">
        <f aca="false" ca="false" dt2D="false" dtr="false" t="normal">+(K611*10.5+L611*21)*12*0.85</f>
        <v>380579.85</v>
      </c>
      <c r="AS611" s="3" t="n">
        <f aca="false" ca="false" dt2D="false" dtr="false" t="normal">+(K611*10.5+L611*21)*12*30</f>
        <v>13432230</v>
      </c>
      <c r="AT611" s="9" t="n">
        <f aca="false" ca="false" dt2D="false" dtr="false" t="normal">+S611-AS611</f>
        <v>-10703632.09</v>
      </c>
      <c r="AU611" s="9" t="e">
        <f aca="false" ca="false" dt2D="false" dtr="false" t="normal">+P611-'[5]Приложение №1'!$P556</f>
        <v>#REF!</v>
      </c>
      <c r="AV611" s="9" t="e">
        <f aca="false" ca="false" dt2D="false" dtr="false" t="normal">+Q611-'[5]Приложение №1'!$Q556</f>
        <v>#REF!</v>
      </c>
      <c r="AW611" s="186" t="n">
        <f aca="false" ca="true" dt2D="false" dtr="false" t="normal">SUBTOTAL(9, AX611:BL611)</f>
        <v>63653920.28714863</v>
      </c>
      <c r="AX611" s="106" t="n">
        <v>6426692.68633255</v>
      </c>
      <c r="AY611" s="106" t="n">
        <v>3800269.73767634</v>
      </c>
      <c r="AZ611" s="106" t="n">
        <v>4017145.72480266</v>
      </c>
      <c r="BA611" s="106" t="n">
        <v>3169959.57002912</v>
      </c>
      <c r="BB611" s="106" t="n"/>
      <c r="BC611" s="106" t="n"/>
      <c r="BD611" s="106" t="n">
        <v>296539.21750752</v>
      </c>
      <c r="BE611" s="106" t="n"/>
      <c r="BF611" s="106" t="n">
        <v>11567597.7275539</v>
      </c>
      <c r="BG611" s="106" t="n"/>
      <c r="BH611" s="106" t="n">
        <v>22710934.820188</v>
      </c>
      <c r="BI611" s="106" t="n">
        <v>8931908.6262432</v>
      </c>
      <c r="BJ611" s="106" t="n">
        <v>1439566.81218164</v>
      </c>
      <c r="BK611" s="114" t="n"/>
      <c r="BL611" s="115" t="n">
        <v>1293305.3646337</v>
      </c>
      <c r="BM611" s="186" t="n">
        <f aca="false" ca="true" dt2D="false" dtr="false" t="normal">SUBTOTAL(9, BN611:CB611)</f>
        <v>52086322.55959473</v>
      </c>
      <c r="BN611" s="106" t="n">
        <v>6426692.68633255</v>
      </c>
      <c r="BO611" s="106" t="n">
        <v>3800269.73767634</v>
      </c>
      <c r="BP611" s="106" t="n">
        <v>4017145.72480266</v>
      </c>
      <c r="BQ611" s="106" t="n">
        <v>3169959.57002912</v>
      </c>
      <c r="BR611" s="106" t="n"/>
      <c r="BS611" s="106" t="n"/>
      <c r="BT611" s="106" t="n">
        <v>296539.21750752</v>
      </c>
      <c r="BU611" s="106" t="n"/>
      <c r="BV611" s="106" t="n"/>
      <c r="BW611" s="106" t="n"/>
      <c r="BX611" s="106" t="n">
        <v>22710934.820188</v>
      </c>
      <c r="BY611" s="106" t="n">
        <v>8931908.6262432</v>
      </c>
      <c r="BZ611" s="106" t="n">
        <v>1439566.81218164</v>
      </c>
      <c r="CA611" s="114" t="n"/>
      <c r="CB611" s="115" t="n">
        <v>1293305.3646337</v>
      </c>
      <c r="CD611" s="116" t="e">
        <f aca="false" ca="false" dt2D="false" dtr="false" t="normal">+CD610+1</f>
        <v>#REF!</v>
      </c>
      <c r="CE611" s="117" t="e">
        <f aca="false" ca="false" dt2D="false" dtr="false" t="normal">+CE610+1</f>
        <v>#REF!</v>
      </c>
      <c r="CF611" s="104" t="s">
        <v>111</v>
      </c>
      <c r="CG611" s="117" t="s">
        <v>344</v>
      </c>
      <c r="CH611" s="108" t="n">
        <f aca="false" ca="true" dt2D="false" dtr="false" t="normal">SUBTOTAL(9, CI611:CW611)</f>
        <v>14626578.900000002</v>
      </c>
      <c r="CI611" s="106" t="n">
        <v>9802523.58</v>
      </c>
      <c r="CJ611" s="243" t="n">
        <v>2577139.2</v>
      </c>
      <c r="CK611" s="114" t="n"/>
      <c r="CL611" s="243" t="n">
        <v>2246916.12</v>
      </c>
      <c r="CM611" s="114" t="n"/>
      <c r="CN611" s="114" t="n"/>
      <c r="CO611" s="106" t="n"/>
      <c r="CP611" s="114" t="n"/>
      <c r="CQ611" s="114" t="n"/>
      <c r="CR611" s="114" t="n"/>
      <c r="CS611" s="114" t="n"/>
      <c r="CT611" s="114" t="n"/>
      <c r="CU611" s="114" t="n"/>
      <c r="CV611" s="114" t="n"/>
      <c r="CW611" s="115" t="n"/>
      <c r="CX611" s="3" t="n">
        <f aca="false" ca="false" dt2D="false" dtr="false" t="normal">+N611-CH611</f>
        <v>0</v>
      </c>
      <c r="CZ611" s="117" t="s">
        <v>344</v>
      </c>
      <c r="DA611" s="113" t="n">
        <f aca="false" ca="true" dt2D="false" dtr="false" t="normal">SUBTOTAL(9, DB611:DP611)</f>
        <v>14626578.900000002</v>
      </c>
      <c r="DB611" s="106" t="n">
        <v>9802523.58</v>
      </c>
      <c r="DC611" s="243" t="n">
        <v>2577139.2</v>
      </c>
      <c r="DD611" s="114" t="n"/>
      <c r="DE611" s="243" t="n">
        <v>2246916.12</v>
      </c>
      <c r="DF611" s="114" t="n"/>
      <c r="DG611" s="114" t="n"/>
      <c r="DH611" s="106" t="n"/>
      <c r="DI611" s="114" t="n"/>
      <c r="DJ611" s="114" t="n"/>
      <c r="DK611" s="114" t="n"/>
      <c r="DL611" s="114" t="n"/>
      <c r="DM611" s="114" t="n"/>
      <c r="DN611" s="241" t="n"/>
      <c r="DO611" s="241" t="n"/>
      <c r="DP611" s="240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</row>
    <row customFormat="true" hidden="false" ht="15" outlineLevel="0" r="612" s="1">
      <c r="A612" s="183" t="n">
        <f aca="false" ca="false" dt2D="false" dtr="false" t="normal">+A611+1</f>
        <v>590</v>
      </c>
      <c r="B612" s="117" t="n">
        <f aca="false" ca="false" dt2D="false" dtr="false" t="normal">+B611+1</f>
        <v>130</v>
      </c>
      <c r="C612" s="104" t="s">
        <v>111</v>
      </c>
      <c r="D612" s="104" t="s">
        <v>139</v>
      </c>
      <c r="E612" s="105" t="n">
        <v>1974</v>
      </c>
      <c r="F612" s="105" t="n">
        <v>2013</v>
      </c>
      <c r="G612" s="105" t="s">
        <v>68</v>
      </c>
      <c r="H612" s="105" t="n">
        <v>4</v>
      </c>
      <c r="I612" s="105" t="n">
        <v>4</v>
      </c>
      <c r="J612" s="106" t="n">
        <v>3890.5</v>
      </c>
      <c r="K612" s="106" t="n">
        <v>3406.6</v>
      </c>
      <c r="L612" s="106" t="n">
        <v>0</v>
      </c>
      <c r="M612" s="107" t="n">
        <v>175</v>
      </c>
      <c r="N612" s="108" t="n">
        <f aca="false" ca="false" dt2D="false" dtr="false" t="normal">SUM(P612:T612)</f>
        <v>9648243.469999999</v>
      </c>
      <c r="O612" s="106" t="n"/>
      <c r="P612" s="113" t="n">
        <v>1508576.21</v>
      </c>
      <c r="Q612" s="114" t="n"/>
      <c r="R612" s="113" t="n">
        <v>347208</v>
      </c>
      <c r="S612" s="114" t="n">
        <v>0</v>
      </c>
      <c r="T612" s="113" t="n">
        <v>7792459.26</v>
      </c>
      <c r="U612" s="114" t="n">
        <v>1896.12175915853</v>
      </c>
      <c r="V612" s="114" t="n">
        <v>1277.283020064</v>
      </c>
      <c r="W612" s="110" t="n">
        <v>2024</v>
      </c>
      <c r="X612" s="9" t="e">
        <f aca="false" ca="false" dt2D="false" dtr="false" t="normal">+#REF!-'[9]Приложение №1'!$P1436</f>
        <v>#REF!</v>
      </c>
      <c r="Z612" s="113" t="n">
        <f aca="false" ca="false" dt2D="false" dtr="false" t="normal">SUM(AA612:AO612)</f>
        <v>6381512.840000001</v>
      </c>
      <c r="AA612" s="106" t="n">
        <v>5682903.10335384</v>
      </c>
      <c r="AB612" s="106" t="n">
        <v>0</v>
      </c>
      <c r="AC612" s="106" t="n">
        <v>0</v>
      </c>
      <c r="AD612" s="106" t="n">
        <v>0</v>
      </c>
      <c r="AE612" s="106" t="n">
        <v>0</v>
      </c>
      <c r="AF612" s="106" t="n"/>
      <c r="AG612" s="106" t="n">
        <v>0</v>
      </c>
      <c r="AH612" s="106" t="n">
        <v>0</v>
      </c>
      <c r="AI612" s="106" t="n">
        <v>0</v>
      </c>
      <c r="AJ612" s="106" t="n">
        <v>0</v>
      </c>
      <c r="AK612" s="106" t="n">
        <v>0</v>
      </c>
      <c r="AL612" s="106" t="n">
        <v>0</v>
      </c>
      <c r="AM612" s="106" t="n">
        <v>510521.0272</v>
      </c>
      <c r="AN612" s="114" t="n">
        <v>63815.1284</v>
      </c>
      <c r="AO612" s="115" t="n">
        <v>124273.58104616</v>
      </c>
      <c r="AP612" s="112" t="n">
        <f aca="false" ca="false" dt2D="false" dtr="false" t="normal">+N612-'Приложение №2'!E612</f>
        <v>0</v>
      </c>
      <c r="AQ612" s="9" t="n">
        <f aca="false" ca="false" dt2D="false" dtr="false" t="normal">1970404.04-R410</f>
        <v>1622930.84</v>
      </c>
      <c r="AR612" s="3" t="n">
        <f aca="false" ca="false" dt2D="false" dtr="false" t="normal">+(K612*10.5+L612*21)*12*0.85</f>
        <v>364846.86</v>
      </c>
      <c r="AS612" s="3" t="n">
        <f aca="false" ca="false" dt2D="false" dtr="false" t="normal">+(K612*10.5+L612*21)*12*30-S410</f>
        <v>12856873.22</v>
      </c>
      <c r="AT612" s="9" t="n">
        <f aca="false" ca="false" dt2D="false" dtr="false" t="normal">+S612-AS612</f>
        <v>-12856873.22</v>
      </c>
      <c r="AU612" s="9" t="e">
        <f aca="false" ca="false" dt2D="false" dtr="false" t="normal">+P612-'[5]Приложение №1'!$P560</f>
        <v>#REF!</v>
      </c>
      <c r="AV612" s="9" t="e">
        <f aca="false" ca="false" dt2D="false" dtr="false" t="normal">+Q612-'[5]Приложение №1'!$Q560</f>
        <v>#REF!</v>
      </c>
      <c r="AW612" s="186" t="n">
        <f aca="false" ca="true" dt2D="false" dtr="false" t="normal">SUBTOTAL(9, AX612:BL612)</f>
        <v>6459328.384749436</v>
      </c>
      <c r="AX612" s="106" t="n">
        <v>6046174.07</v>
      </c>
      <c r="AY612" s="106" t="n">
        <v>0</v>
      </c>
      <c r="AZ612" s="106" t="n">
        <v>0</v>
      </c>
      <c r="BA612" s="106" t="n">
        <v>0</v>
      </c>
      <c r="BB612" s="106" t="n">
        <v>0</v>
      </c>
      <c r="BC612" s="106" t="n"/>
      <c r="BD612" s="106" t="n">
        <v>282605.808833542</v>
      </c>
      <c r="BE612" s="106" t="n">
        <v>0</v>
      </c>
      <c r="BF612" s="106" t="n">
        <v>0</v>
      </c>
      <c r="BG612" s="106" t="n">
        <v>0</v>
      </c>
      <c r="BH612" s="106" t="n">
        <v>0</v>
      </c>
      <c r="BI612" s="106" t="n">
        <v>0</v>
      </c>
      <c r="BJ612" s="106" t="n"/>
      <c r="BK612" s="114" t="n"/>
      <c r="BL612" s="115" t="n">
        <v>130548.505915893</v>
      </c>
      <c r="BM612" s="186" t="n">
        <f aca="false" ca="true" dt2D="false" dtr="false" t="normal">SUBTOTAL(9, BN612:CB612)</f>
        <v>6459328.384749436</v>
      </c>
      <c r="BN612" s="106" t="n">
        <v>6046174.07</v>
      </c>
      <c r="BO612" s="106" t="n">
        <v>0</v>
      </c>
      <c r="BP612" s="106" t="n">
        <v>0</v>
      </c>
      <c r="BQ612" s="106" t="n">
        <v>0</v>
      </c>
      <c r="BR612" s="106" t="n">
        <v>0</v>
      </c>
      <c r="BS612" s="106" t="n"/>
      <c r="BT612" s="106" t="n">
        <v>282605.808833542</v>
      </c>
      <c r="BU612" s="106" t="n">
        <v>0</v>
      </c>
      <c r="BV612" s="106" t="n">
        <v>0</v>
      </c>
      <c r="BW612" s="106" t="n">
        <v>0</v>
      </c>
      <c r="BX612" s="106" t="n">
        <v>0</v>
      </c>
      <c r="BY612" s="106" t="n">
        <v>0</v>
      </c>
      <c r="BZ612" s="106" t="n"/>
      <c r="CA612" s="114" t="n"/>
      <c r="CB612" s="115" t="n">
        <v>130548.505915893</v>
      </c>
      <c r="CD612" s="116" t="e">
        <f aca="false" ca="false" dt2D="false" dtr="false" t="normal">+CD611+1</f>
        <v>#REF!</v>
      </c>
      <c r="CE612" s="117" t="e">
        <f aca="false" ca="false" dt2D="false" dtr="false" t="normal">+CE611+1</f>
        <v>#REF!</v>
      </c>
      <c r="CF612" s="104" t="s">
        <v>111</v>
      </c>
      <c r="CG612" s="117" t="s">
        <v>139</v>
      </c>
      <c r="CH612" s="108" t="n">
        <f aca="false" ca="true" dt2D="false" dtr="false" t="normal">SUBTOTAL(9, CI612:CW612)</f>
        <v>9700344.98</v>
      </c>
      <c r="CI612" s="106" t="n">
        <v>9569796.47</v>
      </c>
      <c r="CJ612" s="114" t="n">
        <v>0</v>
      </c>
      <c r="CK612" s="114" t="n">
        <v>0</v>
      </c>
      <c r="CL612" s="114" t="n">
        <v>0</v>
      </c>
      <c r="CM612" s="114" t="n">
        <v>0</v>
      </c>
      <c r="CN612" s="114" t="n"/>
      <c r="CO612" s="106" t="n"/>
      <c r="CP612" s="114" t="n">
        <v>0</v>
      </c>
      <c r="CQ612" s="114" t="n">
        <v>0</v>
      </c>
      <c r="CR612" s="114" t="n">
        <v>0</v>
      </c>
      <c r="CS612" s="114" t="n">
        <v>0</v>
      </c>
      <c r="CT612" s="114" t="n">
        <v>0</v>
      </c>
      <c r="CU612" s="114" t="n"/>
      <c r="CV612" s="114" t="n"/>
      <c r="CW612" s="115" t="n">
        <v>130548.51</v>
      </c>
      <c r="CX612" s="3" t="n">
        <f aca="false" ca="false" dt2D="false" dtr="false" t="normal">+N612-CH612</f>
        <v>-52101.51000000164</v>
      </c>
      <c r="CZ612" s="117" t="s">
        <v>139</v>
      </c>
      <c r="DA612" s="113" t="n">
        <f aca="false" ca="true" dt2D="false" dtr="false" t="normal">SUBTOTAL(9, DB612:DP612)</f>
        <v>9648243.467</v>
      </c>
      <c r="DB612" s="106" t="n">
        <v>9569796.47</v>
      </c>
      <c r="DC612" s="114" t="n">
        <v>0</v>
      </c>
      <c r="DD612" s="114" t="n">
        <v>0</v>
      </c>
      <c r="DE612" s="114" t="n">
        <v>0</v>
      </c>
      <c r="DF612" s="114" t="n">
        <v>0</v>
      </c>
      <c r="DG612" s="114" t="n"/>
      <c r="DH612" s="106" t="n"/>
      <c r="DI612" s="114" t="n">
        <v>0</v>
      </c>
      <c r="DJ612" s="114" t="n">
        <v>0</v>
      </c>
      <c r="DK612" s="114" t="n">
        <v>0</v>
      </c>
      <c r="DL612" s="114" t="n">
        <v>0</v>
      </c>
      <c r="DM612" s="114" t="n">
        <v>0</v>
      </c>
      <c r="DN612" s="114" t="n"/>
      <c r="DO612" s="114" t="n"/>
      <c r="DP612" s="115" t="n">
        <f aca="false" ca="false" dt2D="false" dtr="false" t="normal">68214.78*1.15</f>
        <v>78446.99699999999</v>
      </c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</row>
    <row customFormat="true" hidden="false" ht="15" outlineLevel="0" r="613" s="1">
      <c r="A613" s="183" t="n">
        <f aca="false" ca="false" dt2D="false" dtr="false" t="normal">+A612+1</f>
        <v>591</v>
      </c>
      <c r="B613" s="117" t="n">
        <f aca="false" ca="false" dt2D="false" dtr="false" t="normal">+B612+1</f>
        <v>131</v>
      </c>
      <c r="C613" s="104" t="s">
        <v>111</v>
      </c>
      <c r="D613" s="104" t="s">
        <v>144</v>
      </c>
      <c r="E613" s="105" t="n">
        <v>1978</v>
      </c>
      <c r="F613" s="105" t="n">
        <v>2008</v>
      </c>
      <c r="G613" s="105" t="s">
        <v>68</v>
      </c>
      <c r="H613" s="105" t="n">
        <v>5</v>
      </c>
      <c r="I613" s="105" t="n">
        <v>4</v>
      </c>
      <c r="J613" s="106" t="n">
        <v>3883.8</v>
      </c>
      <c r="K613" s="106" t="n">
        <v>3458.3</v>
      </c>
      <c r="L613" s="106" t="n">
        <v>0</v>
      </c>
      <c r="M613" s="107" t="n">
        <v>222</v>
      </c>
      <c r="N613" s="108" t="n">
        <f aca="false" ca="false" dt2D="false" dtr="false" t="normal">SUM(P613:T613)</f>
        <v>18254524.75</v>
      </c>
      <c r="O613" s="106" t="n"/>
      <c r="P613" s="113" t="n">
        <v>7470418.33</v>
      </c>
      <c r="Q613" s="114" t="n"/>
      <c r="R613" s="113" t="n">
        <v>1725806.01</v>
      </c>
      <c r="S613" s="113" t="n">
        <v>4289440.92</v>
      </c>
      <c r="T613" s="113" t="n">
        <v>4768859.49</v>
      </c>
      <c r="U613" s="114" t="n">
        <v>7878.75</v>
      </c>
      <c r="V613" s="114" t="n">
        <v>1278.283020064</v>
      </c>
      <c r="W613" s="110" t="n">
        <v>2024</v>
      </c>
      <c r="X613" s="9" t="n"/>
      <c r="Z613" s="113" t="n"/>
      <c r="AA613" s="106" t="n"/>
      <c r="AB613" s="106" t="n"/>
      <c r="AC613" s="106" t="n"/>
      <c r="AD613" s="106" t="n"/>
      <c r="AE613" s="106" t="n"/>
      <c r="AF613" s="106" t="n"/>
      <c r="AG613" s="106" t="n"/>
      <c r="AH613" s="106" t="n"/>
      <c r="AI613" s="106" t="n"/>
      <c r="AJ613" s="106" t="n"/>
      <c r="AK613" s="106" t="n"/>
      <c r="AL613" s="106" t="n"/>
      <c r="AM613" s="106" t="n"/>
      <c r="AN613" s="114" t="n"/>
      <c r="AO613" s="115" t="n"/>
      <c r="AP613" s="112" t="n">
        <f aca="false" ca="false" dt2D="false" dtr="false" t="normal">+N613-'Приложение №2'!E613</f>
        <v>0</v>
      </c>
      <c r="AQ613" s="9" t="n">
        <f aca="false" ca="false" dt2D="false" dtr="false" t="normal">2031878.21+AR84-R84</f>
        <v>1355422.08</v>
      </c>
      <c r="AR613" s="3" t="n">
        <f aca="false" ca="false" dt2D="false" dtr="false" t="normal">+(K613*10.5+L613*21)*12*0.85</f>
        <v>370383.93000000005</v>
      </c>
      <c r="AS613" s="3" t="n">
        <f aca="false" ca="false" dt2D="false" dtr="false" t="normal">+(K613*10.5+L613*21)*12*30-S84</f>
        <v>4357559.9700000025</v>
      </c>
      <c r="AT613" s="9" t="n"/>
      <c r="AU613" s="9" t="n"/>
      <c r="AV613" s="9" t="n"/>
      <c r="AW613" s="186" t="n">
        <f aca="false" ca="true" dt2D="false" dtr="false" t="normal">SUBTOTAL(9, AX613:BL613)</f>
        <v>27247081.12499995</v>
      </c>
      <c r="AX613" s="106" t="n"/>
      <c r="AY613" s="106" t="n"/>
      <c r="AZ613" s="106" t="n"/>
      <c r="BA613" s="106" t="n"/>
      <c r="BB613" s="106" t="n"/>
      <c r="BC613" s="106" t="n"/>
      <c r="BD613" s="106" t="n"/>
      <c r="BE613" s="106" t="n"/>
      <c r="BF613" s="106" t="n"/>
      <c r="BG613" s="106" t="n"/>
      <c r="BH613" s="106" t="n">
        <v>23730954.2941432</v>
      </c>
      <c r="BI613" s="106" t="n">
        <v>0</v>
      </c>
      <c r="BJ613" s="106" t="n">
        <v>2724708.1125</v>
      </c>
      <c r="BK613" s="106" t="n">
        <v>272470.81125</v>
      </c>
      <c r="BL613" s="115" t="n">
        <v>518947.90710675</v>
      </c>
      <c r="BM613" s="186" t="n">
        <f aca="false" ca="true" dt2D="false" dtr="false" t="normal">SUBTOTAL(9, BN613:CB613)</f>
        <v>27247081.12499995</v>
      </c>
      <c r="BN613" s="106" t="n"/>
      <c r="BO613" s="106" t="n"/>
      <c r="BP613" s="106" t="n"/>
      <c r="BQ613" s="106" t="n"/>
      <c r="BR613" s="106" t="n"/>
      <c r="BS613" s="106" t="n"/>
      <c r="BT613" s="106" t="n"/>
      <c r="BU613" s="106" t="n"/>
      <c r="BV613" s="106" t="n"/>
      <c r="BW613" s="106" t="n"/>
      <c r="BX613" s="106" t="n">
        <v>23730954.2941432</v>
      </c>
      <c r="BY613" s="106" t="n">
        <v>0</v>
      </c>
      <c r="BZ613" s="106" t="n">
        <v>2724708.1125</v>
      </c>
      <c r="CA613" s="106" t="n">
        <v>272470.81125</v>
      </c>
      <c r="CB613" s="115" t="n">
        <v>518947.90710675</v>
      </c>
      <c r="CD613" s="116" t="e">
        <f aca="false" ca="false" dt2D="false" dtr="false" t="normal">+CD612+1</f>
        <v>#REF!</v>
      </c>
      <c r="CE613" s="117" t="e">
        <f aca="false" ca="false" dt2D="false" dtr="false" t="normal">+CE612+1</f>
        <v>#REF!</v>
      </c>
      <c r="CF613" s="104" t="s">
        <v>111</v>
      </c>
      <c r="CG613" s="117" t="s">
        <v>144</v>
      </c>
      <c r="CH613" s="108" t="n">
        <f aca="false" ca="true" dt2D="false" dtr="false" t="normal">SUBTOTAL(9, CI613:CW613)</f>
        <v>18254524.75</v>
      </c>
      <c r="CI613" s="106" t="n"/>
      <c r="CJ613" s="114" t="n"/>
      <c r="CK613" s="114" t="n"/>
      <c r="CL613" s="114" t="n"/>
      <c r="CM613" s="114" t="n"/>
      <c r="CN613" s="114" t="n"/>
      <c r="CO613" s="106" t="n"/>
      <c r="CP613" s="114" t="n"/>
      <c r="CQ613" s="114" t="n"/>
      <c r="CR613" s="114" t="n"/>
      <c r="CS613" s="243" t="n">
        <v>18254524.75</v>
      </c>
      <c r="CT613" s="114" t="n">
        <v>0</v>
      </c>
      <c r="CU613" s="114" t="n"/>
      <c r="CV613" s="114" t="n"/>
      <c r="CW613" s="115" t="n"/>
      <c r="CX613" s="3" t="n">
        <f aca="false" ca="false" dt2D="false" dtr="false" t="normal">+N613-CH613</f>
        <v>0</v>
      </c>
      <c r="CZ613" s="117" t="s">
        <v>144</v>
      </c>
      <c r="DA613" s="113" t="n">
        <f aca="false" ca="true" dt2D="false" dtr="false" t="normal">SUBTOTAL(9, DB613:DP613)</f>
        <v>18254524.75</v>
      </c>
      <c r="DB613" s="106" t="n"/>
      <c r="DC613" s="114" t="n"/>
      <c r="DD613" s="114" t="n"/>
      <c r="DE613" s="114" t="n"/>
      <c r="DF613" s="114" t="n"/>
      <c r="DG613" s="114" t="n"/>
      <c r="DH613" s="106" t="n"/>
      <c r="DI613" s="114" t="n"/>
      <c r="DJ613" s="114" t="n"/>
      <c r="DK613" s="114" t="n"/>
      <c r="DL613" s="243" t="n">
        <v>18254524.75</v>
      </c>
      <c r="DM613" s="114" t="n">
        <v>0</v>
      </c>
      <c r="DN613" s="241" t="n"/>
      <c r="DO613" s="241" t="n"/>
      <c r="DP613" s="240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</row>
    <row customFormat="true" hidden="false" ht="15" outlineLevel="0" r="614" s="1">
      <c r="A614" s="183" t="n">
        <f aca="false" ca="false" dt2D="false" dtr="false" t="normal">+A613+1</f>
        <v>592</v>
      </c>
      <c r="B614" s="117" t="n">
        <f aca="false" ca="false" dt2D="false" dtr="false" t="normal">+B613+1</f>
        <v>132</v>
      </c>
      <c r="C614" s="104" t="s">
        <v>111</v>
      </c>
      <c r="D614" s="104" t="s">
        <v>353</v>
      </c>
      <c r="E614" s="105" t="n">
        <v>1978</v>
      </c>
      <c r="F614" s="105" t="n">
        <v>2008</v>
      </c>
      <c r="G614" s="105" t="s">
        <v>68</v>
      </c>
      <c r="H614" s="105" t="n">
        <v>5</v>
      </c>
      <c r="I614" s="105" t="n">
        <v>4</v>
      </c>
      <c r="J614" s="106" t="n">
        <v>4929.7</v>
      </c>
      <c r="K614" s="106" t="n">
        <v>4335.1</v>
      </c>
      <c r="L614" s="106" t="n">
        <v>0</v>
      </c>
      <c r="M614" s="107" t="n">
        <v>213</v>
      </c>
      <c r="N614" s="108" t="n">
        <f aca="false" ca="false" dt2D="false" dtr="false" t="normal">SUM(P614:T614)</f>
        <v>28577312.160000004</v>
      </c>
      <c r="O614" s="106" t="n"/>
      <c r="P614" s="113" t="n">
        <v>13843419.64</v>
      </c>
      <c r="Q614" s="114" t="n"/>
      <c r="R614" s="113" t="n">
        <v>778171.75</v>
      </c>
      <c r="S614" s="113" t="n">
        <v>7419560.19</v>
      </c>
      <c r="T614" s="113" t="n">
        <v>6536160.58</v>
      </c>
      <c r="U614" s="114" t="n">
        <v>5940.74469890911</v>
      </c>
      <c r="V614" s="114" t="n">
        <v>1279.283020064</v>
      </c>
      <c r="W614" s="110" t="n">
        <v>2024</v>
      </c>
      <c r="X614" s="9" t="e">
        <f aca="false" ca="false" dt2D="false" dtr="false" t="normal">+#REF!-'[9]Приложение №1'!$P1290</f>
        <v>#REF!</v>
      </c>
      <c r="Z614" s="113" t="n">
        <f aca="false" ca="false" dt2D="false" dtr="false" t="normal">SUM(AA614:AO614)</f>
        <v>44837101.50992996</v>
      </c>
      <c r="AA614" s="106" t="n">
        <v>0</v>
      </c>
      <c r="AB614" s="106" t="n">
        <v>4199173.3275891</v>
      </c>
      <c r="AC614" s="106" t="n">
        <v>4438837.12778016</v>
      </c>
      <c r="AD614" s="106" t="n">
        <v>3384651.04316304</v>
      </c>
      <c r="AE614" s="106" t="n">
        <v>1471946.54</v>
      </c>
      <c r="AF614" s="106" t="n"/>
      <c r="AG614" s="106" t="n">
        <v>360791.8959624</v>
      </c>
      <c r="AH614" s="106" t="n">
        <v>0</v>
      </c>
      <c r="AI614" s="106" t="n">
        <v>0</v>
      </c>
      <c r="AJ614" s="106" t="n">
        <v>0</v>
      </c>
      <c r="AK614" s="106" t="n">
        <v>25094924.3780642</v>
      </c>
      <c r="AL614" s="106" t="n">
        <v>0</v>
      </c>
      <c r="AM614" s="106" t="n">
        <v>4627048.3442</v>
      </c>
      <c r="AN614" s="114" t="n">
        <v>433511.5079</v>
      </c>
      <c r="AO614" s="115" t="n">
        <v>826217.34527106</v>
      </c>
      <c r="AP614" s="112" t="n">
        <f aca="false" ca="false" dt2D="false" dtr="false" t="normal">+N614-'Приложение №2'!E614</f>
        <v>0</v>
      </c>
      <c r="AQ614" s="9" t="n">
        <f aca="false" ca="false" dt2D="false" dtr="false" t="normal">2077071.68</f>
        <v>2077071.68</v>
      </c>
      <c r="AR614" s="3" t="n">
        <f aca="false" ca="false" dt2D="false" dtr="false" t="normal">+(K614*10+L614*20)*12*0.85</f>
        <v>442180.2</v>
      </c>
      <c r="AS614" s="3" t="n">
        <f aca="false" ca="false" dt2D="false" dtr="false" t="normal">+(K614*10+L614*20)*12*30</f>
        <v>15606360</v>
      </c>
      <c r="AT614" s="9" t="n">
        <f aca="false" ca="false" dt2D="false" dtr="false" t="normal">+S614-AS614</f>
        <v>-8186799.81</v>
      </c>
      <c r="AU614" s="9" t="e">
        <f aca="false" ca="false" dt2D="false" dtr="false" t="normal">+P614-'[5]Приложение №1'!$P581</f>
        <v>#REF!</v>
      </c>
      <c r="AV614" s="9" t="e">
        <f aca="false" ca="false" dt2D="false" dtr="false" t="normal">+Q614-'[5]Приложение №1'!$Q581</f>
        <v>#REF!</v>
      </c>
      <c r="AW614" s="113" t="n">
        <f aca="false" ca="true" dt2D="false" dtr="false" t="normal">SUBTOTAL(9, AX614:BL614)</f>
        <v>25753722.34424086</v>
      </c>
      <c r="AX614" s="106" t="n">
        <v>0</v>
      </c>
      <c r="AY614" s="106" t="n"/>
      <c r="AZ614" s="106" t="n"/>
      <c r="BA614" s="106" t="n"/>
      <c r="BB614" s="106" t="n"/>
      <c r="BC614" s="106" t="n"/>
      <c r="BD614" s="106" t="n"/>
      <c r="BE614" s="106" t="n">
        <v>0</v>
      </c>
      <c r="BF614" s="106" t="n">
        <v>0</v>
      </c>
      <c r="BG614" s="106" t="n">
        <v>0</v>
      </c>
      <c r="BH614" s="106" t="n">
        <v>25094924.3780642</v>
      </c>
      <c r="BI614" s="106" t="n">
        <v>0</v>
      </c>
      <c r="BJ614" s="106" t="n"/>
      <c r="BK614" s="114" t="n"/>
      <c r="BL614" s="115" t="n">
        <f aca="false" ca="false" dt2D="false" dtr="false" t="normal">555416.30026576+103381.6659109</f>
        <v>658797.96617666</v>
      </c>
      <c r="BM614" s="113" t="n">
        <f aca="false" ca="true" dt2D="false" dtr="false" t="normal">SUBTOTAL(9, BN614:CB614)</f>
        <v>25753722.34424086</v>
      </c>
      <c r="BN614" s="106" t="n">
        <v>0</v>
      </c>
      <c r="BO614" s="106" t="n"/>
      <c r="BP614" s="106" t="n"/>
      <c r="BQ614" s="106" t="n"/>
      <c r="BR614" s="106" t="n"/>
      <c r="BS614" s="106" t="n"/>
      <c r="BT614" s="106" t="n"/>
      <c r="BU614" s="106" t="n">
        <v>0</v>
      </c>
      <c r="BV614" s="106" t="n">
        <v>0</v>
      </c>
      <c r="BW614" s="106" t="n">
        <v>0</v>
      </c>
      <c r="BX614" s="106" t="n">
        <v>25094924.3780642</v>
      </c>
      <c r="BY614" s="106" t="n">
        <v>0</v>
      </c>
      <c r="BZ614" s="106" t="n"/>
      <c r="CA614" s="114" t="n"/>
      <c r="CB614" s="115" t="n">
        <f aca="false" ca="false" dt2D="false" dtr="false" t="normal">555416.30026576+103381.6659109</f>
        <v>658797.96617666</v>
      </c>
      <c r="CD614" s="116" t="e">
        <f aca="false" ca="false" dt2D="false" dtr="false" t="normal">+CD613+1</f>
        <v>#REF!</v>
      </c>
      <c r="CE614" s="117" t="e">
        <f aca="false" ca="false" dt2D="false" dtr="false" t="normal">+CE613+1</f>
        <v>#REF!</v>
      </c>
      <c r="CF614" s="104" t="s">
        <v>111</v>
      </c>
      <c r="CG614" s="117" t="s">
        <v>353</v>
      </c>
      <c r="CH614" s="108" t="n">
        <f aca="false" ca="true" dt2D="false" dtr="false" t="normal">SUBTOTAL(9, CI614:CW614)</f>
        <v>28577312.16</v>
      </c>
      <c r="CI614" s="106" t="n">
        <v>0</v>
      </c>
      <c r="CJ614" s="114" t="n"/>
      <c r="CK614" s="243" t="n">
        <v>3758914.15</v>
      </c>
      <c r="CL614" s="114" t="n"/>
      <c r="CM614" s="114" t="n"/>
      <c r="CN614" s="114" t="n"/>
      <c r="CO614" s="106" t="n"/>
      <c r="CP614" s="114" t="n">
        <v>0</v>
      </c>
      <c r="CQ614" s="114" t="n">
        <v>0</v>
      </c>
      <c r="CR614" s="114" t="n">
        <v>0</v>
      </c>
      <c r="CS614" s="114" t="n">
        <v>24818398.01</v>
      </c>
      <c r="CT614" s="114" t="n">
        <v>0</v>
      </c>
      <c r="CU614" s="114" t="n"/>
      <c r="CV614" s="114" t="n"/>
      <c r="CW614" s="115" t="n"/>
      <c r="CX614" s="3" t="n">
        <f aca="false" ca="false" dt2D="false" dtr="false" t="normal">+N614-CH614</f>
        <v>0</v>
      </c>
      <c r="CZ614" s="117" t="s">
        <v>353</v>
      </c>
      <c r="DA614" s="113" t="n">
        <f aca="false" ca="true" dt2D="false" dtr="false" t="normal">SUBTOTAL(9, DB614:DP614)</f>
        <v>28577312.16</v>
      </c>
      <c r="DB614" s="106" t="n">
        <v>0</v>
      </c>
      <c r="DC614" s="114" t="n"/>
      <c r="DD614" s="243" t="n">
        <v>3758914.15</v>
      </c>
      <c r="DE614" s="114" t="n"/>
      <c r="DF614" s="114" t="n"/>
      <c r="DG614" s="114" t="n"/>
      <c r="DH614" s="106" t="n"/>
      <c r="DI614" s="114" t="n">
        <v>0</v>
      </c>
      <c r="DJ614" s="114" t="n">
        <v>0</v>
      </c>
      <c r="DK614" s="114" t="n">
        <v>0</v>
      </c>
      <c r="DL614" s="114" t="n">
        <v>24818398.01</v>
      </c>
      <c r="DM614" s="114" t="n">
        <v>0</v>
      </c>
      <c r="DN614" s="114" t="n"/>
      <c r="DO614" s="114" t="n"/>
      <c r="DP614" s="240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</row>
    <row customFormat="true" hidden="false" ht="15" outlineLevel="0" r="615" s="1">
      <c r="A615" s="183" t="n">
        <f aca="false" ca="false" dt2D="false" dtr="false" t="normal">+A614+1</f>
        <v>593</v>
      </c>
      <c r="B615" s="117" t="n">
        <f aca="false" ca="false" dt2D="false" dtr="false" t="normal">+B614+1</f>
        <v>133</v>
      </c>
      <c r="C615" s="117" t="s">
        <v>111</v>
      </c>
      <c r="D615" s="117" t="s">
        <v>609</v>
      </c>
      <c r="E615" s="105" t="n">
        <v>1981</v>
      </c>
      <c r="F615" s="105" t="n">
        <v>2009</v>
      </c>
      <c r="G615" s="105" t="s">
        <v>68</v>
      </c>
      <c r="H615" s="105" t="n">
        <v>5</v>
      </c>
      <c r="I615" s="105" t="n">
        <v>4</v>
      </c>
      <c r="J615" s="106" t="n">
        <v>6938.7</v>
      </c>
      <c r="K615" s="106" t="n">
        <v>6182.6</v>
      </c>
      <c r="L615" s="106" t="n">
        <v>0</v>
      </c>
      <c r="M615" s="107" t="n">
        <v>194</v>
      </c>
      <c r="N615" s="108" t="n">
        <f aca="false" ca="false" dt2D="false" dtr="false" t="normal">SUM(P615:T615)</f>
        <v>35601534.28</v>
      </c>
      <c r="O615" s="114" t="n"/>
      <c r="P615" s="113" t="n"/>
      <c r="Q615" s="114" t="n"/>
      <c r="R615" s="113" t="n">
        <v>3054172.49</v>
      </c>
      <c r="S615" s="113" t="n">
        <v>5807839.78</v>
      </c>
      <c r="T615" s="113" t="n">
        <v>26739522.01</v>
      </c>
      <c r="U615" s="106" t="n">
        <v>8696.48241719611</v>
      </c>
      <c r="V615" s="106" t="n">
        <v>8696.48241719611</v>
      </c>
      <c r="W615" s="110" t="n">
        <v>2024</v>
      </c>
      <c r="X615" s="9" t="e">
        <f aca="false" ca="false" dt2D="false" dtr="false" t="normal">+#REF!-'[9]Приложение №1'!$P1497</f>
        <v>#REF!</v>
      </c>
      <c r="Z615" s="113" t="n">
        <f aca="false" ca="false" dt2D="false" dtr="false" t="normal">SUM(AA615:AO615)</f>
        <v>112490116.45000003</v>
      </c>
      <c r="AA615" s="106" t="n">
        <v>10300846.1912374</v>
      </c>
      <c r="AB615" s="106" t="n">
        <v>5957260.96166124</v>
      </c>
      <c r="AC615" s="106" t="n">
        <v>6297265.91769912</v>
      </c>
      <c r="AD615" s="106" t="n">
        <v>4801718.79918612</v>
      </c>
      <c r="AE615" s="106" t="n">
        <v>1918188.36602316</v>
      </c>
      <c r="AF615" s="106" t="n"/>
      <c r="AG615" s="106" t="n">
        <v>511846.3343322</v>
      </c>
      <c r="AH615" s="106" t="n">
        <v>0</v>
      </c>
      <c r="AI615" s="106" t="n">
        <v>18337074.5641356</v>
      </c>
      <c r="AJ615" s="106" t="n">
        <v>0</v>
      </c>
      <c r="AK615" s="106" t="n">
        <v>35601534.2757829</v>
      </c>
      <c r="AL615" s="106" t="n">
        <v>14001626.8190547</v>
      </c>
      <c r="AM615" s="106" t="n">
        <v>11500753.5758</v>
      </c>
      <c r="AN615" s="114" t="n">
        <v>1124901.1645</v>
      </c>
      <c r="AO615" s="115" t="n">
        <v>2137099.48058758</v>
      </c>
      <c r="AP615" s="112" t="n">
        <f aca="false" ca="false" dt2D="false" dtr="false" t="normal">+N615-'Приложение №2'!E613</f>
        <v>17347009.53</v>
      </c>
      <c r="AQ615" s="9" t="n">
        <f aca="false" ca="false" dt2D="false" dtr="false" t="normal">2933225.6-137130.98-R324</f>
        <v>2378457.38</v>
      </c>
      <c r="AR615" s="3" t="n">
        <f aca="false" ca="false" dt2D="false" dtr="false" t="normal">+(K615*10+L615*20)*12*0.85</f>
        <v>630625.2</v>
      </c>
      <c r="AS615" s="3" t="n">
        <f aca="false" ca="false" dt2D="false" dtr="false" t="normal">+(K615*10+L615*20)*12*30-S324</f>
        <v>19791699.03</v>
      </c>
      <c r="AT615" s="9" t="n">
        <f aca="false" ca="false" dt2D="false" dtr="false" t="normal">+S615-AS615</f>
        <v>-13983859.25</v>
      </c>
      <c r="AU615" s="9" t="e">
        <f aca="false" ca="false" dt2D="false" dtr="false" t="normal">+P615-'[5]Приложение №1'!$P564</f>
        <v>#REF!</v>
      </c>
      <c r="AV615" s="9" t="e">
        <f aca="false" ca="false" dt2D="false" dtr="false" t="normal">+Q615-'[5]Приложение №1'!$Q564</f>
        <v>#REF!</v>
      </c>
      <c r="AW615" s="113" t="n">
        <f aca="false" ca="true" dt2D="false" dtr="false" t="normal">SUBTOTAL(9, AX615:BL615)</f>
        <v>53766872.192556694</v>
      </c>
      <c r="AX615" s="106" t="n"/>
      <c r="AY615" s="106" t="n"/>
      <c r="AZ615" s="1" t="n">
        <v>4113294.16</v>
      </c>
      <c r="BA615" s="106" t="n"/>
      <c r="BB615" s="106" t="n"/>
      <c r="BC615" s="106" t="n"/>
      <c r="BD615" s="106" t="n"/>
      <c r="BE615" s="106" t="n">
        <v>0</v>
      </c>
      <c r="BF615" s="106" t="n"/>
      <c r="BG615" s="106" t="n">
        <v>0</v>
      </c>
      <c r="BH615" s="106" t="n">
        <v>35601534.2757829</v>
      </c>
      <c r="BI615" s="106" t="n">
        <v>13661056.57</v>
      </c>
      <c r="BJ615" s="106" t="n"/>
      <c r="BK615" s="114" t="n"/>
      <c r="BL615" s="187" t="n">
        <v>390987.1867738</v>
      </c>
      <c r="BM615" s="113" t="n">
        <f aca="false" ca="true" dt2D="false" dtr="false" t="normal">SUBTOTAL(9, BN615:CB615)</f>
        <v>53766872.192556694</v>
      </c>
      <c r="BN615" s="106" t="n"/>
      <c r="BO615" s="106" t="n"/>
      <c r="BP615" s="3" t="n">
        <v>4113294.16</v>
      </c>
      <c r="BQ615" s="106" t="n"/>
      <c r="BR615" s="106" t="n"/>
      <c r="BS615" s="106" t="n"/>
      <c r="BT615" s="106" t="n"/>
      <c r="BU615" s="106" t="n">
        <v>0</v>
      </c>
      <c r="BV615" s="106" t="n"/>
      <c r="BW615" s="106" t="n">
        <v>0</v>
      </c>
      <c r="BX615" s="106" t="n">
        <v>35601534.2757829</v>
      </c>
      <c r="BY615" s="106" t="n">
        <v>13661056.57</v>
      </c>
      <c r="BZ615" s="106" t="n"/>
      <c r="CA615" s="114" t="n"/>
      <c r="CB615" s="115" t="n">
        <v>390987.1867738</v>
      </c>
      <c r="CD615" s="116" t="e">
        <f aca="false" ca="false" dt2D="false" dtr="false" t="normal">+CD614+1</f>
        <v>#REF!</v>
      </c>
      <c r="CE615" s="117" t="e">
        <f aca="false" ca="false" dt2D="false" dtr="false" t="normal">+CE614+1</f>
        <v>#REF!</v>
      </c>
      <c r="CF615" s="104" t="s">
        <v>111</v>
      </c>
      <c r="CG615" s="117" t="s">
        <v>146</v>
      </c>
      <c r="CH615" s="108" t="n">
        <f aca="false" ca="true" dt2D="false" dtr="false" t="normal">SUBTOTAL(9, CI615:CW615)</f>
        <v>35992521.47</v>
      </c>
      <c r="CI615" s="106" t="n"/>
      <c r="CJ615" s="114" t="n"/>
      <c r="CK615" s="114" t="n"/>
      <c r="CL615" s="114" t="n"/>
      <c r="CM615" s="114" t="n"/>
      <c r="CN615" s="114" t="n"/>
      <c r="CO615" s="106" t="n"/>
      <c r="CP615" s="114" t="n">
        <v>0</v>
      </c>
      <c r="CQ615" s="114" t="n"/>
      <c r="CR615" s="114" t="n">
        <v>0</v>
      </c>
      <c r="CS615" s="114" t="n">
        <v>35601534.28</v>
      </c>
      <c r="CT615" s="114" t="n"/>
      <c r="CU615" s="114" t="n"/>
      <c r="CV615" s="114" t="n"/>
      <c r="CW615" s="115" t="n">
        <v>390987.19</v>
      </c>
      <c r="CX615" s="3" t="n">
        <f aca="false" ca="false" dt2D="false" dtr="false" t="normal">+N615-CH615</f>
        <v>-390987.1899999976</v>
      </c>
      <c r="CZ615" s="117" t="s">
        <v>146</v>
      </c>
      <c r="DA615" s="113" t="n">
        <f aca="false" ca="true" dt2D="false" dtr="false" t="normal">SUBTOTAL(9, DB615:DP615)</f>
        <v>35601534.28</v>
      </c>
      <c r="DB615" s="106" t="n"/>
      <c r="DC615" s="114" t="n"/>
      <c r="DD615" s="114" t="n"/>
      <c r="DE615" s="114" t="n"/>
      <c r="DF615" s="114" t="n"/>
      <c r="DG615" s="114" t="n"/>
      <c r="DH615" s="106" t="n"/>
      <c r="DI615" s="114" t="n">
        <v>0</v>
      </c>
      <c r="DJ615" s="114" t="n"/>
      <c r="DK615" s="114" t="n">
        <v>0</v>
      </c>
      <c r="DL615" s="114" t="n">
        <v>35601534.28</v>
      </c>
      <c r="DM615" s="114" t="n"/>
      <c r="DN615" s="114" t="n"/>
      <c r="DO615" s="114" t="n"/>
      <c r="DP615" s="240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</row>
    <row customFormat="true" hidden="false" ht="15" outlineLevel="0" r="616" s="1">
      <c r="A616" s="183" t="n">
        <f aca="false" ca="false" dt2D="false" dtr="false" t="normal">+A615+1</f>
        <v>594</v>
      </c>
      <c r="B616" s="117" t="n">
        <f aca="false" ca="false" dt2D="false" dtr="false" t="normal">+B615+1</f>
        <v>134</v>
      </c>
      <c r="C616" s="104" t="s">
        <v>111</v>
      </c>
      <c r="D616" s="104" t="s">
        <v>610</v>
      </c>
      <c r="E616" s="105" t="n">
        <v>1999</v>
      </c>
      <c r="F616" s="105" t="n">
        <v>1999</v>
      </c>
      <c r="G616" s="105" t="s">
        <v>68</v>
      </c>
      <c r="H616" s="105" t="n">
        <v>9</v>
      </c>
      <c r="I616" s="105" t="n">
        <v>3</v>
      </c>
      <c r="J616" s="106" t="n">
        <v>8088.49</v>
      </c>
      <c r="K616" s="106" t="n">
        <v>6790.2</v>
      </c>
      <c r="L616" s="106" t="n">
        <v>225.6</v>
      </c>
      <c r="M616" s="107" t="n">
        <v>255</v>
      </c>
      <c r="N616" s="108" t="n">
        <f aca="false" ca="false" dt2D="false" dtr="false" t="normal">SUM(P616:T616)</f>
        <v>8843413.71</v>
      </c>
      <c r="O616" s="106" t="n"/>
      <c r="P616" s="114" t="n"/>
      <c r="Q616" s="114" t="n"/>
      <c r="R616" s="113" t="n">
        <v>6194208.5</v>
      </c>
      <c r="S616" s="113" t="n">
        <v>2649205.21</v>
      </c>
      <c r="T616" s="114" t="n">
        <v>0</v>
      </c>
      <c r="U616" s="114" t="n">
        <v>1887.00627374746</v>
      </c>
      <c r="V616" s="114" t="n">
        <v>1284.283020064</v>
      </c>
      <c r="W616" s="110" t="n">
        <v>2024</v>
      </c>
      <c r="X616" s="9" t="n"/>
      <c r="Z616" s="113" t="n"/>
      <c r="AA616" s="106" t="n"/>
      <c r="AB616" s="106" t="n"/>
      <c r="AC616" s="106" t="n"/>
      <c r="AD616" s="106" t="n"/>
      <c r="AE616" s="106" t="n"/>
      <c r="AF616" s="106" t="n"/>
      <c r="AG616" s="106" t="n"/>
      <c r="AH616" s="106" t="n"/>
      <c r="AI616" s="106" t="n"/>
      <c r="AJ616" s="106" t="n"/>
      <c r="AK616" s="106" t="n"/>
      <c r="AL616" s="106" t="n"/>
      <c r="AM616" s="106" t="n"/>
      <c r="AN616" s="114" t="n"/>
      <c r="AO616" s="115" t="n"/>
      <c r="AP616" s="112" t="n">
        <f aca="false" ca="false" dt2D="false" dtr="false" t="normal">+N616-'Приложение №2'!E616</f>
        <v>0</v>
      </c>
      <c r="AQ616" s="121" t="n">
        <v>5436842.8</v>
      </c>
      <c r="AR616" s="3" t="n">
        <f aca="false" ca="false" dt2D="false" dtr="false" t="normal">+(K616*13.95+L616*23.65)*12*0.85</f>
        <v>1020599.046</v>
      </c>
      <c r="AS616" s="3" t="n">
        <f aca="false" ca="false" dt2D="false" dtr="false" t="normal">+(K616*13.95+L616*23.65)*12*30</f>
        <v>36021142.8</v>
      </c>
      <c r="AT616" s="9" t="n">
        <f aca="false" ca="false" dt2D="false" dtr="false" t="normal">+S616-AS616</f>
        <v>-33371937.589999996</v>
      </c>
      <c r="AU616" s="9" t="e">
        <f aca="false" ca="false" dt2D="false" dtr="false" t="normal">+P616-'[5]Приложение №1'!$P567</f>
        <v>#REF!</v>
      </c>
      <c r="AV616" s="9" t="e">
        <f aca="false" ca="false" dt2D="false" dtr="false" t="normal">+Q616-'[5]Приложение №1'!$Q567</f>
        <v>#REF!</v>
      </c>
      <c r="AW616" s="186" t="n">
        <f aca="false" ca="true" dt2D="false" dtr="false" t="normal">SUBTOTAL(9, AX616:BL616)</f>
        <v>12813150</v>
      </c>
      <c r="AX616" s="106" t="n"/>
      <c r="AY616" s="106" t="n"/>
      <c r="AZ616" s="106" t="n"/>
      <c r="BA616" s="106" t="n"/>
      <c r="BB616" s="106" t="n"/>
      <c r="BC616" s="106" t="n"/>
      <c r="BD616" s="106" t="n"/>
      <c r="BE616" s="106" t="n">
        <v>12037390.6464</v>
      </c>
      <c r="BF616" s="106" t="n"/>
      <c r="BG616" s="106" t="n"/>
      <c r="BH616" s="106" t="n"/>
      <c r="BI616" s="106" t="n"/>
      <c r="BJ616" s="106" t="n">
        <v>384394.5</v>
      </c>
      <c r="BK616" s="114" t="n">
        <v>128131.5</v>
      </c>
      <c r="BL616" s="115" t="n">
        <v>263233.3536</v>
      </c>
      <c r="BM616" s="186" t="n">
        <f aca="false" ca="true" dt2D="false" dtr="false" t="normal">SUBTOTAL(9, BN616:CB616)</f>
        <v>12813150</v>
      </c>
      <c r="BN616" s="106" t="n"/>
      <c r="BO616" s="106" t="n"/>
      <c r="BP616" s="106" t="n"/>
      <c r="BQ616" s="106" t="n"/>
      <c r="BR616" s="106" t="n"/>
      <c r="BS616" s="106" t="n"/>
      <c r="BT616" s="106" t="n"/>
      <c r="BU616" s="106" t="n">
        <v>12037390.6464</v>
      </c>
      <c r="BV616" s="106" t="n"/>
      <c r="BW616" s="106" t="n"/>
      <c r="BX616" s="106" t="n"/>
      <c r="BY616" s="106" t="n"/>
      <c r="BZ616" s="106" t="n">
        <v>384394.5</v>
      </c>
      <c r="CA616" s="114" t="n">
        <v>128131.5</v>
      </c>
      <c r="CB616" s="115" t="n">
        <v>263233.3536</v>
      </c>
      <c r="CD616" s="116" t="e">
        <f aca="false" ca="false" dt2D="false" dtr="false" t="normal">+CD615+1</f>
        <v>#REF!</v>
      </c>
      <c r="CE616" s="117" t="e">
        <f aca="false" ca="false" dt2D="false" dtr="false" t="normal">+CE615+1</f>
        <v>#REF!</v>
      </c>
      <c r="CF616" s="104" t="s">
        <v>111</v>
      </c>
      <c r="CG616" s="117" t="s">
        <v>610</v>
      </c>
      <c r="CH616" s="108" t="n">
        <f aca="false" ca="true" dt2D="false" dtr="false" t="normal">SUBTOTAL(9, CI616:CW616)</f>
        <v>8843413.71</v>
      </c>
      <c r="CI616" s="106" t="n"/>
      <c r="CJ616" s="114" t="n"/>
      <c r="CK616" s="114" t="n"/>
      <c r="CL616" s="114" t="n"/>
      <c r="CM616" s="114" t="n"/>
      <c r="CN616" s="114" t="n"/>
      <c r="CO616" s="106" t="n"/>
      <c r="CP616" s="243" t="n">
        <v>8330887.71</v>
      </c>
      <c r="CQ616" s="114" t="n"/>
      <c r="CR616" s="114" t="n"/>
      <c r="CS616" s="114" t="n"/>
      <c r="CT616" s="114" t="n"/>
      <c r="CU616" s="114" t="n">
        <v>384394.5</v>
      </c>
      <c r="CV616" s="114" t="n">
        <v>128131.5</v>
      </c>
      <c r="CW616" s="115" t="n"/>
      <c r="CX616" s="3" t="n">
        <f aca="false" ca="false" dt2D="false" dtr="false" t="normal">+N616-CH616</f>
        <v>0</v>
      </c>
      <c r="CZ616" s="117" t="s">
        <v>610</v>
      </c>
      <c r="DA616" s="113" t="n">
        <f aca="false" ca="true" dt2D="false" dtr="false" t="normal">SUBTOTAL(9, DB616:DP616)</f>
        <v>8843413.71</v>
      </c>
      <c r="DB616" s="106" t="n"/>
      <c r="DC616" s="114" t="n"/>
      <c r="DD616" s="114" t="n"/>
      <c r="DE616" s="114" t="n"/>
      <c r="DF616" s="114" t="n"/>
      <c r="DG616" s="114" t="n"/>
      <c r="DH616" s="106" t="n"/>
      <c r="DI616" s="243" t="n">
        <v>8330887.71</v>
      </c>
      <c r="DJ616" s="114" t="n"/>
      <c r="DK616" s="114" t="n"/>
      <c r="DL616" s="114" t="n"/>
      <c r="DM616" s="114" t="n"/>
      <c r="DN616" s="114" t="n">
        <v>384394.5</v>
      </c>
      <c r="DO616" s="114" t="n">
        <v>128131.5</v>
      </c>
      <c r="DP616" s="240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</row>
    <row customFormat="true" customHeight="true" hidden="false" ht="15.75" outlineLevel="0" r="617" s="1">
      <c r="A617" s="183" t="n">
        <f aca="false" ca="false" dt2D="false" dtr="false" t="normal">+A616+1</f>
        <v>595</v>
      </c>
      <c r="B617" s="117" t="n">
        <f aca="false" ca="false" dt2D="false" dtr="false" t="normal">+B616+1</f>
        <v>135</v>
      </c>
      <c r="C617" s="104" t="s">
        <v>111</v>
      </c>
      <c r="D617" s="104" t="s">
        <v>611</v>
      </c>
      <c r="E617" s="105" t="n">
        <v>1985</v>
      </c>
      <c r="F617" s="105" t="n">
        <v>2013</v>
      </c>
      <c r="G617" s="105" t="s">
        <v>68</v>
      </c>
      <c r="H617" s="105" t="n">
        <v>4</v>
      </c>
      <c r="I617" s="105" t="n">
        <v>3</v>
      </c>
      <c r="J617" s="106" t="n">
        <v>4161.15</v>
      </c>
      <c r="K617" s="106" t="n">
        <v>3740.02</v>
      </c>
      <c r="L617" s="106" t="n">
        <v>392.4</v>
      </c>
      <c r="M617" s="107" t="n">
        <v>277</v>
      </c>
      <c r="N617" s="108" t="n">
        <f aca="false" ca="false" dt2D="false" dtr="false" t="normal">SUM(P617:T617)</f>
        <v>3846154.33</v>
      </c>
      <c r="O617" s="106" t="n"/>
      <c r="P617" s="114" t="n"/>
      <c r="Q617" s="114" t="n"/>
      <c r="R617" s="113" t="n">
        <v>2278497.52</v>
      </c>
      <c r="S617" s="113" t="n">
        <v>1207782.09</v>
      </c>
      <c r="T617" s="113" t="n">
        <v>359874.72</v>
      </c>
      <c r="U617" s="114" t="n">
        <v>1048.76236065234</v>
      </c>
      <c r="V617" s="114" t="n">
        <v>1286.283020064</v>
      </c>
      <c r="W617" s="110" t="n">
        <v>2024</v>
      </c>
      <c r="X617" s="9" t="e">
        <f aca="false" ca="false" dt2D="false" dtr="false" t="normal">+#REF!-'[9]Приложение №1'!$P669</f>
        <v>#REF!</v>
      </c>
      <c r="Z617" s="113" t="n">
        <f aca="false" ca="false" dt2D="false" dtr="false" t="normal">SUM(AA617:AO617)</f>
        <v>14208184.49</v>
      </c>
      <c r="AA617" s="106" t="n">
        <v>0</v>
      </c>
      <c r="AB617" s="106" t="n">
        <v>0</v>
      </c>
      <c r="AC617" s="106" t="n">
        <v>3486279.60661302</v>
      </c>
      <c r="AD617" s="106" t="n">
        <v>0</v>
      </c>
      <c r="AE617" s="106" t="n">
        <v>0</v>
      </c>
      <c r="AF617" s="106" t="n"/>
      <c r="AG617" s="106" t="n">
        <v>0</v>
      </c>
      <c r="AH617" s="106" t="n">
        <v>0</v>
      </c>
      <c r="AI617" s="106" t="n">
        <v>0</v>
      </c>
      <c r="AJ617" s="106" t="n">
        <v>0</v>
      </c>
      <c r="AK617" s="106" t="n">
        <v>8888395.50769044</v>
      </c>
      <c r="AL617" s="106" t="n">
        <v>0</v>
      </c>
      <c r="AM617" s="106" t="n">
        <v>1420818.449</v>
      </c>
      <c r="AN617" s="114" t="n">
        <v>142081.8449</v>
      </c>
      <c r="AO617" s="115" t="n">
        <v>270609.08179654</v>
      </c>
      <c r="AP617" s="112" t="n">
        <f aca="false" ca="false" dt2D="false" dtr="false" t="normal">+N617-'Приложение №2'!E617</f>
        <v>0</v>
      </c>
      <c r="AQ617" s="121" t="n">
        <v>2221476.85</v>
      </c>
      <c r="AR617" s="3" t="n">
        <f aca="false" ca="false" dt2D="false" dtr="false" t="normal">+(K617*10.5+L617*21)*12*0.85</f>
        <v>484608.22200000007</v>
      </c>
      <c r="AS617" s="3" t="n">
        <f aca="false" ca="false" dt2D="false" dtr="false" t="normal">+(K617*10.5+L617*21)*12*30</f>
        <v>17103819.6</v>
      </c>
      <c r="AT617" s="9" t="n">
        <f aca="false" ca="false" dt2D="false" dtr="false" t="normal">+S617-AS617</f>
        <v>-15896037.510000002</v>
      </c>
      <c r="AU617" s="9" t="e">
        <f aca="false" ca="false" dt2D="false" dtr="false" t="normal">+P617-'[5]Приложение №1'!$P569</f>
        <v>#REF!</v>
      </c>
      <c r="AV617" s="9" t="e">
        <f aca="false" ca="false" dt2D="false" dtr="false" t="normal">+Q617-'[5]Приложение №1'!$Q569</f>
        <v>#REF!</v>
      </c>
      <c r="AW617" s="186" t="n">
        <f aca="false" ca="true" dt2D="false" dtr="false" t="normal">SUBTOTAL(9, AX617:BL617)</f>
        <v>3922392.20408698</v>
      </c>
      <c r="AX617" s="106" t="n">
        <v>0</v>
      </c>
      <c r="AY617" s="106" t="n">
        <v>0</v>
      </c>
      <c r="AZ617" s="106" t="n">
        <v>3846154.33</v>
      </c>
      <c r="BA617" s="106" t="n">
        <v>0</v>
      </c>
      <c r="BB617" s="106" t="n">
        <v>0</v>
      </c>
      <c r="BC617" s="106" t="n"/>
      <c r="BD617" s="106" t="n"/>
      <c r="BE617" s="106" t="n">
        <v>0</v>
      </c>
      <c r="BF617" s="106" t="n">
        <v>0</v>
      </c>
      <c r="BG617" s="106" t="n">
        <v>0</v>
      </c>
      <c r="BH617" s="106" t="n"/>
      <c r="BI617" s="106" t="n">
        <v>0</v>
      </c>
      <c r="BJ617" s="106" t="n"/>
      <c r="BK617" s="114" t="n"/>
      <c r="BL617" s="187" t="n">
        <v>76237.87408698</v>
      </c>
      <c r="BM617" s="186" t="n">
        <f aca="false" ca="true" dt2D="false" dtr="false" t="normal">SUBTOTAL(9, BN617:CB617)</f>
        <v>3922392.20408698</v>
      </c>
      <c r="BN617" s="106" t="n">
        <v>0</v>
      </c>
      <c r="BO617" s="106" t="n">
        <v>0</v>
      </c>
      <c r="BP617" s="106" t="n">
        <v>3846154.33</v>
      </c>
      <c r="BQ617" s="106" t="n">
        <v>0</v>
      </c>
      <c r="BR617" s="106" t="n">
        <v>0</v>
      </c>
      <c r="BS617" s="106" t="n"/>
      <c r="BT617" s="106" t="n"/>
      <c r="BU617" s="106" t="n">
        <v>0</v>
      </c>
      <c r="BV617" s="106" t="n">
        <v>0</v>
      </c>
      <c r="BW617" s="106" t="n">
        <v>0</v>
      </c>
      <c r="BX617" s="106" t="n"/>
      <c r="BY617" s="106" t="n">
        <v>0</v>
      </c>
      <c r="BZ617" s="106" t="n"/>
      <c r="CA617" s="114" t="n"/>
      <c r="CB617" s="115" t="n">
        <v>76237.87408698</v>
      </c>
      <c r="CD617" s="116" t="e">
        <f aca="false" ca="false" dt2D="false" dtr="false" t="normal">+#REF!+1</f>
        <v>#REF!</v>
      </c>
      <c r="CE617" s="117" t="e">
        <f aca="false" ca="false" dt2D="false" dtr="false" t="normal">+#REF!+1</f>
        <v>#REF!</v>
      </c>
      <c r="CF617" s="104" t="s">
        <v>111</v>
      </c>
      <c r="CG617" s="117" t="s">
        <v>611</v>
      </c>
      <c r="CH617" s="108" t="n">
        <f aca="false" ca="true" dt2D="false" dtr="false" t="normal">SUBTOTAL(9, CI617:CW617)</f>
        <v>3922392.2</v>
      </c>
      <c r="CI617" s="106" t="n">
        <v>0</v>
      </c>
      <c r="CJ617" s="114" t="n">
        <v>0</v>
      </c>
      <c r="CK617" s="114" t="n">
        <v>3846154.33</v>
      </c>
      <c r="CL617" s="114" t="n">
        <v>0</v>
      </c>
      <c r="CM617" s="114" t="n">
        <v>0</v>
      </c>
      <c r="CN617" s="114" t="n"/>
      <c r="CO617" s="106" t="n"/>
      <c r="CP617" s="114" t="n">
        <v>0</v>
      </c>
      <c r="CQ617" s="114" t="n">
        <v>0</v>
      </c>
      <c r="CR617" s="114" t="n">
        <v>0</v>
      </c>
      <c r="CS617" s="114" t="n"/>
      <c r="CT617" s="114" t="n">
        <v>0</v>
      </c>
      <c r="CU617" s="114" t="n"/>
      <c r="CV617" s="114" t="n"/>
      <c r="CW617" s="115" t="n">
        <v>76237.87</v>
      </c>
      <c r="CX617" s="3" t="n">
        <f aca="false" ca="false" dt2D="false" dtr="false" t="normal">+N617-CH617</f>
        <v>-76237.87000000011</v>
      </c>
      <c r="CZ617" s="117" t="s">
        <v>611</v>
      </c>
      <c r="DA617" s="113" t="n">
        <f aca="false" ca="true" dt2D="false" dtr="false" t="normal">SUBTOTAL(9, DB617:DP617)</f>
        <v>3846154.33</v>
      </c>
      <c r="DB617" s="106" t="n">
        <v>0</v>
      </c>
      <c r="DC617" s="114" t="n">
        <v>0</v>
      </c>
      <c r="DD617" s="114" t="n">
        <v>3846154.33</v>
      </c>
      <c r="DE617" s="114" t="n">
        <v>0</v>
      </c>
      <c r="DF617" s="114" t="n">
        <v>0</v>
      </c>
      <c r="DG617" s="114" t="n"/>
      <c r="DH617" s="106" t="n"/>
      <c r="DI617" s="114" t="n">
        <v>0</v>
      </c>
      <c r="DJ617" s="114" t="n">
        <v>0</v>
      </c>
      <c r="DK617" s="114" t="n">
        <v>0</v>
      </c>
      <c r="DL617" s="114" t="n"/>
      <c r="DM617" s="114" t="n">
        <v>0</v>
      </c>
      <c r="DN617" s="114" t="n"/>
      <c r="DO617" s="114" t="n"/>
      <c r="DP617" s="240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</row>
    <row customFormat="true" hidden="false" ht="15" outlineLevel="0" r="618" s="1">
      <c r="A618" s="183" t="n">
        <f aca="false" ca="false" dt2D="false" dtr="false" t="normal">+A617+1</f>
        <v>596</v>
      </c>
      <c r="B618" s="117" t="n">
        <f aca="false" ca="false" dt2D="false" dtr="false" t="normal">+B617+1</f>
        <v>136</v>
      </c>
      <c r="C618" s="104" t="s">
        <v>111</v>
      </c>
      <c r="D618" s="104" t="s">
        <v>612</v>
      </c>
      <c r="E618" s="105" t="n">
        <v>1984</v>
      </c>
      <c r="F618" s="105" t="n">
        <v>2013</v>
      </c>
      <c r="G618" s="105" t="s">
        <v>68</v>
      </c>
      <c r="H618" s="105" t="n">
        <v>4</v>
      </c>
      <c r="I618" s="105" t="n">
        <v>6</v>
      </c>
      <c r="J618" s="106" t="n">
        <v>5500.86</v>
      </c>
      <c r="K618" s="106" t="n">
        <v>4979.26</v>
      </c>
      <c r="L618" s="106" t="n">
        <v>0</v>
      </c>
      <c r="M618" s="107" t="n">
        <v>210</v>
      </c>
      <c r="N618" s="108" t="n">
        <f aca="false" ca="false" dt2D="false" dtr="false" t="normal">SUM(P618:T618)</f>
        <v>2555373.7</v>
      </c>
      <c r="O618" s="106" t="n"/>
      <c r="P618" s="114" t="n"/>
      <c r="Q618" s="114" t="n"/>
      <c r="R618" s="113" t="n">
        <v>2156118.25</v>
      </c>
      <c r="S618" s="114" t="n"/>
      <c r="T618" s="114" t="n">
        <v>399255.45</v>
      </c>
      <c r="U618" s="114" t="n">
        <v>466.631917192515</v>
      </c>
      <c r="V618" s="114" t="n">
        <v>1287.283020064</v>
      </c>
      <c r="W618" s="110" t="n">
        <v>2024</v>
      </c>
      <c r="X618" s="9" t="e">
        <f aca="false" ca="false" dt2D="false" dtr="false" t="normal">+#REF!-'[9]Приложение №1'!$P1045</f>
        <v>#REF!</v>
      </c>
      <c r="Z618" s="113" t="n">
        <f aca="false" ca="false" dt2D="false" dtr="false" t="normal">SUM(AA618:AO618)</f>
        <v>2299959.7399999998</v>
      </c>
      <c r="AA618" s="106" t="n">
        <v>0</v>
      </c>
      <c r="AB618" s="106" t="n">
        <v>0</v>
      </c>
      <c r="AC618" s="106" t="n">
        <v>0</v>
      </c>
      <c r="AD618" s="106" t="n">
        <v>0</v>
      </c>
      <c r="AE618" s="106" t="n">
        <v>2156118.250734</v>
      </c>
      <c r="AF618" s="106" t="n"/>
      <c r="AG618" s="106" t="n">
        <v>0</v>
      </c>
      <c r="AH618" s="106" t="n">
        <v>0</v>
      </c>
      <c r="AI618" s="106" t="n">
        <v>0</v>
      </c>
      <c r="AJ618" s="106" t="n">
        <v>0</v>
      </c>
      <c r="AK618" s="106" t="n">
        <v>0</v>
      </c>
      <c r="AL618" s="106" t="n">
        <v>0</v>
      </c>
      <c r="AM618" s="106" t="n">
        <v>90857.4</v>
      </c>
      <c r="AN618" s="106" t="n">
        <v>5834.15</v>
      </c>
      <c r="AO618" s="115" t="n">
        <v>47149.939266</v>
      </c>
      <c r="AP618" s="112" t="n">
        <f aca="false" ca="false" dt2D="false" dtr="false" t="normal">+N618-'Приложение №2'!E618</f>
        <v>0</v>
      </c>
      <c r="AQ618" s="121" t="n">
        <v>2867493.87</v>
      </c>
      <c r="AR618" s="3" t="n">
        <f aca="false" ca="false" dt2D="false" dtr="false" t="normal">+(K618*10.5+L618*21)*12*0.85</f>
        <v>533278.746</v>
      </c>
      <c r="AS618" s="3" t="n">
        <f aca="false" ca="false" dt2D="false" dtr="false" t="normal">+(K618*10.5+L618*21)*12*30</f>
        <v>18821602.8</v>
      </c>
      <c r="AT618" s="9" t="n">
        <f aca="false" ca="false" dt2D="false" dtr="false" t="normal">+S618-AS618</f>
        <v>-18821602.8</v>
      </c>
      <c r="AU618" s="9" t="e">
        <f aca="false" ca="false" dt2D="false" dtr="false" t="normal">+P618-'[5]Приложение №1'!$P570</f>
        <v>#REF!</v>
      </c>
      <c r="AV618" s="9" t="e">
        <f aca="false" ca="false" dt2D="false" dtr="false" t="normal">+Q618-'[5]Приложение №1'!$Q570</f>
        <v>#REF!</v>
      </c>
      <c r="AW618" s="186" t="n">
        <f aca="false" ca="true" dt2D="false" dtr="false" t="normal">SUBTOTAL(9, AX618:BL618)</f>
        <v>2323481.6399999997</v>
      </c>
      <c r="AX618" s="106" t="n">
        <v>0</v>
      </c>
      <c r="AY618" s="106" t="n">
        <v>0</v>
      </c>
      <c r="AZ618" s="106" t="n">
        <v>0</v>
      </c>
      <c r="BA618" s="106" t="n">
        <v>0</v>
      </c>
      <c r="BB618" s="106" t="n">
        <v>2156118.250734</v>
      </c>
      <c r="BC618" s="106" t="n"/>
      <c r="BD618" s="106" t="n"/>
      <c r="BE618" s="106" t="n">
        <v>0</v>
      </c>
      <c r="BF618" s="106" t="n">
        <v>0</v>
      </c>
      <c r="BG618" s="106" t="n">
        <v>0</v>
      </c>
      <c r="BH618" s="106" t="n">
        <v>0</v>
      </c>
      <c r="BI618" s="106" t="n">
        <v>0</v>
      </c>
      <c r="BJ618" s="106" t="n">
        <v>114379.3</v>
      </c>
      <c r="BK618" s="106" t="n">
        <v>5834.15</v>
      </c>
      <c r="BL618" s="115" t="n">
        <v>47149.939266</v>
      </c>
      <c r="BM618" s="186" t="n">
        <f aca="false" ca="true" dt2D="false" dtr="false" t="normal">SUBTOTAL(9, BN618:CB618)</f>
        <v>2323481.6399999997</v>
      </c>
      <c r="BN618" s="106" t="n">
        <v>0</v>
      </c>
      <c r="BO618" s="106" t="n">
        <v>0</v>
      </c>
      <c r="BP618" s="106" t="n">
        <v>0</v>
      </c>
      <c r="BQ618" s="106" t="n">
        <v>0</v>
      </c>
      <c r="BR618" s="106" t="n">
        <v>2156118.250734</v>
      </c>
      <c r="BS618" s="106" t="n"/>
      <c r="BT618" s="106" t="n"/>
      <c r="BU618" s="106" t="n">
        <v>0</v>
      </c>
      <c r="BV618" s="106" t="n">
        <v>0</v>
      </c>
      <c r="BW618" s="106" t="n">
        <v>0</v>
      </c>
      <c r="BX618" s="106" t="n">
        <v>0</v>
      </c>
      <c r="BY618" s="106" t="n">
        <v>0</v>
      </c>
      <c r="BZ618" s="106" t="n">
        <v>114379.3</v>
      </c>
      <c r="CA618" s="106" t="n">
        <v>5834.15</v>
      </c>
      <c r="CB618" s="115" t="n">
        <v>47149.939266</v>
      </c>
      <c r="CD618" s="116" t="e">
        <f aca="false" ca="false" dt2D="false" dtr="false" t="normal">+CD617+1</f>
        <v>#REF!</v>
      </c>
      <c r="CE618" s="117" t="e">
        <f aca="false" ca="false" dt2D="false" dtr="false" t="normal">+CE617+1</f>
        <v>#REF!</v>
      </c>
      <c r="CF618" s="104" t="s">
        <v>111</v>
      </c>
      <c r="CG618" s="117" t="s">
        <v>612</v>
      </c>
      <c r="CH618" s="108" t="n">
        <f aca="false" ca="true" dt2D="false" dtr="false" t="normal">SUBTOTAL(9, CI618:CW618)</f>
        <v>2602523.64</v>
      </c>
      <c r="CI618" s="106" t="n">
        <v>0</v>
      </c>
      <c r="CJ618" s="114" t="n">
        <v>0</v>
      </c>
      <c r="CK618" s="114" t="n">
        <v>0</v>
      </c>
      <c r="CL618" s="114" t="n">
        <v>0</v>
      </c>
      <c r="CM618" s="114" t="n">
        <v>2555373.7</v>
      </c>
      <c r="CN618" s="114" t="n"/>
      <c r="CO618" s="106" t="n"/>
      <c r="CP618" s="114" t="n">
        <v>0</v>
      </c>
      <c r="CQ618" s="114" t="n">
        <v>0</v>
      </c>
      <c r="CR618" s="114" t="n">
        <v>0</v>
      </c>
      <c r="CS618" s="114" t="n">
        <v>0</v>
      </c>
      <c r="CT618" s="114" t="n">
        <v>0</v>
      </c>
      <c r="CU618" s="114" t="n"/>
      <c r="CV618" s="114" t="n"/>
      <c r="CW618" s="115" t="n">
        <v>47149.94</v>
      </c>
      <c r="CX618" s="3" t="n">
        <f aca="false" ca="false" dt2D="false" dtr="false" t="normal">+N618-CH618</f>
        <v>-47149.939999999944</v>
      </c>
      <c r="CZ618" s="117" t="s">
        <v>612</v>
      </c>
      <c r="DA618" s="113" t="n">
        <f aca="false" ca="true" dt2D="false" dtr="false" t="normal">SUBTOTAL(9, DB618:DP618)</f>
        <v>2555373.7</v>
      </c>
      <c r="DB618" s="106" t="n">
        <v>0</v>
      </c>
      <c r="DC618" s="114" t="n">
        <v>0</v>
      </c>
      <c r="DD618" s="114" t="n">
        <v>0</v>
      </c>
      <c r="DE618" s="114" t="n">
        <v>0</v>
      </c>
      <c r="DF618" s="114" t="n">
        <v>2555373.7</v>
      </c>
      <c r="DG618" s="114" t="n"/>
      <c r="DH618" s="106" t="n"/>
      <c r="DI618" s="114" t="n">
        <v>0</v>
      </c>
      <c r="DJ618" s="114" t="n">
        <v>0</v>
      </c>
      <c r="DK618" s="114" t="n">
        <v>0</v>
      </c>
      <c r="DL618" s="114" t="n">
        <v>0</v>
      </c>
      <c r="DM618" s="114" t="n">
        <v>0</v>
      </c>
      <c r="DN618" s="241" t="n"/>
      <c r="DO618" s="241" t="n"/>
      <c r="DP618" s="240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</row>
    <row customFormat="true" hidden="false" ht="15" outlineLevel="0" r="619" s="1">
      <c r="A619" s="183" t="n">
        <f aca="false" ca="false" dt2D="false" dtr="false" t="normal">+A618+1</f>
        <v>597</v>
      </c>
      <c r="B619" s="117" t="n">
        <f aca="false" ca="false" dt2D="false" dtr="false" t="normal">+B618+1</f>
        <v>137</v>
      </c>
      <c r="C619" s="104" t="s">
        <v>111</v>
      </c>
      <c r="D619" s="104" t="s">
        <v>613</v>
      </c>
      <c r="E619" s="105" t="n">
        <v>1987</v>
      </c>
      <c r="F619" s="105" t="n">
        <v>2010</v>
      </c>
      <c r="G619" s="105" t="s">
        <v>68</v>
      </c>
      <c r="H619" s="105" t="n">
        <v>5</v>
      </c>
      <c r="I619" s="105" t="n">
        <v>2</v>
      </c>
      <c r="J619" s="106" t="n">
        <v>3854.65</v>
      </c>
      <c r="K619" s="106" t="n">
        <v>3186.55</v>
      </c>
      <c r="L619" s="106" t="n">
        <v>663.3</v>
      </c>
      <c r="M619" s="107" t="n">
        <v>157</v>
      </c>
      <c r="N619" s="108" t="n">
        <f aca="false" ca="false" dt2D="false" dtr="false" t="normal">SUM(P619:T619)</f>
        <v>2147049.31</v>
      </c>
      <c r="O619" s="106" t="n"/>
      <c r="P619" s="114" t="n"/>
      <c r="Q619" s="114" t="n"/>
      <c r="R619" s="3" t="n">
        <v>2147049.31</v>
      </c>
      <c r="S619" s="114" t="n">
        <v>0</v>
      </c>
      <c r="T619" s="114" t="n">
        <v>0</v>
      </c>
      <c r="U619" s="114" t="n">
        <v>724.494550986689</v>
      </c>
      <c r="V619" s="114" t="n">
        <v>1288.283020064</v>
      </c>
      <c r="W619" s="110" t="n">
        <v>2024</v>
      </c>
      <c r="X619" s="9" t="e">
        <f aca="false" ca="false" dt2D="false" dtr="false" t="normal">+#REF!-'[9]Приложение №1'!$P1046</f>
        <v>#REF!</v>
      </c>
      <c r="Z619" s="113" t="n">
        <f aca="false" ca="false" dt2D="false" dtr="false" t="normal">SUM(AA619:AO619)</f>
        <v>1607265</v>
      </c>
      <c r="AA619" s="106" t="n">
        <v>0</v>
      </c>
      <c r="AB619" s="106" t="n">
        <v>0</v>
      </c>
      <c r="AC619" s="106" t="n">
        <v>0</v>
      </c>
      <c r="AD619" s="106" t="n">
        <v>0</v>
      </c>
      <c r="AE619" s="106" t="n">
        <v>1460685.584652</v>
      </c>
      <c r="AF619" s="106" t="n"/>
      <c r="AG619" s="106" t="n">
        <v>0</v>
      </c>
      <c r="AH619" s="106" t="n">
        <v>0</v>
      </c>
      <c r="AI619" s="106" t="n">
        <v>0</v>
      </c>
      <c r="AJ619" s="106" t="n">
        <v>0</v>
      </c>
      <c r="AK619" s="106" t="n">
        <v>0</v>
      </c>
      <c r="AL619" s="106" t="n">
        <v>0</v>
      </c>
      <c r="AM619" s="106" t="n">
        <v>107698.68</v>
      </c>
      <c r="AN619" s="106" t="n">
        <v>6938.5</v>
      </c>
      <c r="AO619" s="115" t="n">
        <v>31942.235348</v>
      </c>
      <c r="AP619" s="112" t="n">
        <f aca="false" ca="false" dt2D="false" dtr="false" t="normal">+N619-'Приложение №2'!E619</f>
        <v>0</v>
      </c>
      <c r="AQ619" s="121" t="n">
        <v>2581749.19</v>
      </c>
      <c r="AR619" s="3" t="n">
        <f aca="false" ca="false" dt2D="false" dtr="false" t="normal">+(K619*10.5+L619*21)*12*0.85</f>
        <v>483358.36499999993</v>
      </c>
      <c r="AS619" s="3" t="n">
        <f aca="false" ca="false" dt2D="false" dtr="false" t="normal">+(K619*10.5+L619*21)*12*30</f>
        <v>17059706.999999996</v>
      </c>
      <c r="AT619" s="9" t="n">
        <f aca="false" ca="false" dt2D="false" dtr="false" t="normal">+S619-AS619</f>
        <v>-17059706.999999996</v>
      </c>
      <c r="AU619" s="9" t="e">
        <f aca="false" ca="false" dt2D="false" dtr="false" t="normal">+P619-'[5]Приложение №1'!$P571</f>
        <v>#REF!</v>
      </c>
      <c r="AV619" s="9" t="e">
        <f aca="false" ca="false" dt2D="false" dtr="false" t="normal">+Q619-'[5]Приложение №1'!$Q571</f>
        <v>#REF!</v>
      </c>
      <c r="AW619" s="186" t="n">
        <f aca="false" ca="true" dt2D="false" dtr="false" t="normal">SUBTOTAL(9, AX619:BL619)</f>
        <v>2308638.111446628</v>
      </c>
      <c r="AX619" s="106" t="n">
        <v>0</v>
      </c>
      <c r="AY619" s="106" t="n">
        <v>0</v>
      </c>
      <c r="AZ619" s="106" t="n">
        <v>0</v>
      </c>
      <c r="BA619" s="106" t="n">
        <v>0</v>
      </c>
      <c r="BB619" s="106" t="n">
        <v>2147049.31151367</v>
      </c>
      <c r="BC619" s="106" t="n"/>
      <c r="BD619" s="106" t="n"/>
      <c r="BE619" s="106" t="n">
        <v>0</v>
      </c>
      <c r="BF619" s="106" t="n">
        <v>0</v>
      </c>
      <c r="BG619" s="106" t="n">
        <v>0</v>
      </c>
      <c r="BH619" s="106" t="n">
        <v>0</v>
      </c>
      <c r="BI619" s="106" t="n">
        <v>0</v>
      </c>
      <c r="BJ619" s="106" t="n">
        <v>107698.68</v>
      </c>
      <c r="BK619" s="106" t="n">
        <v>6938.5</v>
      </c>
      <c r="BL619" s="115" t="n">
        <v>46951.6199329579</v>
      </c>
      <c r="BM619" s="186" t="n">
        <f aca="false" ca="true" dt2D="false" dtr="false" t="normal">SUBTOTAL(9, BN619:CB619)</f>
        <v>2308638.111446628</v>
      </c>
      <c r="BN619" s="106" t="n">
        <v>0</v>
      </c>
      <c r="BO619" s="106" t="n">
        <v>0</v>
      </c>
      <c r="BP619" s="106" t="n">
        <v>0</v>
      </c>
      <c r="BQ619" s="106" t="n">
        <v>0</v>
      </c>
      <c r="BR619" s="106" t="n">
        <v>2147049.31151367</v>
      </c>
      <c r="BS619" s="106" t="n"/>
      <c r="BT619" s="106" t="n"/>
      <c r="BU619" s="106" t="n">
        <v>0</v>
      </c>
      <c r="BV619" s="106" t="n">
        <v>0</v>
      </c>
      <c r="BW619" s="106" t="n">
        <v>0</v>
      </c>
      <c r="BX619" s="106" t="n">
        <v>0</v>
      </c>
      <c r="BY619" s="106" t="n">
        <v>0</v>
      </c>
      <c r="BZ619" s="106" t="n">
        <v>107698.68</v>
      </c>
      <c r="CA619" s="106" t="n">
        <v>6938.5</v>
      </c>
      <c r="CB619" s="115" t="n">
        <v>46951.6199329579</v>
      </c>
      <c r="CD619" s="116" t="e">
        <f aca="false" ca="false" dt2D="false" dtr="false" t="normal">+CD618+1</f>
        <v>#REF!</v>
      </c>
      <c r="CE619" s="117" t="e">
        <f aca="false" ca="false" dt2D="false" dtr="false" t="normal">+CE618+1</f>
        <v>#REF!</v>
      </c>
      <c r="CF619" s="104" t="s">
        <v>111</v>
      </c>
      <c r="CG619" s="117" t="s">
        <v>613</v>
      </c>
      <c r="CH619" s="108" t="n">
        <f aca="false" ca="true" dt2D="false" dtr="false" t="normal">SUBTOTAL(9, CI619:CW619)</f>
        <v>2147049.31</v>
      </c>
      <c r="CI619" s="106" t="n">
        <v>0</v>
      </c>
      <c r="CJ619" s="114" t="n">
        <v>0</v>
      </c>
      <c r="CK619" s="114" t="n">
        <v>0</v>
      </c>
      <c r="CL619" s="114" t="n">
        <v>0</v>
      </c>
      <c r="CM619" s="114" t="n">
        <v>2147049.31</v>
      </c>
      <c r="CN619" s="114" t="n"/>
      <c r="CO619" s="106" t="n"/>
      <c r="CP619" s="114" t="n">
        <v>0</v>
      </c>
      <c r="CQ619" s="114" t="n">
        <v>0</v>
      </c>
      <c r="CR619" s="114" t="n">
        <v>0</v>
      </c>
      <c r="CS619" s="114" t="n">
        <v>0</v>
      </c>
      <c r="CT619" s="114" t="n">
        <v>0</v>
      </c>
      <c r="CU619" s="114" t="n"/>
      <c r="CV619" s="114" t="n"/>
      <c r="CW619" s="115" t="n"/>
      <c r="CX619" s="3" t="n">
        <f aca="false" ca="false" dt2D="false" dtr="false" t="normal">+N619-CH619</f>
        <v>0</v>
      </c>
      <c r="CZ619" s="117" t="s">
        <v>613</v>
      </c>
      <c r="DA619" s="113" t="n">
        <f aca="false" ca="true" dt2D="false" dtr="false" t="normal">SUBTOTAL(9, DB619:DP619)</f>
        <v>2147049.31</v>
      </c>
      <c r="DB619" s="106" t="n">
        <v>0</v>
      </c>
      <c r="DC619" s="114" t="n">
        <v>0</v>
      </c>
      <c r="DD619" s="114" t="n">
        <v>0</v>
      </c>
      <c r="DE619" s="114" t="n">
        <v>0</v>
      </c>
      <c r="DF619" s="114" t="n">
        <v>2147049.31</v>
      </c>
      <c r="DG619" s="114" t="n"/>
      <c r="DH619" s="106" t="n"/>
      <c r="DI619" s="114" t="n">
        <v>0</v>
      </c>
      <c r="DJ619" s="114" t="n">
        <v>0</v>
      </c>
      <c r="DK619" s="114" t="n">
        <v>0</v>
      </c>
      <c r="DL619" s="114" t="n">
        <v>0</v>
      </c>
      <c r="DM619" s="114" t="n">
        <v>0</v>
      </c>
      <c r="DN619" s="241" t="n"/>
      <c r="DO619" s="241" t="n"/>
      <c r="DP619" s="240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</row>
    <row customFormat="true" hidden="false" ht="15" outlineLevel="0" r="620" s="1">
      <c r="A620" s="183" t="n">
        <f aca="false" ca="false" dt2D="false" dtr="false" t="normal">+A619+1</f>
        <v>598</v>
      </c>
      <c r="B620" s="117" t="n">
        <f aca="false" ca="false" dt2D="false" dtr="false" t="normal">+B619+1</f>
        <v>138</v>
      </c>
      <c r="C620" s="104" t="s">
        <v>111</v>
      </c>
      <c r="D620" s="104" t="s">
        <v>614</v>
      </c>
      <c r="E620" s="105" t="n">
        <v>1971</v>
      </c>
      <c r="F620" s="105" t="n">
        <v>2013</v>
      </c>
      <c r="G620" s="105" t="s">
        <v>68</v>
      </c>
      <c r="H620" s="105" t="n">
        <v>4</v>
      </c>
      <c r="I620" s="105" t="n">
        <v>3</v>
      </c>
      <c r="J620" s="106" t="n">
        <v>2008.51</v>
      </c>
      <c r="K620" s="106" t="n">
        <v>1482.45</v>
      </c>
      <c r="L620" s="106" t="n">
        <v>500.2</v>
      </c>
      <c r="M620" s="107" t="n">
        <v>43</v>
      </c>
      <c r="N620" s="108" t="n">
        <f aca="false" ca="false" dt2D="false" dtr="false" t="normal">SUM(P620:T620)</f>
        <v>2110595.0700000003</v>
      </c>
      <c r="O620" s="106" t="n"/>
      <c r="P620" s="114" t="n"/>
      <c r="Q620" s="114" t="n"/>
      <c r="R620" s="113" t="n">
        <v>1010758.29</v>
      </c>
      <c r="S620" s="113" t="n">
        <v>1099836.78</v>
      </c>
      <c r="T620" s="113" t="n">
        <v>0</v>
      </c>
      <c r="U620" s="114" t="n">
        <v>3238.11375899723</v>
      </c>
      <c r="V620" s="114" t="n">
        <v>1290.283020064</v>
      </c>
      <c r="W620" s="110" t="n">
        <v>2024</v>
      </c>
      <c r="X620" s="9" t="e">
        <f aca="false" ca="false" dt2D="false" dtr="false" t="normal">+#REF!-'[9]Приложение №1'!$P1050</f>
        <v>#REF!</v>
      </c>
      <c r="Z620" s="113" t="n">
        <f aca="false" ca="false" dt2D="false" dtr="false" t="normal">SUM(AA620:AO620)</f>
        <v>3401210.6845643325</v>
      </c>
      <c r="AA620" s="106" t="n">
        <v>0</v>
      </c>
      <c r="AB620" s="106" t="n">
        <v>1379299.40095214</v>
      </c>
      <c r="AC620" s="106" t="n">
        <v>0</v>
      </c>
      <c r="AD620" s="106" t="n">
        <v>923467.084564192</v>
      </c>
      <c r="AE620" s="106" t="n">
        <v>677323.966662</v>
      </c>
      <c r="AF620" s="106" t="n"/>
      <c r="AG620" s="106" t="n">
        <v>142086.045948</v>
      </c>
      <c r="AH620" s="106" t="n">
        <v>0</v>
      </c>
      <c r="AI620" s="106" t="n">
        <v>0</v>
      </c>
      <c r="AJ620" s="106" t="n">
        <v>0</v>
      </c>
      <c r="AK620" s="106" t="n">
        <v>0</v>
      </c>
      <c r="AL620" s="106" t="n">
        <v>0</v>
      </c>
      <c r="AM620" s="106" t="n">
        <v>164690.01</v>
      </c>
      <c r="AN620" s="106" t="n">
        <v>46068.5</v>
      </c>
      <c r="AO620" s="115" t="n">
        <v>68275.676438</v>
      </c>
      <c r="AP620" s="112" t="n">
        <f aca="false" ca="false" dt2D="false" dtr="false" t="normal">+N620-'Приложение №2'!E620</f>
        <v>0</v>
      </c>
      <c r="AQ620" s="121" t="n">
        <v>1411566.35</v>
      </c>
      <c r="AR620" s="3" t="n">
        <f aca="false" ca="false" dt2D="false" dtr="false" t="normal">+(K620*10.5+L620*21)*12*0.85</f>
        <v>265913.235</v>
      </c>
      <c r="AS620" s="3" t="n">
        <f aca="false" ca="false" dt2D="false" dtr="false" t="normal">+(K620*10.5+L620*21)*12*30</f>
        <v>9385173</v>
      </c>
      <c r="AT620" s="9" t="n">
        <f aca="false" ca="false" dt2D="false" dtr="false" t="normal">+S620-AS620</f>
        <v>-8285336.22</v>
      </c>
      <c r="AU620" s="9" t="e">
        <f aca="false" ca="false" dt2D="false" dtr="false" t="normal">+P620-'[5]Приложение №1'!$P573</f>
        <v>#REF!</v>
      </c>
      <c r="AV620" s="9" t="e">
        <f aca="false" ca="false" dt2D="false" dtr="false" t="normal">+Q620-'[5]Приложение №1'!$Q573</f>
        <v>#REF!</v>
      </c>
      <c r="AW620" s="186" t="n">
        <f aca="false" ca="true" dt2D="false" dtr="false" t="normal">SUBTOTAL(9, AX620:BL620)</f>
        <v>4800341.742025433</v>
      </c>
      <c r="AX620" s="106" t="n">
        <v>0</v>
      </c>
      <c r="AY620" s="106" t="n">
        <v>2484345.94170344</v>
      </c>
      <c r="AZ620" s="106" t="n">
        <v>0</v>
      </c>
      <c r="BA620" s="106" t="n">
        <v>2073651.44707319</v>
      </c>
      <c r="BB620" s="106" t="n"/>
      <c r="BC620" s="106" t="n"/>
      <c r="BD620" s="106" t="n"/>
      <c r="BE620" s="106" t="n">
        <v>0</v>
      </c>
      <c r="BF620" s="106" t="n">
        <v>0</v>
      </c>
      <c r="BG620" s="106" t="n">
        <v>0</v>
      </c>
      <c r="BH620" s="106" t="n">
        <v>0</v>
      </c>
      <c r="BI620" s="106" t="n">
        <v>0</v>
      </c>
      <c r="BJ620" s="106" t="n">
        <v>94862.92</v>
      </c>
      <c r="BK620" s="106" t="n">
        <v>47941.864855</v>
      </c>
      <c r="BL620" s="115" t="n">
        <v>99539.568393803</v>
      </c>
      <c r="BM620" s="186" t="n">
        <f aca="false" ca="true" dt2D="false" dtr="false" t="normal">SUBTOTAL(9, BN620:CB620)</f>
        <v>4800341.742025433</v>
      </c>
      <c r="BN620" s="106" t="n">
        <v>0</v>
      </c>
      <c r="BO620" s="106" t="n">
        <v>2484345.94170344</v>
      </c>
      <c r="BP620" s="106" t="n">
        <v>0</v>
      </c>
      <c r="BQ620" s="106" t="n">
        <v>2073651.44707319</v>
      </c>
      <c r="BR620" s="106" t="n"/>
      <c r="BS620" s="106" t="n"/>
      <c r="BT620" s="106" t="n"/>
      <c r="BU620" s="106" t="n">
        <v>0</v>
      </c>
      <c r="BV620" s="106" t="n">
        <v>0</v>
      </c>
      <c r="BW620" s="106" t="n">
        <v>0</v>
      </c>
      <c r="BX620" s="106" t="n">
        <v>0</v>
      </c>
      <c r="BY620" s="106" t="n">
        <v>0</v>
      </c>
      <c r="BZ620" s="106" t="n">
        <v>94862.92</v>
      </c>
      <c r="CA620" s="106" t="n">
        <v>47941.864855</v>
      </c>
      <c r="CB620" s="115" t="n">
        <v>99539.568393803</v>
      </c>
      <c r="CD620" s="116" t="e">
        <f aca="false" ca="false" dt2D="false" dtr="false" t="normal">+CD619+1</f>
        <v>#REF!</v>
      </c>
      <c r="CE620" s="117" t="e">
        <f aca="false" ca="false" dt2D="false" dtr="false" t="normal">+CE619+1</f>
        <v>#REF!</v>
      </c>
      <c r="CF620" s="104" t="s">
        <v>111</v>
      </c>
      <c r="CG620" s="117" t="s">
        <v>614</v>
      </c>
      <c r="CH620" s="108" t="n">
        <f aca="false" ca="true" dt2D="false" dtr="false" t="normal">SUBTOTAL(9, CI620:CW620)</f>
        <v>2110595.07</v>
      </c>
      <c r="CI620" s="106" t="n">
        <v>0</v>
      </c>
      <c r="CJ620" s="243" t="n">
        <v>1326516.44</v>
      </c>
      <c r="CK620" s="114" t="n">
        <v>0</v>
      </c>
      <c r="CL620" s="243" t="n">
        <v>784078.63</v>
      </c>
      <c r="CM620" s="114" t="n"/>
      <c r="CN620" s="114" t="n"/>
      <c r="CO620" s="106" t="n"/>
      <c r="CP620" s="114" t="n">
        <v>0</v>
      </c>
      <c r="CQ620" s="114" t="n">
        <v>0</v>
      </c>
      <c r="CR620" s="114" t="n">
        <v>0</v>
      </c>
      <c r="CS620" s="114" t="n">
        <v>0</v>
      </c>
      <c r="CT620" s="114" t="n">
        <v>0</v>
      </c>
      <c r="CU620" s="114" t="n"/>
      <c r="CV620" s="114" t="n"/>
      <c r="CW620" s="115" t="n"/>
      <c r="CX620" s="3" t="n">
        <f aca="false" ca="false" dt2D="false" dtr="false" t="normal">+N620-CH620</f>
        <v>0</v>
      </c>
      <c r="CZ620" s="117" t="s">
        <v>614</v>
      </c>
      <c r="DA620" s="113" t="n">
        <f aca="false" ca="true" dt2D="false" dtr="false" t="normal">SUBTOTAL(9, DB620:DP620)</f>
        <v>2110595.07</v>
      </c>
      <c r="DB620" s="106" t="n">
        <v>0</v>
      </c>
      <c r="DC620" s="243" t="n">
        <v>1326516.44</v>
      </c>
      <c r="DD620" s="114" t="n">
        <v>0</v>
      </c>
      <c r="DE620" s="243" t="n">
        <v>784078.63</v>
      </c>
      <c r="DF620" s="114" t="n"/>
      <c r="DG620" s="114" t="n"/>
      <c r="DH620" s="106" t="n"/>
      <c r="DI620" s="114" t="n">
        <v>0</v>
      </c>
      <c r="DJ620" s="114" t="n">
        <v>0</v>
      </c>
      <c r="DK620" s="114" t="n">
        <v>0</v>
      </c>
      <c r="DL620" s="114" t="n">
        <v>0</v>
      </c>
      <c r="DM620" s="114" t="n">
        <v>0</v>
      </c>
      <c r="DN620" s="241" t="n"/>
      <c r="DO620" s="241" t="n"/>
      <c r="DP620" s="240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</row>
    <row customFormat="true" hidden="false" ht="15" outlineLevel="0" r="621" s="1">
      <c r="A621" s="183" t="n">
        <f aca="false" ca="false" dt2D="false" dtr="false" t="normal">+A620+1</f>
        <v>599</v>
      </c>
      <c r="B621" s="117" t="n">
        <f aca="false" ca="false" dt2D="false" dtr="false" t="normal">+B620+1</f>
        <v>139</v>
      </c>
      <c r="C621" s="104" t="s">
        <v>111</v>
      </c>
      <c r="D621" s="104" t="s">
        <v>357</v>
      </c>
      <c r="E621" s="105" t="n">
        <v>1972</v>
      </c>
      <c r="F621" s="105" t="n">
        <v>2013</v>
      </c>
      <c r="G621" s="105" t="s">
        <v>68</v>
      </c>
      <c r="H621" s="105" t="n">
        <v>4</v>
      </c>
      <c r="I621" s="105" t="n">
        <v>4</v>
      </c>
      <c r="J621" s="106" t="n">
        <v>3047.8</v>
      </c>
      <c r="K621" s="106" t="n">
        <v>2789.4</v>
      </c>
      <c r="L621" s="106" t="n">
        <v>0</v>
      </c>
      <c r="M621" s="107" t="n">
        <v>107</v>
      </c>
      <c r="N621" s="108" t="n">
        <f aca="false" ca="false" dt2D="false" dtr="false" t="normal">SUM(P621:T621)</f>
        <v>1361334.68</v>
      </c>
      <c r="O621" s="106" t="n"/>
      <c r="P621" s="113" t="n">
        <v>1062589.94</v>
      </c>
      <c r="Q621" s="114" t="n"/>
      <c r="R621" s="113" t="n">
        <v>298744.74</v>
      </c>
      <c r="S621" s="114" t="n"/>
      <c r="T621" s="113" t="n">
        <v>0</v>
      </c>
      <c r="U621" s="106" t="n">
        <v>7603.05611937301</v>
      </c>
      <c r="V621" s="106" t="n">
        <v>7603.05611937301</v>
      </c>
      <c r="W621" s="110" t="n">
        <v>2024</v>
      </c>
      <c r="X621" s="9" t="n"/>
      <c r="Z621" s="113" t="n"/>
      <c r="AA621" s="106" t="n"/>
      <c r="AB621" s="106" t="n"/>
      <c r="AC621" s="106" t="n"/>
      <c r="AD621" s="106" t="n"/>
      <c r="AE621" s="106" t="n"/>
      <c r="AF621" s="106" t="n"/>
      <c r="AG621" s="106" t="n"/>
      <c r="AH621" s="106" t="n"/>
      <c r="AI621" s="106" t="n"/>
      <c r="AJ621" s="106" t="n"/>
      <c r="AK621" s="106" t="n"/>
      <c r="AL621" s="106" t="n"/>
      <c r="AM621" s="106" t="n"/>
      <c r="AN621" s="106" t="n"/>
      <c r="AO621" s="115" t="n"/>
      <c r="AP621" s="112" t="n">
        <f aca="false" ca="false" dt2D="false" dtr="false" t="normal">+N621-'Приложение №2'!E621</f>
        <v>0</v>
      </c>
      <c r="AQ621" s="9" t="n">
        <f aca="false" ca="false" dt2D="false" dtr="false" t="normal">1184908.35-361522.2864-R272</f>
        <v>0</v>
      </c>
      <c r="AR621" s="3" t="n">
        <f aca="false" ca="false" dt2D="false" dtr="false" t="normal">+(K621*10.5+L621*21)*12*0.85</f>
        <v>298744.74</v>
      </c>
      <c r="AS621" s="3" t="n"/>
      <c r="AT621" s="9" t="n">
        <f aca="false" ca="false" dt2D="false" dtr="false" t="normal">+S621-AS621</f>
        <v>0</v>
      </c>
      <c r="AU621" s="9" t="e">
        <f aca="false" ca="false" dt2D="false" dtr="false" t="normal">+P621-'[5]Приложение №1'!$P645</f>
        <v>#REF!</v>
      </c>
      <c r="AV621" s="9" t="e">
        <f aca="false" ca="false" dt2D="false" dtr="false" t="normal">+Q621-'[5]Приложение №1'!$Q390</f>
        <v>#REF!</v>
      </c>
      <c r="AW621" s="113" t="n">
        <f aca="false" ca="true" dt2D="false" dtr="false" t="normal">SUBTOTAL(9, AX621:BL621)</f>
        <v>21207964.739379063</v>
      </c>
      <c r="AX621" s="106" t="n"/>
      <c r="AY621" s="106" t="n"/>
      <c r="AZ621" s="106" t="n"/>
      <c r="BA621" s="106" t="n"/>
      <c r="BB621" s="106" t="n">
        <v>1211587.87</v>
      </c>
      <c r="BC621" s="106" t="n"/>
      <c r="BD621" s="106" t="n">
        <v>0</v>
      </c>
      <c r="BE621" s="106" t="n">
        <v>0</v>
      </c>
      <c r="BF621" s="106" t="n"/>
      <c r="BG621" s="106" t="n">
        <v>0</v>
      </c>
      <c r="BH621" s="106" t="n">
        <v>19140943.2114285</v>
      </c>
      <c r="BI621" s="106" t="n"/>
      <c r="BJ621" s="106" t="n"/>
      <c r="BK621" s="106" t="n"/>
      <c r="BL621" s="115" t="n">
        <v>855433.657950562</v>
      </c>
      <c r="BM621" s="113" t="n">
        <f aca="false" ca="true" dt2D="false" dtr="false" t="normal">SUBTOTAL(9, BN621:CB621)</f>
        <v>21207964.739379063</v>
      </c>
      <c r="BN621" s="106" t="n"/>
      <c r="BO621" s="106" t="n"/>
      <c r="BP621" s="106" t="n"/>
      <c r="BQ621" s="106" t="n"/>
      <c r="BR621" s="106" t="n">
        <v>1211587.87</v>
      </c>
      <c r="BS621" s="106" t="n"/>
      <c r="BT621" s="106" t="n">
        <v>0</v>
      </c>
      <c r="BU621" s="106" t="n">
        <v>0</v>
      </c>
      <c r="BV621" s="106" t="n"/>
      <c r="BW621" s="106" t="n">
        <v>0</v>
      </c>
      <c r="BX621" s="106" t="n">
        <v>19140943.2114285</v>
      </c>
      <c r="BY621" s="106" t="n"/>
      <c r="BZ621" s="106" t="n"/>
      <c r="CA621" s="106" t="n"/>
      <c r="CB621" s="115" t="n">
        <v>855433.657950562</v>
      </c>
      <c r="CD621" s="116" t="e">
        <f aca="false" ca="false" dt2D="false" dtr="false" t="normal">+CD620+1</f>
        <v>#REF!</v>
      </c>
      <c r="CE621" s="117" t="e">
        <f aca="false" ca="false" dt2D="false" dtr="false" t="normal">+CE620+1</f>
        <v>#REF!</v>
      </c>
      <c r="CF621" s="104" t="s">
        <v>111</v>
      </c>
      <c r="CG621" s="117" t="s">
        <v>357</v>
      </c>
      <c r="CH621" s="108" t="n">
        <f aca="false" ca="true" dt2D="false" dtr="false" t="normal">SUBTOTAL(9, CI621:CW621)</f>
        <v>2216768.34</v>
      </c>
      <c r="CI621" s="106" t="n"/>
      <c r="CJ621" s="114" t="n"/>
      <c r="CK621" s="114" t="n"/>
      <c r="CL621" s="114" t="n"/>
      <c r="CM621" s="114" t="n">
        <v>1361334.68</v>
      </c>
      <c r="CN621" s="114" t="n"/>
      <c r="CO621" s="106" t="n">
        <v>0</v>
      </c>
      <c r="CP621" s="114" t="n">
        <v>0</v>
      </c>
      <c r="CQ621" s="114" t="n"/>
      <c r="CR621" s="114" t="n">
        <v>0</v>
      </c>
      <c r="CS621" s="114" t="n"/>
      <c r="CT621" s="114" t="n"/>
      <c r="CU621" s="114" t="n"/>
      <c r="CV621" s="114" t="n"/>
      <c r="CW621" s="115" t="n">
        <v>855433.66</v>
      </c>
      <c r="CX621" s="3" t="n">
        <f aca="false" ca="false" dt2D="false" dtr="false" t="normal">+N621-CH621</f>
        <v>-855433.6599999999</v>
      </c>
      <c r="CZ621" s="117" t="s">
        <v>357</v>
      </c>
      <c r="DA621" s="113" t="n">
        <f aca="false" ca="true" dt2D="false" dtr="false" t="normal">SUBTOTAL(9, DB621:DP621)</f>
        <v>1361334.68</v>
      </c>
      <c r="DB621" s="106" t="n"/>
      <c r="DC621" s="114" t="n"/>
      <c r="DD621" s="114" t="n"/>
      <c r="DE621" s="114" t="n"/>
      <c r="DF621" s="114" t="n">
        <v>1361334.68</v>
      </c>
      <c r="DG621" s="114" t="n"/>
      <c r="DH621" s="106" t="n">
        <v>0</v>
      </c>
      <c r="DI621" s="114" t="n">
        <v>0</v>
      </c>
      <c r="DJ621" s="114" t="n"/>
      <c r="DK621" s="114" t="n">
        <v>0</v>
      </c>
      <c r="DL621" s="114" t="n"/>
      <c r="DM621" s="114" t="n"/>
      <c r="DN621" s="114" t="n"/>
      <c r="DO621" s="114" t="n"/>
      <c r="DP621" s="240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</row>
    <row customFormat="true" hidden="false" ht="15" outlineLevel="0" r="622" s="1">
      <c r="A622" s="183" t="n">
        <f aca="false" ca="false" dt2D="false" dtr="false" t="normal">+A621+1</f>
        <v>600</v>
      </c>
      <c r="B622" s="117" t="n">
        <f aca="false" ca="false" dt2D="false" dtr="false" t="normal">+B621+1</f>
        <v>140</v>
      </c>
      <c r="C622" s="104" t="s">
        <v>111</v>
      </c>
      <c r="D622" s="104" t="s">
        <v>358</v>
      </c>
      <c r="E622" s="105" t="n">
        <v>1974</v>
      </c>
      <c r="F622" s="105" t="n">
        <v>2013</v>
      </c>
      <c r="G622" s="105" t="s">
        <v>68</v>
      </c>
      <c r="H622" s="105" t="n">
        <v>4</v>
      </c>
      <c r="I622" s="105" t="n">
        <v>4</v>
      </c>
      <c r="J622" s="106" t="n">
        <v>2989.2</v>
      </c>
      <c r="K622" s="106" t="n">
        <v>2536.9</v>
      </c>
      <c r="L622" s="106" t="n">
        <v>230.9</v>
      </c>
      <c r="M622" s="107" t="n">
        <v>90</v>
      </c>
      <c r="N622" s="108" t="n">
        <f aca="false" ca="false" dt2D="false" dtr="false" t="normal">SUM(P622:T622)</f>
        <v>1423559.64</v>
      </c>
      <c r="O622" s="106" t="n"/>
      <c r="P622" s="113" t="n">
        <v>1210025.69</v>
      </c>
      <c r="Q622" s="114" t="n"/>
      <c r="R622" s="244" t="n">
        <v>213533.95</v>
      </c>
      <c r="S622" s="114" t="n"/>
      <c r="T622" s="114" t="n"/>
      <c r="U622" s="106" t="n">
        <v>7605.68348999257</v>
      </c>
      <c r="V622" s="106" t="n">
        <v>7605.68348999257</v>
      </c>
      <c r="W622" s="110" t="n">
        <v>2024</v>
      </c>
      <c r="X622" s="9" t="n"/>
      <c r="Z622" s="113" t="n"/>
      <c r="AA622" s="106" t="n"/>
      <c r="AB622" s="106" t="n"/>
      <c r="AC622" s="106" t="n"/>
      <c r="AD622" s="106" t="n"/>
      <c r="AE622" s="106" t="n"/>
      <c r="AF622" s="106" t="n"/>
      <c r="AG622" s="106" t="n"/>
      <c r="AH622" s="106" t="n"/>
      <c r="AI622" s="106" t="n"/>
      <c r="AJ622" s="106" t="n"/>
      <c r="AK622" s="106" t="n"/>
      <c r="AL622" s="106" t="n"/>
      <c r="AM622" s="106" t="n"/>
      <c r="AN622" s="106" t="n"/>
      <c r="AO622" s="115" t="n"/>
      <c r="AP622" s="112" t="n">
        <f aca="false" ca="false" dt2D="false" dtr="false" t="normal">+N622-'Приложение №2'!E622</f>
        <v>0</v>
      </c>
      <c r="AQ622" s="9" t="n">
        <f aca="false" ca="false" dt2D="false" dtr="false" t="normal">1292399.14-848241.5751-R273</f>
        <v>266494.54489999986</v>
      </c>
      <c r="AR622" s="3" t="n">
        <f aca="false" ca="false" dt2D="false" dtr="false" t="normal">+(K622*10.5+L622*21)*12*0.85</f>
        <v>321160.77</v>
      </c>
      <c r="AS622" s="3" t="n"/>
      <c r="AT622" s="9" t="n">
        <f aca="false" ca="false" dt2D="false" dtr="false" t="normal">+S622-AS622</f>
        <v>0</v>
      </c>
      <c r="AU622" s="9" t="e">
        <f aca="false" ca="false" dt2D="false" dtr="false" t="normal">+P622-'[5]Приложение №1'!$P646</f>
        <v>#REF!</v>
      </c>
      <c r="AV622" s="9" t="e">
        <f aca="false" ca="false" dt2D="false" dtr="false" t="normal">+Q622-'[5]Приложение №1'!$Q391</f>
        <v>#REF!</v>
      </c>
      <c r="AW622" s="113" t="n">
        <f aca="false" ca="true" dt2D="false" dtr="false" t="normal">SUBTOTAL(9, AX622:BL622)</f>
        <v>21051010.763601422</v>
      </c>
      <c r="AX622" s="106" t="n"/>
      <c r="AY622" s="106" t="n"/>
      <c r="AZ622" s="106" t="n"/>
      <c r="BA622" s="106" t="n"/>
      <c r="BB622" s="106" t="n">
        <v>1210025.69</v>
      </c>
      <c r="BC622" s="106" t="n"/>
      <c r="BD622" s="106" t="n">
        <v>0</v>
      </c>
      <c r="BE622" s="106" t="n">
        <v>0</v>
      </c>
      <c r="BF622" s="106" t="n"/>
      <c r="BG622" s="106" t="n">
        <v>0</v>
      </c>
      <c r="BH622" s="106" t="n">
        <v>18992723.3887545</v>
      </c>
      <c r="BI622" s="106" t="n"/>
      <c r="BJ622" s="106" t="n"/>
      <c r="BK622" s="106" t="n"/>
      <c r="BL622" s="115" t="n">
        <v>848261.684846923</v>
      </c>
      <c r="BM622" s="113" t="n">
        <f aca="false" ca="true" dt2D="false" dtr="false" t="normal">SUBTOTAL(9, BN622:CB622)</f>
        <v>21051010.763601422</v>
      </c>
      <c r="BN622" s="106" t="n"/>
      <c r="BO622" s="106" t="n"/>
      <c r="BP622" s="106" t="n"/>
      <c r="BQ622" s="106" t="n"/>
      <c r="BR622" s="106" t="n">
        <v>1210025.69</v>
      </c>
      <c r="BS622" s="106" t="n"/>
      <c r="BT622" s="106" t="n">
        <v>0</v>
      </c>
      <c r="BU622" s="106" t="n">
        <v>0</v>
      </c>
      <c r="BV622" s="106" t="n"/>
      <c r="BW622" s="106" t="n">
        <v>0</v>
      </c>
      <c r="BX622" s="106" t="n">
        <v>18992723.3887545</v>
      </c>
      <c r="BY622" s="106" t="n"/>
      <c r="BZ622" s="106" t="n"/>
      <c r="CA622" s="106" t="n"/>
      <c r="CB622" s="115" t="n">
        <v>848261.684846923</v>
      </c>
      <c r="CD622" s="116" t="e">
        <f aca="false" ca="false" dt2D="false" dtr="false" t="normal">+CD621+1</f>
        <v>#REF!</v>
      </c>
      <c r="CE622" s="117" t="e">
        <f aca="false" ca="false" dt2D="false" dtr="false" t="normal">+CE621+1</f>
        <v>#REF!</v>
      </c>
      <c r="CF622" s="104" t="s">
        <v>111</v>
      </c>
      <c r="CG622" s="117" t="s">
        <v>358</v>
      </c>
      <c r="CH622" s="108" t="n">
        <f aca="false" ca="true" dt2D="false" dtr="false" t="normal">SUBTOTAL(9, CI622:CW622)</f>
        <v>2271821.32</v>
      </c>
      <c r="CI622" s="106" t="n"/>
      <c r="CJ622" s="114" t="n"/>
      <c r="CK622" s="114" t="n"/>
      <c r="CL622" s="114" t="n"/>
      <c r="CM622" s="114" t="n">
        <v>1423559.64</v>
      </c>
      <c r="CN622" s="114" t="n"/>
      <c r="CO622" s="106" t="n">
        <v>0</v>
      </c>
      <c r="CP622" s="114" t="n">
        <v>0</v>
      </c>
      <c r="CQ622" s="114" t="n"/>
      <c r="CR622" s="114" t="n">
        <v>0</v>
      </c>
      <c r="CS622" s="114" t="n"/>
      <c r="CT622" s="114" t="n"/>
      <c r="CU622" s="114" t="n"/>
      <c r="CV622" s="114" t="n"/>
      <c r="CW622" s="115" t="n">
        <v>848261.68</v>
      </c>
      <c r="CX622" s="3" t="n">
        <f aca="false" ca="false" dt2D="false" dtr="false" t="normal">+N622-CH622</f>
        <v>-848261.6799999999</v>
      </c>
      <c r="CZ622" s="117" t="s">
        <v>358</v>
      </c>
      <c r="DA622" s="113" t="n">
        <f aca="false" ca="true" dt2D="false" dtr="false" t="normal">SUBTOTAL(9, DB622:DP622)</f>
        <v>1423559.64</v>
      </c>
      <c r="DB622" s="106" t="n"/>
      <c r="DC622" s="114" t="n"/>
      <c r="DD622" s="114" t="n"/>
      <c r="DE622" s="114" t="n"/>
      <c r="DF622" s="114" t="n">
        <v>1423559.64</v>
      </c>
      <c r="DG622" s="114" t="n"/>
      <c r="DH622" s="106" t="n">
        <v>0</v>
      </c>
      <c r="DI622" s="114" t="n">
        <v>0</v>
      </c>
      <c r="DJ622" s="114" t="n"/>
      <c r="DK622" s="114" t="n">
        <v>0</v>
      </c>
      <c r="DL622" s="114" t="n"/>
      <c r="DM622" s="114" t="n"/>
      <c r="DN622" s="114" t="n"/>
      <c r="DO622" s="114" t="n"/>
      <c r="DP622" s="240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</row>
    <row customFormat="true" hidden="false" ht="15" outlineLevel="0" r="623" s="1">
      <c r="A623" s="183" t="n">
        <f aca="false" ca="false" dt2D="false" dtr="false" t="normal">+A622+1</f>
        <v>601</v>
      </c>
      <c r="B623" s="117" t="n">
        <f aca="false" ca="false" dt2D="false" dtr="false" t="normal">+B622+1</f>
        <v>141</v>
      </c>
      <c r="C623" s="104" t="s">
        <v>111</v>
      </c>
      <c r="D623" s="104" t="s">
        <v>157</v>
      </c>
      <c r="E623" s="105" t="n">
        <v>1976</v>
      </c>
      <c r="F623" s="105" t="n">
        <v>2013</v>
      </c>
      <c r="G623" s="105" t="s">
        <v>68</v>
      </c>
      <c r="H623" s="105" t="n">
        <v>4</v>
      </c>
      <c r="I623" s="105" t="n">
        <v>6</v>
      </c>
      <c r="J623" s="106" t="n">
        <v>5727.3</v>
      </c>
      <c r="K623" s="106" t="n">
        <v>4928.1</v>
      </c>
      <c r="L623" s="106" t="n">
        <v>70.7</v>
      </c>
      <c r="M623" s="107" t="n">
        <v>234</v>
      </c>
      <c r="N623" s="108" t="n">
        <f aca="false" ca="false" dt2D="false" dtr="false" t="normal">SUM(P623:T623)</f>
        <v>5108867.609999999</v>
      </c>
      <c r="O623" s="106" t="n"/>
      <c r="P623" s="114" t="n"/>
      <c r="Q623" s="114" t="n"/>
      <c r="R623" s="113" t="n">
        <v>2942592.06</v>
      </c>
      <c r="S623" s="113" t="n">
        <v>2166275.55</v>
      </c>
      <c r="T623" s="114" t="n">
        <v>0</v>
      </c>
      <c r="U623" s="114" t="n">
        <v>1061.75573220633</v>
      </c>
      <c r="V623" s="114" t="n">
        <v>1292.283020064</v>
      </c>
      <c r="W623" s="110" t="n">
        <v>2024</v>
      </c>
      <c r="X623" s="9" t="e">
        <f aca="false" ca="false" dt2D="false" dtr="false" t="normal">+S623-'[9]Приложение №1'!$P1153</f>
        <v>#REF!</v>
      </c>
      <c r="Z623" s="113" t="n">
        <f aca="false" ca="false" dt2D="false" dtr="false" t="normal">SUM(AA623:AO623)</f>
        <v>8101376.731186</v>
      </c>
      <c r="AA623" s="106" t="n">
        <v>0</v>
      </c>
      <c r="AB623" s="106" t="n">
        <v>0</v>
      </c>
      <c r="AC623" s="106" t="n">
        <v>5108867.60537622</v>
      </c>
      <c r="AD623" s="106" t="n">
        <v>0</v>
      </c>
      <c r="AE623" s="106" t="n">
        <v>2022198.06</v>
      </c>
      <c r="AF623" s="106" t="n"/>
      <c r="AG623" s="106" t="n">
        <v>0</v>
      </c>
      <c r="AH623" s="106" t="n">
        <v>0</v>
      </c>
      <c r="AI623" s="106" t="n">
        <v>0</v>
      </c>
      <c r="AJ623" s="106" t="n">
        <v>0</v>
      </c>
      <c r="AK623" s="106" t="n">
        <v>0</v>
      </c>
      <c r="AL623" s="106" t="n">
        <v>0</v>
      </c>
      <c r="AM623" s="106" t="n">
        <v>786081.953</v>
      </c>
      <c r="AN623" s="114" t="n">
        <v>60658.2943</v>
      </c>
      <c r="AO623" s="115" t="n">
        <v>123570.81850978</v>
      </c>
      <c r="AP623" s="112" t="n">
        <f aca="false" ca="false" dt2D="false" dtr="false" t="normal">+N623-'Приложение №2'!E623</f>
        <v>0</v>
      </c>
      <c r="AQ623" s="9" t="n">
        <f aca="false" ca="false" dt2D="false" dtr="false" t="normal">2797278.8-R95</f>
        <v>2523219.428814</v>
      </c>
      <c r="AR623" s="3" t="n">
        <f aca="false" ca="false" dt2D="false" dtr="false" t="normal">+(K623*10.5+L623*21)*12*0.85</f>
        <v>542943.45</v>
      </c>
      <c r="AS623" s="3" t="n">
        <f aca="false" ca="false" dt2D="false" dtr="false" t="normal">+(K623*10.5+L623*21)*12*30-S95</f>
        <v>18708556.641186</v>
      </c>
      <c r="AT623" s="9" t="n">
        <f aca="false" ca="false" dt2D="false" dtr="false" t="normal">+S623-AS623</f>
        <v>-16542281.091185998</v>
      </c>
      <c r="AU623" s="9" t="e">
        <f aca="false" ca="false" dt2D="false" dtr="false" t="normal">+P623-'[5]Приложение №1'!$P575</f>
        <v>#REF!</v>
      </c>
      <c r="AV623" s="9" t="e">
        <f aca="false" ca="false" dt2D="false" dtr="false" t="normal">+Q623-'[5]Приложение №1'!$Q575</f>
        <v>#REF!</v>
      </c>
      <c r="AW623" s="186" t="n">
        <f aca="false" ca="true" dt2D="false" dtr="false" t="normal">SUBTOTAL(9, AX623:BL623)</f>
        <v>5232438.423886</v>
      </c>
      <c r="AX623" s="106" t="n">
        <v>0</v>
      </c>
      <c r="AY623" s="106" t="n">
        <v>0</v>
      </c>
      <c r="AZ623" s="106" t="n">
        <v>5108867.60537622</v>
      </c>
      <c r="BA623" s="106" t="n">
        <v>0</v>
      </c>
      <c r="BB623" s="106" t="n"/>
      <c r="BC623" s="106" t="n"/>
      <c r="BD623" s="106" t="n"/>
      <c r="BE623" s="106" t="n">
        <v>0</v>
      </c>
      <c r="BF623" s="106" t="n">
        <v>0</v>
      </c>
      <c r="BG623" s="106" t="n">
        <v>0</v>
      </c>
      <c r="BH623" s="106" t="n">
        <v>0</v>
      </c>
      <c r="BI623" s="106" t="n">
        <v>0</v>
      </c>
      <c r="BJ623" s="106" t="n"/>
      <c r="BK623" s="114" t="n"/>
      <c r="BL623" s="187" t="n">
        <v>123570.81850978</v>
      </c>
      <c r="BM623" s="186" t="n">
        <f aca="false" ca="true" dt2D="false" dtr="false" t="normal">SUBTOTAL(9, BN623:CB623)</f>
        <v>5232438.423886</v>
      </c>
      <c r="BN623" s="106" t="n">
        <v>0</v>
      </c>
      <c r="BO623" s="106" t="n">
        <v>0</v>
      </c>
      <c r="BP623" s="106" t="n">
        <v>5108867.60537622</v>
      </c>
      <c r="BQ623" s="106" t="n">
        <v>0</v>
      </c>
      <c r="BR623" s="106" t="n"/>
      <c r="BS623" s="106" t="n"/>
      <c r="BT623" s="106" t="n"/>
      <c r="BU623" s="106" t="n">
        <v>0</v>
      </c>
      <c r="BV623" s="106" t="n">
        <v>0</v>
      </c>
      <c r="BW623" s="106" t="n">
        <v>0</v>
      </c>
      <c r="BX623" s="106" t="n">
        <v>0</v>
      </c>
      <c r="BY623" s="106" t="n">
        <v>0</v>
      </c>
      <c r="BZ623" s="106" t="n"/>
      <c r="CA623" s="114" t="n"/>
      <c r="CB623" s="115" t="n">
        <v>123570.81850978</v>
      </c>
      <c r="CD623" s="116" t="e">
        <f aca="false" ca="false" dt2D="false" dtr="false" t="normal">+CD622+1</f>
        <v>#REF!</v>
      </c>
      <c r="CE623" s="117" t="e">
        <f aca="false" ca="false" dt2D="false" dtr="false" t="normal">+CE622+1</f>
        <v>#REF!</v>
      </c>
      <c r="CF623" s="104" t="s">
        <v>111</v>
      </c>
      <c r="CG623" s="117" t="s">
        <v>157</v>
      </c>
      <c r="CH623" s="108" t="n">
        <f aca="false" ca="true" dt2D="false" dtr="false" t="normal">SUBTOTAL(9, CI623:CW623)</f>
        <v>5108867.61</v>
      </c>
      <c r="CI623" s="106" t="n">
        <v>0</v>
      </c>
      <c r="CJ623" s="114" t="n">
        <v>0</v>
      </c>
      <c r="CK623" s="114" t="n">
        <v>5108867.61</v>
      </c>
      <c r="CL623" s="114" t="n">
        <v>0</v>
      </c>
      <c r="CM623" s="114" t="n"/>
      <c r="CN623" s="114" t="n"/>
      <c r="CO623" s="106" t="n"/>
      <c r="CP623" s="114" t="n">
        <v>0</v>
      </c>
      <c r="CQ623" s="114" t="n">
        <v>0</v>
      </c>
      <c r="CR623" s="114" t="n">
        <v>0</v>
      </c>
      <c r="CS623" s="114" t="n">
        <v>0</v>
      </c>
      <c r="CT623" s="114" t="n">
        <v>0</v>
      </c>
      <c r="CU623" s="114" t="n"/>
      <c r="CV623" s="114" t="n"/>
      <c r="CW623" s="115" t="n"/>
      <c r="CX623" s="3" t="n">
        <f aca="false" ca="false" dt2D="false" dtr="false" t="normal">+N623-CH623</f>
        <v>0</v>
      </c>
      <c r="CZ623" s="117" t="s">
        <v>157</v>
      </c>
      <c r="DA623" s="113" t="n">
        <f aca="false" ca="true" dt2D="false" dtr="false" t="normal">SUBTOTAL(9, DB623:DP623)</f>
        <v>5108867.61</v>
      </c>
      <c r="DB623" s="106" t="n">
        <v>0</v>
      </c>
      <c r="DC623" s="114" t="n">
        <v>0</v>
      </c>
      <c r="DD623" s="114" t="n">
        <v>5108867.61</v>
      </c>
      <c r="DE623" s="114" t="n">
        <v>0</v>
      </c>
      <c r="DF623" s="114" t="n"/>
      <c r="DG623" s="114" t="n"/>
      <c r="DH623" s="106" t="n"/>
      <c r="DI623" s="114" t="n">
        <v>0</v>
      </c>
      <c r="DJ623" s="114" t="n">
        <v>0</v>
      </c>
      <c r="DK623" s="114" t="n">
        <v>0</v>
      </c>
      <c r="DL623" s="114" t="n">
        <v>0</v>
      </c>
      <c r="DM623" s="114" t="n">
        <v>0</v>
      </c>
      <c r="DN623" s="114" t="n"/>
      <c r="DO623" s="114" t="n"/>
      <c r="DP623" s="240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</row>
    <row customFormat="true" hidden="false" ht="15" outlineLevel="0" r="624" s="129">
      <c r="A624" s="183" t="n">
        <f aca="false" ca="false" dt2D="false" dtr="false" t="normal">+A623+1</f>
        <v>602</v>
      </c>
      <c r="B624" s="117" t="n">
        <f aca="false" ca="false" dt2D="false" dtr="false" t="normal">+B623+1</f>
        <v>142</v>
      </c>
      <c r="C624" s="104" t="s">
        <v>111</v>
      </c>
      <c r="D624" s="104" t="s">
        <v>360</v>
      </c>
      <c r="E624" s="105" t="s">
        <v>345</v>
      </c>
      <c r="F624" s="105" t="n"/>
      <c r="G624" s="105" t="s">
        <v>68</v>
      </c>
      <c r="H624" s="105" t="s">
        <v>187</v>
      </c>
      <c r="I624" s="105" t="s">
        <v>187</v>
      </c>
      <c r="J624" s="106" t="n">
        <v>4032.8</v>
      </c>
      <c r="K624" s="106" t="n">
        <v>3458.5</v>
      </c>
      <c r="L624" s="106" t="n">
        <v>0</v>
      </c>
      <c r="M624" s="107" t="n">
        <v>156</v>
      </c>
      <c r="N624" s="108" t="n">
        <f aca="false" ca="false" dt2D="false" dtr="false" t="normal">SUM(P624:T624)</f>
        <v>25694906.89</v>
      </c>
      <c r="O624" s="106" t="n">
        <v>0</v>
      </c>
      <c r="P624" s="113" t="n">
        <v>6283975.5</v>
      </c>
      <c r="Q624" s="114" t="n"/>
      <c r="R624" s="113" t="n">
        <v>1550527.91</v>
      </c>
      <c r="S624" s="113" t="n">
        <v>8969428.56</v>
      </c>
      <c r="T624" s="113" t="n">
        <v>8890974.92</v>
      </c>
      <c r="U624" s="106" t="n">
        <v>14851.7595489707</v>
      </c>
      <c r="V624" s="106" t="n">
        <v>14851.7595489707</v>
      </c>
      <c r="W624" s="110" t="n">
        <v>2024</v>
      </c>
      <c r="X624" s="129" t="n">
        <v>1316311.58</v>
      </c>
      <c r="Y624" s="129" t="n">
        <f aca="false" ca="false" dt2D="false" dtr="false" t="normal">+(K624*9.1+L624*18.19)*12</f>
        <v>377668.19999999995</v>
      </c>
      <c r="AA624" s="130" t="e">
        <f aca="false" ca="false" dt2D="false" dtr="false" t="normal">+N624-'[8]Приложение № 2'!E557</f>
        <v>#REF!</v>
      </c>
      <c r="AD624" s="130" t="e">
        <f aca="false" ca="false" dt2D="false" dtr="false" t="normal">+N624-'[8]Приложение № 2'!E557</f>
        <v>#REF!</v>
      </c>
      <c r="AP624" s="112" t="n">
        <f aca="false" ca="false" dt2D="false" dtr="false" t="normal">+N624-'Приложение №2'!E622</f>
        <v>24271347.25</v>
      </c>
      <c r="AQ624" s="129" t="n">
        <v>1622977.77</v>
      </c>
      <c r="AR624" s="3" t="n">
        <f aca="false" ca="false" dt2D="false" dtr="false" t="normal">+(K624*10+L624*20)*12*0.85</f>
        <v>352767</v>
      </c>
      <c r="AS624" s="3" t="n">
        <f aca="false" ca="false" dt2D="false" dtr="false" t="normal">+(K624*10+L624*20)*12*30</f>
        <v>12450600</v>
      </c>
      <c r="AT624" s="9" t="n">
        <f aca="false" ca="false" dt2D="false" dtr="false" t="normal">+S624-AS624</f>
        <v>-3481171.4399999995</v>
      </c>
      <c r="AU624" s="9" t="e">
        <f aca="false" ca="false" dt2D="false" dtr="false" t="normal">+P624-'[5]Приложение №1'!$P570</f>
        <v>#REF!</v>
      </c>
      <c r="AV624" s="9" t="e">
        <f aca="false" ca="false" dt2D="false" dtr="false" t="normal">+Q624-'[5]Приложение №1'!$Q315</f>
        <v>#REF!</v>
      </c>
      <c r="AW624" s="113" t="n">
        <f aca="false" ca="true" dt2D="false" dtr="false" t="normal">SUBTOTAL(9, AX624:BL624)</f>
        <v>51364810.4001153</v>
      </c>
      <c r="AX624" s="106" t="n">
        <v>6144729.90151541</v>
      </c>
      <c r="AY624" s="106" t="n">
        <v>3579457.76180073</v>
      </c>
      <c r="AZ624" s="106" t="n">
        <v>3887139.10374681</v>
      </c>
      <c r="BA624" s="106" t="n">
        <v>2975701.95840873</v>
      </c>
      <c r="BB624" s="106" t="n">
        <v>1375468.22308318</v>
      </c>
      <c r="BC624" s="106" t="n"/>
      <c r="BD624" s="106" t="n">
        <v>292698.958086086</v>
      </c>
      <c r="BE624" s="106" t="n"/>
      <c r="BF624" s="106" t="n"/>
      <c r="BG624" s="106" t="n"/>
      <c r="BH624" s="106" t="n">
        <v>22115449.1287481</v>
      </c>
      <c r="BI624" s="106" t="n">
        <v>8607388.05825178</v>
      </c>
      <c r="BJ624" s="106" t="n">
        <v>1315726.92</v>
      </c>
      <c r="BK624" s="114" t="n"/>
      <c r="BL624" s="187" t="n">
        <v>1071050.38647447</v>
      </c>
      <c r="BM624" s="113" t="n">
        <f aca="false" ca="true" dt2D="false" dtr="false" t="normal">SUBTOTAL(9, BN624:CB624)</f>
        <v>51364810.4001153</v>
      </c>
      <c r="BN624" s="106" t="n">
        <v>6144729.90151541</v>
      </c>
      <c r="BO624" s="106" t="n">
        <v>3579457.76180073</v>
      </c>
      <c r="BP624" s="106" t="n">
        <v>3887139.10374681</v>
      </c>
      <c r="BQ624" s="106" t="n">
        <v>2975701.95840873</v>
      </c>
      <c r="BR624" s="106" t="n">
        <v>1375468.22308318</v>
      </c>
      <c r="BS624" s="106" t="n"/>
      <c r="BT624" s="106" t="n">
        <v>292698.958086086</v>
      </c>
      <c r="BU624" s="106" t="n"/>
      <c r="BV624" s="106" t="n"/>
      <c r="BW624" s="106" t="n"/>
      <c r="BX624" s="106" t="n">
        <v>22115449.1287481</v>
      </c>
      <c r="BY624" s="106" t="n">
        <v>8607388.05825178</v>
      </c>
      <c r="BZ624" s="106" t="n">
        <v>1315726.92</v>
      </c>
      <c r="CA624" s="114" t="n"/>
      <c r="CB624" s="115" t="n">
        <v>1071050.38647447</v>
      </c>
      <c r="CD624" s="116" t="e">
        <f aca="false" ca="false" dt2D="false" dtr="false" t="normal">+CD623+1</f>
        <v>#REF!</v>
      </c>
      <c r="CE624" s="117" t="e">
        <f aca="false" ca="false" dt2D="false" dtr="false" t="normal">+CE623+1</f>
        <v>#REF!</v>
      </c>
      <c r="CF624" s="104" t="s">
        <v>111</v>
      </c>
      <c r="CG624" s="117" t="s">
        <v>360</v>
      </c>
      <c r="CH624" s="108" t="n">
        <f aca="false" ca="true" dt2D="false" dtr="false" t="normal">SUBTOTAL(9, CI624:CW624)</f>
        <v>25694906.89</v>
      </c>
      <c r="CI624" s="106" t="n"/>
      <c r="CJ624" s="114" t="n">
        <v>3579457.76</v>
      </c>
      <c r="CK624" s="114" t="n"/>
      <c r="CL624" s="114" t="n"/>
      <c r="CM624" s="114" t="n"/>
      <c r="CN624" s="114" t="n"/>
      <c r="CO624" s="106" t="n"/>
      <c r="CP624" s="114" t="n"/>
      <c r="CQ624" s="114" t="n"/>
      <c r="CR624" s="114" t="n"/>
      <c r="CS624" s="114" t="n">
        <v>22115449.13</v>
      </c>
      <c r="CT624" s="114" t="n"/>
      <c r="CU624" s="114" t="n"/>
      <c r="CV624" s="114" t="n"/>
      <c r="CW624" s="115" t="n"/>
      <c r="CX624" s="3" t="n">
        <f aca="false" ca="false" dt2D="false" dtr="false" t="normal">+N624-CH624</f>
        <v>0</v>
      </c>
      <c r="CZ624" s="117" t="s">
        <v>360</v>
      </c>
      <c r="DA624" s="113" t="n">
        <f aca="false" ca="true" dt2D="false" dtr="false" t="normal">SUBTOTAL(9, DB624:DP624)</f>
        <v>25694906.89</v>
      </c>
      <c r="DB624" s="106" t="n"/>
      <c r="DC624" s="114" t="n">
        <v>3579457.76</v>
      </c>
      <c r="DD624" s="114" t="n"/>
      <c r="DE624" s="114" t="n"/>
      <c r="DF624" s="114" t="n"/>
      <c r="DG624" s="114" t="n"/>
      <c r="DH624" s="106" t="n"/>
      <c r="DI624" s="114" t="n"/>
      <c r="DJ624" s="114" t="n"/>
      <c r="DK624" s="114" t="n"/>
      <c r="DL624" s="114" t="n">
        <v>22115449.13</v>
      </c>
      <c r="DM624" s="114" t="n"/>
      <c r="DN624" s="241" t="n"/>
      <c r="DO624" s="241" t="n"/>
      <c r="DP624" s="240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</row>
    <row customFormat="true" hidden="false" ht="15" outlineLevel="0" r="625" s="1">
      <c r="A625" s="183" t="n">
        <f aca="false" ca="false" dt2D="false" dtr="false" t="normal">+A624+1</f>
        <v>603</v>
      </c>
      <c r="B625" s="117" t="n">
        <f aca="false" ca="false" dt2D="false" dtr="false" t="normal">+B624+1</f>
        <v>143</v>
      </c>
      <c r="C625" s="104" t="s">
        <v>111</v>
      </c>
      <c r="D625" s="104" t="s">
        <v>615</v>
      </c>
      <c r="E625" s="105" t="n">
        <v>1990</v>
      </c>
      <c r="F625" s="105" t="n">
        <v>2013</v>
      </c>
      <c r="G625" s="105" t="s">
        <v>68</v>
      </c>
      <c r="H625" s="105" t="n">
        <v>9</v>
      </c>
      <c r="I625" s="105" t="n">
        <v>4</v>
      </c>
      <c r="J625" s="106" t="n">
        <v>10682.7</v>
      </c>
      <c r="K625" s="106" t="n">
        <v>8792</v>
      </c>
      <c r="L625" s="106" t="n">
        <v>69.3</v>
      </c>
      <c r="M625" s="107" t="n">
        <v>381</v>
      </c>
      <c r="N625" s="108" t="n">
        <f aca="false" ca="false" dt2D="false" dtr="false" t="normal">SUM(P625:T625)</f>
        <v>30001477.09</v>
      </c>
      <c r="O625" s="106" t="n"/>
      <c r="P625" s="114" t="n"/>
      <c r="Q625" s="114" t="n"/>
      <c r="R625" s="113" t="n">
        <v>4436688.29</v>
      </c>
      <c r="S625" s="113" t="n">
        <v>25564788.8</v>
      </c>
      <c r="T625" s="114" t="n">
        <v>0</v>
      </c>
      <c r="U625" s="114" t="n">
        <v>4049.39072440399</v>
      </c>
      <c r="V625" s="114" t="n">
        <v>1293.283020064</v>
      </c>
      <c r="W625" s="110" t="n">
        <v>2024</v>
      </c>
      <c r="X625" s="9" t="e">
        <f aca="false" ca="false" dt2D="false" dtr="false" t="normal">+#REF!-'[9]Приложение №1'!$P1060</f>
        <v>#REF!</v>
      </c>
      <c r="Z625" s="113" t="n">
        <f aca="false" ca="false" dt2D="false" dtr="false" t="normal">SUM(AA625:AO625)</f>
        <v>38109556.81441103</v>
      </c>
      <c r="AA625" s="106" t="n">
        <v>12649079.9801512</v>
      </c>
      <c r="AB625" s="106" t="n">
        <v>6869704.59735924</v>
      </c>
      <c r="AC625" s="106" t="n">
        <v>8171118.1097511</v>
      </c>
      <c r="AD625" s="106" t="n">
        <v>3937651.50429336</v>
      </c>
      <c r="AE625" s="106" t="n">
        <v>0</v>
      </c>
      <c r="AF625" s="106" t="n"/>
      <c r="AG625" s="106" t="n">
        <v>952026.39550956</v>
      </c>
      <c r="AH625" s="106" t="n">
        <v>0</v>
      </c>
      <c r="AI625" s="106" t="n"/>
      <c r="AJ625" s="106" t="n">
        <v>0</v>
      </c>
      <c r="AK625" s="106" t="n">
        <v>0</v>
      </c>
      <c r="AL625" s="106" t="n">
        <v>0</v>
      </c>
      <c r="AM625" s="106" t="n">
        <v>4209405.1088</v>
      </c>
      <c r="AN625" s="114" t="n">
        <v>452335.1465</v>
      </c>
      <c r="AO625" s="115" t="n">
        <v>868235.97204658</v>
      </c>
      <c r="AP625" s="112" t="n">
        <f aca="false" ca="false" dt2D="false" dtr="false" t="normal">+N625-'Приложение №2'!E625</f>
        <v>0</v>
      </c>
      <c r="AQ625" s="1" t="n">
        <f aca="false" ca="false" dt2D="false" dtr="false" t="normal">6652820.84-3483863.47</f>
        <v>3168957.3699999996</v>
      </c>
      <c r="AR625" s="3" t="n">
        <f aca="false" ca="false" dt2D="false" dtr="false" t="normal">+(K625*13.95+L625*23.65)*12*0.85</f>
        <v>1267730.919</v>
      </c>
      <c r="AS625" s="3" t="n">
        <f aca="false" ca="false" dt2D="false" dtr="false" t="normal">+(K625*13.95+L625*23.65)*12*30-447549.13</f>
        <v>44295895.07</v>
      </c>
      <c r="AT625" s="9" t="n">
        <f aca="false" ca="false" dt2D="false" dtr="false" t="normal">+S625-AS625</f>
        <v>-18731106.27</v>
      </c>
      <c r="AU625" s="9" t="e">
        <f aca="false" ca="false" dt2D="false" dtr="false" t="normal">+P625-'[5]Приложение №1'!$P576</f>
        <v>#REF!</v>
      </c>
      <c r="AV625" s="9" t="e">
        <f aca="false" ca="false" dt2D="false" dtr="false" t="normal">+Q625-'[5]Приложение №1'!$Q576</f>
        <v>#REF!</v>
      </c>
      <c r="AW625" s="186" t="n">
        <f aca="false" ca="true" dt2D="false" dtr="false" t="normal">SUBTOTAL(9, AX625:BL625)</f>
        <v>35602243.24895984</v>
      </c>
      <c r="AX625" s="106" t="n">
        <v>14803506.67</v>
      </c>
      <c r="AY625" s="106" t="n">
        <v>6869704.59735924</v>
      </c>
      <c r="AZ625" s="106" t="n">
        <v>8171118.1097511</v>
      </c>
      <c r="BA625" s="106" t="n">
        <v>3937651.50429336</v>
      </c>
      <c r="BB625" s="106" t="n">
        <v>0</v>
      </c>
      <c r="BC625" s="106" t="n"/>
      <c r="BD625" s="106" t="n">
        <v>952026.39550956</v>
      </c>
      <c r="BE625" s="106" t="n">
        <v>0</v>
      </c>
      <c r="BF625" s="106" t="n"/>
      <c r="BG625" s="106" t="n">
        <v>0</v>
      </c>
      <c r="BH625" s="106" t="n">
        <v>0</v>
      </c>
      <c r="BI625" s="106" t="n">
        <v>0</v>
      </c>
      <c r="BJ625" s="106" t="n"/>
      <c r="BK625" s="114" t="n"/>
      <c r="BL625" s="115" t="n">
        <v>868235.97204658</v>
      </c>
      <c r="BM625" s="186" t="n">
        <f aca="false" ca="true" dt2D="false" dtr="false" t="normal">SUBTOTAL(9, BN625:CB625)</f>
        <v>35602243.24895984</v>
      </c>
      <c r="BN625" s="106" t="n">
        <v>14803506.67</v>
      </c>
      <c r="BO625" s="106" t="n">
        <v>6869704.59735924</v>
      </c>
      <c r="BP625" s="106" t="n">
        <v>8171118.1097511</v>
      </c>
      <c r="BQ625" s="106" t="n">
        <v>3937651.50429336</v>
      </c>
      <c r="BR625" s="106" t="n">
        <v>0</v>
      </c>
      <c r="BS625" s="106" t="n"/>
      <c r="BT625" s="106" t="n">
        <v>952026.39550956</v>
      </c>
      <c r="BU625" s="106" t="n">
        <v>0</v>
      </c>
      <c r="BV625" s="106" t="n"/>
      <c r="BW625" s="106" t="n">
        <v>0</v>
      </c>
      <c r="BX625" s="106" t="n">
        <v>0</v>
      </c>
      <c r="BY625" s="106" t="n">
        <v>0</v>
      </c>
      <c r="BZ625" s="106" t="n"/>
      <c r="CA625" s="114" t="n"/>
      <c r="CB625" s="115" t="n">
        <v>868235.97204658</v>
      </c>
      <c r="CD625" s="116" t="e">
        <f aca="false" ca="false" dt2D="false" dtr="false" t="normal">+CD624+1</f>
        <v>#REF!</v>
      </c>
      <c r="CE625" s="117" t="e">
        <f aca="false" ca="false" dt2D="false" dtr="false" t="normal">+CE624+1</f>
        <v>#REF!</v>
      </c>
      <c r="CF625" s="104" t="s">
        <v>111</v>
      </c>
      <c r="CG625" s="117" t="s">
        <v>615</v>
      </c>
      <c r="CH625" s="108" t="n">
        <f aca="false" ca="true" dt2D="false" dtr="false" t="normal">SUBTOTAL(9, CI625:CW625)</f>
        <v>30001477.089999996</v>
      </c>
      <c r="CI625" s="106" t="n">
        <v>14953037.04</v>
      </c>
      <c r="CJ625" s="243" t="n">
        <v>6547393.97</v>
      </c>
      <c r="CK625" s="243" t="n">
        <v>4711465.01</v>
      </c>
      <c r="CL625" s="243" t="n">
        <v>3789581.07</v>
      </c>
      <c r="CM625" s="114" t="n">
        <v>0</v>
      </c>
      <c r="CN625" s="114" t="n"/>
      <c r="CO625" s="106" t="n"/>
      <c r="CP625" s="114" t="n">
        <v>0</v>
      </c>
      <c r="CQ625" s="114" t="n"/>
      <c r="CR625" s="114" t="n">
        <v>0</v>
      </c>
      <c r="CS625" s="114" t="n">
        <v>0</v>
      </c>
      <c r="CT625" s="114" t="n">
        <v>0</v>
      </c>
      <c r="CU625" s="114" t="n"/>
      <c r="CV625" s="114" t="n"/>
      <c r="CW625" s="115" t="n"/>
      <c r="CX625" s="3" t="n">
        <f aca="false" ca="false" dt2D="false" dtr="false" t="normal">+N625-CH625</f>
        <v>0</v>
      </c>
      <c r="CZ625" s="117" t="s">
        <v>615</v>
      </c>
      <c r="DA625" s="113" t="n">
        <f aca="false" ca="true" dt2D="false" dtr="false" t="normal">SUBTOTAL(9, DB625:DP625)</f>
        <v>30001477.089999996</v>
      </c>
      <c r="DB625" s="106" t="n">
        <v>14953037.04</v>
      </c>
      <c r="DC625" s="243" t="n">
        <v>6547393.97</v>
      </c>
      <c r="DD625" s="243" t="n">
        <v>4711465.01</v>
      </c>
      <c r="DE625" s="243" t="n">
        <v>3789581.07</v>
      </c>
      <c r="DF625" s="114" t="n">
        <v>0</v>
      </c>
      <c r="DG625" s="114" t="n"/>
      <c r="DH625" s="106" t="n"/>
      <c r="DI625" s="114" t="n">
        <v>0</v>
      </c>
      <c r="DJ625" s="114" t="n"/>
      <c r="DK625" s="114" t="n">
        <v>0</v>
      </c>
      <c r="DL625" s="114" t="n">
        <v>0</v>
      </c>
      <c r="DM625" s="114" t="n">
        <v>0</v>
      </c>
      <c r="DN625" s="114" t="n"/>
      <c r="DO625" s="114" t="n"/>
      <c r="DP625" s="240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</row>
    <row customFormat="true" hidden="false" ht="15" outlineLevel="0" r="626" s="1">
      <c r="A626" s="183" t="n">
        <f aca="false" ca="false" dt2D="false" dtr="false" t="normal">+A625+1</f>
        <v>604</v>
      </c>
      <c r="B626" s="117" t="n">
        <f aca="false" ca="false" dt2D="false" dtr="false" t="normal">+B625+1</f>
        <v>144</v>
      </c>
      <c r="C626" s="104" t="s">
        <v>111</v>
      </c>
      <c r="D626" s="104" t="s">
        <v>616</v>
      </c>
      <c r="E626" s="105" t="n">
        <v>1994</v>
      </c>
      <c r="F626" s="105" t="n">
        <v>2013</v>
      </c>
      <c r="G626" s="105" t="s">
        <v>68</v>
      </c>
      <c r="H626" s="105" t="n">
        <v>9</v>
      </c>
      <c r="I626" s="105" t="n">
        <v>3</v>
      </c>
      <c r="J626" s="106" t="n">
        <v>8919.33</v>
      </c>
      <c r="K626" s="106" t="n">
        <v>6658.4</v>
      </c>
      <c r="L626" s="106" t="n">
        <v>0</v>
      </c>
      <c r="M626" s="107" t="n">
        <v>285</v>
      </c>
      <c r="N626" s="108" t="n">
        <f aca="false" ca="false" dt2D="false" dtr="false" t="normal">SUM(P626:T626)</f>
        <v>15590098.28</v>
      </c>
      <c r="O626" s="106" t="n"/>
      <c r="P626" s="114" t="n"/>
      <c r="Q626" s="114" t="n"/>
      <c r="R626" s="113" t="n">
        <v>3570825.25</v>
      </c>
      <c r="S626" s="113" t="n">
        <v>12019273.03</v>
      </c>
      <c r="T626" s="190" t="n"/>
      <c r="U626" s="114" t="n">
        <v>2440.45219490807</v>
      </c>
      <c r="V626" s="114" t="n">
        <v>1294.283020064</v>
      </c>
      <c r="W626" s="110" t="n">
        <v>2024</v>
      </c>
      <c r="X626" s="9" t="e">
        <f aca="false" ca="false" dt2D="false" dtr="false" t="normal">+#REF!-'[9]Приложение №1'!$P786</f>
        <v>#REF!</v>
      </c>
      <c r="Z626" s="113" t="n">
        <f aca="false" ca="false" dt2D="false" dtr="false" t="normal">SUM(AA626:AO626)</f>
        <v>14135263.04</v>
      </c>
      <c r="AA626" s="106" t="n">
        <v>0</v>
      </c>
      <c r="AB626" s="106" t="n">
        <v>0</v>
      </c>
      <c r="AC626" s="106" t="n">
        <v>0</v>
      </c>
      <c r="AD626" s="106" t="n">
        <v>0</v>
      </c>
      <c r="AE626" s="106" t="n">
        <v>0</v>
      </c>
      <c r="AF626" s="106" t="n"/>
      <c r="AG626" s="106" t="n">
        <v>0</v>
      </c>
      <c r="AH626" s="106" t="n">
        <v>0</v>
      </c>
      <c r="AI626" s="106" t="n">
        <v>0</v>
      </c>
      <c r="AJ626" s="106" t="n">
        <v>0</v>
      </c>
      <c r="AK626" s="106" t="n">
        <v>0</v>
      </c>
      <c r="AL626" s="106" t="n">
        <v>13564306.14693</v>
      </c>
      <c r="AM626" s="106" t="n">
        <v>193212.03</v>
      </c>
      <c r="AN626" s="106" t="n">
        <v>81120.96</v>
      </c>
      <c r="AO626" s="115" t="n">
        <v>296623.90307</v>
      </c>
      <c r="AP626" s="112" t="e">
        <f aca="false" ca="false" dt2D="false" dtr="false" t="normal">+N626-#REF!</f>
        <v>#REF!</v>
      </c>
      <c r="AQ626" s="1" t="n">
        <f aca="false" ca="false" dt2D="false" dtr="false" t="normal">5247070.49-1910372.27-713296.71</f>
        <v>2623401.5100000002</v>
      </c>
      <c r="AR626" s="3" t="n">
        <f aca="false" ca="false" dt2D="false" dtr="false" t="normal">+(K626*13.95+L626*23.65)*12*0.85</f>
        <v>947423.7359999999</v>
      </c>
      <c r="AS626" s="3" t="n">
        <f aca="false" ca="false" dt2D="false" dtr="false" t="normal">+(K626*13.95+L626*23.65)*12*30-3114194.79-7865381.35-93203.45</f>
        <v>22365705.209999997</v>
      </c>
      <c r="AT626" s="9" t="n">
        <f aca="false" ca="false" dt2D="false" dtr="false" t="normal">+S626-AS626</f>
        <v>-10346432.179999998</v>
      </c>
      <c r="AU626" s="9" t="e">
        <f aca="false" ca="false" dt2D="false" dtr="false" t="normal">+P626-'[5]Приложение №1'!$P302</f>
        <v>#REF!</v>
      </c>
      <c r="AV626" s="9" t="e">
        <f aca="false" ca="false" dt2D="false" dtr="false" t="normal">+Q626-'[5]Приложение №1'!$Q302</f>
        <v>#REF!</v>
      </c>
      <c r="AW626" s="186" t="n">
        <f aca="false" ca="true" dt2D="false" dtr="false" t="normal">SUBTOTAL(9, AX626:BL626)</f>
        <v>16249506.894575901</v>
      </c>
      <c r="AX626" s="106" t="n">
        <v>0</v>
      </c>
      <c r="AY626" s="106" t="n">
        <v>0</v>
      </c>
      <c r="AZ626" s="106" t="n">
        <v>0</v>
      </c>
      <c r="BA626" s="106" t="n">
        <v>0</v>
      </c>
      <c r="BB626" s="106" t="n"/>
      <c r="BC626" s="106" t="n"/>
      <c r="BD626" s="106" t="n"/>
      <c r="BE626" s="106" t="n">
        <v>0</v>
      </c>
      <c r="BF626" s="106" t="n">
        <v>0</v>
      </c>
      <c r="BG626" s="106" t="n">
        <v>0</v>
      </c>
      <c r="BH626" s="106" t="n">
        <v>0</v>
      </c>
      <c r="BI626" s="106" t="n">
        <v>13564306.14693</v>
      </c>
      <c r="BJ626" s="106" t="n">
        <v>2208962.027</v>
      </c>
      <c r="BK626" s="106" t="n">
        <v>167867.1545</v>
      </c>
      <c r="BL626" s="187" t="n">
        <v>308371.5661459</v>
      </c>
      <c r="BM626" s="186" t="n">
        <f aca="false" ca="true" dt2D="false" dtr="false" t="normal">SUBTOTAL(9, BN626:CB626)</f>
        <v>16249506.894575901</v>
      </c>
      <c r="BN626" s="106" t="n">
        <v>0</v>
      </c>
      <c r="BO626" s="106" t="n">
        <v>0</v>
      </c>
      <c r="BP626" s="106" t="n">
        <v>0</v>
      </c>
      <c r="BQ626" s="106" t="n">
        <v>0</v>
      </c>
      <c r="BR626" s="106" t="n"/>
      <c r="BS626" s="106" t="n"/>
      <c r="BT626" s="106" t="n"/>
      <c r="BU626" s="106" t="n">
        <v>0</v>
      </c>
      <c r="BV626" s="106" t="n">
        <v>0</v>
      </c>
      <c r="BW626" s="106" t="n">
        <v>0</v>
      </c>
      <c r="BX626" s="106" t="n">
        <v>0</v>
      </c>
      <c r="BY626" s="106" t="n">
        <v>13564306.14693</v>
      </c>
      <c r="BZ626" s="106" t="n">
        <v>2208962.027</v>
      </c>
      <c r="CA626" s="106" t="n">
        <v>167867.1545</v>
      </c>
      <c r="CB626" s="115" t="n">
        <v>308371.5661459</v>
      </c>
      <c r="CD626" s="116" t="e">
        <f aca="false" ca="false" dt2D="false" dtr="false" t="normal">+CD625+1</f>
        <v>#REF!</v>
      </c>
      <c r="CE626" s="117" t="e">
        <f aca="false" ca="false" dt2D="false" dtr="false" t="normal">+CE625+1</f>
        <v>#REF!</v>
      </c>
      <c r="CF626" s="104" t="s">
        <v>111</v>
      </c>
      <c r="CG626" s="117" t="s">
        <v>616</v>
      </c>
      <c r="CH626" s="108" t="n">
        <f aca="false" ca="true" dt2D="false" dtr="false" t="normal">SUBTOTAL(9, CI626:CW626)</f>
        <v>15898469.850000001</v>
      </c>
      <c r="CI626" s="106" t="n">
        <v>0</v>
      </c>
      <c r="CJ626" s="114" t="n">
        <v>0</v>
      </c>
      <c r="CK626" s="114" t="n">
        <v>0</v>
      </c>
      <c r="CL626" s="114" t="n">
        <v>0</v>
      </c>
      <c r="CM626" s="114" t="n">
        <v>2025792.13</v>
      </c>
      <c r="CN626" s="114" t="n"/>
      <c r="CO626" s="106" t="n"/>
      <c r="CP626" s="114" t="n">
        <v>0</v>
      </c>
      <c r="CQ626" s="114" t="n">
        <v>0</v>
      </c>
      <c r="CR626" s="114" t="n">
        <v>0</v>
      </c>
      <c r="CS626" s="114" t="n">
        <v>0</v>
      </c>
      <c r="CT626" s="114" t="n">
        <v>13564306.15</v>
      </c>
      <c r="CU626" s="114" t="n"/>
      <c r="CV626" s="114" t="n"/>
      <c r="CW626" s="115" t="n">
        <v>308371.57</v>
      </c>
      <c r="CX626" s="3" t="n">
        <f aca="false" ca="false" dt2D="false" dtr="false" t="normal">+N626-CH626</f>
        <v>-308371.57000000216</v>
      </c>
      <c r="CZ626" s="117" t="s">
        <v>616</v>
      </c>
      <c r="DA626" s="113" t="n">
        <f aca="false" ca="true" dt2D="false" dtr="false" t="normal">SUBTOTAL(9, DB626:DP626)</f>
        <v>15590098.280000001</v>
      </c>
      <c r="DB626" s="106" t="n">
        <v>0</v>
      </c>
      <c r="DC626" s="114" t="n">
        <v>0</v>
      </c>
      <c r="DD626" s="114" t="n">
        <v>0</v>
      </c>
      <c r="DE626" s="114" t="n">
        <v>0</v>
      </c>
      <c r="DF626" s="114" t="n">
        <v>2025792.13</v>
      </c>
      <c r="DG626" s="114" t="n"/>
      <c r="DH626" s="106" t="n"/>
      <c r="DI626" s="114" t="n">
        <v>0</v>
      </c>
      <c r="DJ626" s="114" t="n">
        <v>0</v>
      </c>
      <c r="DK626" s="114" t="n">
        <v>0</v>
      </c>
      <c r="DL626" s="114" t="n">
        <v>0</v>
      </c>
      <c r="DM626" s="114" t="n">
        <v>13564306.15</v>
      </c>
      <c r="DN626" s="241" t="n"/>
      <c r="DO626" s="241" t="n"/>
      <c r="DP626" s="240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</row>
    <row customFormat="true" hidden="false" ht="15" outlineLevel="0" r="627" s="1">
      <c r="A627" s="183" t="n">
        <f aca="false" ca="false" dt2D="false" dtr="false" t="normal">+A626+1</f>
        <v>605</v>
      </c>
      <c r="B627" s="117" t="n">
        <f aca="false" ca="false" dt2D="false" dtr="false" t="normal">+B626+1</f>
        <v>145</v>
      </c>
      <c r="C627" s="104" t="s">
        <v>111</v>
      </c>
      <c r="D627" s="104" t="s">
        <v>617</v>
      </c>
      <c r="E627" s="105" t="n">
        <v>1999</v>
      </c>
      <c r="F627" s="105" t="n">
        <v>1999</v>
      </c>
      <c r="G627" s="105" t="s">
        <v>68</v>
      </c>
      <c r="H627" s="105" t="n">
        <v>9</v>
      </c>
      <c r="I627" s="105" t="n">
        <v>1</v>
      </c>
      <c r="J627" s="106" t="n">
        <v>2462.15</v>
      </c>
      <c r="K627" s="106" t="n">
        <v>2301</v>
      </c>
      <c r="L627" s="106" t="n">
        <v>0</v>
      </c>
      <c r="M627" s="107" t="n">
        <v>79</v>
      </c>
      <c r="N627" s="108" t="n">
        <f aca="false" ca="false" dt2D="false" dtr="false" t="normal">SUM(P627:T627)</f>
        <v>2890378.15</v>
      </c>
      <c r="O627" s="106" t="n"/>
      <c r="P627" s="114" t="n"/>
      <c r="Q627" s="114" t="n"/>
      <c r="R627" s="113" t="n">
        <v>2055860.49</v>
      </c>
      <c r="S627" s="113" t="n">
        <v>834517.66</v>
      </c>
      <c r="T627" s="114" t="n">
        <v>0</v>
      </c>
      <c r="U627" s="114" t="n">
        <v>1856.17122990004</v>
      </c>
      <c r="V627" s="114" t="n">
        <v>1295.283020064</v>
      </c>
      <c r="W627" s="110" t="n">
        <v>2024</v>
      </c>
      <c r="X627" s="9" t="n"/>
      <c r="Z627" s="113" t="n"/>
      <c r="AA627" s="106" t="n"/>
      <c r="AB627" s="106" t="n"/>
      <c r="AC627" s="106" t="n"/>
      <c r="AD627" s="106" t="n"/>
      <c r="AE627" s="106" t="n"/>
      <c r="AF627" s="106" t="n"/>
      <c r="AG627" s="106" t="n"/>
      <c r="AH627" s="106" t="n"/>
      <c r="AI627" s="106" t="n"/>
      <c r="AJ627" s="106" t="n"/>
      <c r="AK627" s="106" t="n"/>
      <c r="AL627" s="106" t="n"/>
      <c r="AM627" s="106" t="n"/>
      <c r="AN627" s="114" t="n"/>
      <c r="AO627" s="115" t="n"/>
      <c r="AP627" s="112" t="n">
        <f aca="false" ca="false" dt2D="false" dtr="false" t="normal">+N627-'Приложение №2'!E627</f>
        <v>0</v>
      </c>
      <c r="AQ627" s="121" t="n">
        <v>1728451.2</v>
      </c>
      <c r="AR627" s="3" t="n">
        <f aca="false" ca="false" dt2D="false" dtr="false" t="normal">+(K627*13.95+L627*23.65)*12*0.85</f>
        <v>327409.29</v>
      </c>
      <c r="AS627" s="3" t="n">
        <f aca="false" ca="false" dt2D="false" dtr="false" t="normal">+(K627*13.95+L627*23.65)*12*30</f>
        <v>11555621.999999998</v>
      </c>
      <c r="AT627" s="9" t="n">
        <f aca="false" ca="false" dt2D="false" dtr="false" t="normal">+S627-AS627</f>
        <v>-10721104.339999998</v>
      </c>
      <c r="AU627" s="9" t="e">
        <f aca="false" ca="false" dt2D="false" dtr="false" t="normal">+P627-'[5]Приложение №1'!$P578</f>
        <v>#REF!</v>
      </c>
      <c r="AV627" s="9" t="e">
        <f aca="false" ca="false" dt2D="false" dtr="false" t="normal">+Q627-'[5]Приложение №1'!$Q578</f>
        <v>#REF!</v>
      </c>
      <c r="AW627" s="186" t="n">
        <f aca="false" ca="true" dt2D="false" dtr="false" t="normal">SUBTOTAL(9, AX627:BL627)</f>
        <v>4271050</v>
      </c>
      <c r="AX627" s="106" t="n"/>
      <c r="AY627" s="106" t="n"/>
      <c r="AZ627" s="106" t="n"/>
      <c r="BA627" s="106" t="n"/>
      <c r="BB627" s="106" t="n"/>
      <c r="BC627" s="106" t="n"/>
      <c r="BD627" s="106" t="n"/>
      <c r="BE627" s="106" t="n">
        <v>4012463.5488</v>
      </c>
      <c r="BF627" s="106" t="n"/>
      <c r="BG627" s="106" t="n"/>
      <c r="BH627" s="106" t="n"/>
      <c r="BI627" s="106" t="n"/>
      <c r="BJ627" s="106" t="n">
        <v>128131.5</v>
      </c>
      <c r="BK627" s="114" t="n">
        <v>42710.5</v>
      </c>
      <c r="BL627" s="115" t="n">
        <v>87744.4512</v>
      </c>
      <c r="BM627" s="186" t="n">
        <f aca="false" ca="true" dt2D="false" dtr="false" t="normal">SUBTOTAL(9, BN627:CB627)</f>
        <v>4271050</v>
      </c>
      <c r="BN627" s="106" t="n"/>
      <c r="BO627" s="106" t="n"/>
      <c r="BP627" s="106" t="n"/>
      <c r="BQ627" s="106" t="n"/>
      <c r="BR627" s="106" t="n"/>
      <c r="BS627" s="106" t="n"/>
      <c r="BT627" s="106" t="n"/>
      <c r="BU627" s="106" t="n">
        <v>4012463.5488</v>
      </c>
      <c r="BV627" s="106" t="n"/>
      <c r="BW627" s="106" t="n"/>
      <c r="BX627" s="106" t="n"/>
      <c r="BY627" s="106" t="n"/>
      <c r="BZ627" s="106" t="n">
        <v>128131.5</v>
      </c>
      <c r="CA627" s="114" t="n">
        <v>42710.5</v>
      </c>
      <c r="CB627" s="115" t="n">
        <v>87744.4512</v>
      </c>
      <c r="CD627" s="116" t="e">
        <f aca="false" ca="false" dt2D="false" dtr="false" t="normal">+CD626+1</f>
        <v>#REF!</v>
      </c>
      <c r="CE627" s="117" t="e">
        <f aca="false" ca="false" dt2D="false" dtr="false" t="normal">+CE626+1</f>
        <v>#REF!</v>
      </c>
      <c r="CF627" s="104" t="s">
        <v>111</v>
      </c>
      <c r="CG627" s="117" t="s">
        <v>617</v>
      </c>
      <c r="CH627" s="108" t="n">
        <f aca="false" ca="true" dt2D="false" dtr="false" t="normal">SUBTOTAL(9, CI627:CW627)</f>
        <v>2890378.15</v>
      </c>
      <c r="CI627" s="106" t="n"/>
      <c r="CJ627" s="114" t="n"/>
      <c r="CK627" s="114" t="n"/>
      <c r="CL627" s="114" t="n"/>
      <c r="CM627" s="114" t="n"/>
      <c r="CN627" s="114" t="n"/>
      <c r="CO627" s="106" t="n"/>
      <c r="CP627" s="243" t="n">
        <v>2719536.15</v>
      </c>
      <c r="CQ627" s="114" t="n"/>
      <c r="CR627" s="114" t="n"/>
      <c r="CS627" s="114" t="n"/>
      <c r="CT627" s="114" t="n"/>
      <c r="CU627" s="114" t="n">
        <v>128131.5</v>
      </c>
      <c r="CV627" s="114" t="n">
        <v>42710.5</v>
      </c>
      <c r="CW627" s="115" t="n"/>
      <c r="CX627" s="3" t="n">
        <f aca="false" ca="false" dt2D="false" dtr="false" t="normal">+N627-CH627</f>
        <v>0</v>
      </c>
      <c r="CZ627" s="117" t="s">
        <v>617</v>
      </c>
      <c r="DA627" s="113" t="n">
        <f aca="false" ca="true" dt2D="false" dtr="false" t="normal">SUBTOTAL(9, DB627:DP627)</f>
        <v>2890378.15</v>
      </c>
      <c r="DB627" s="106" t="n"/>
      <c r="DC627" s="114" t="n"/>
      <c r="DD627" s="114" t="n"/>
      <c r="DE627" s="114" t="n"/>
      <c r="DF627" s="114" t="n"/>
      <c r="DG627" s="114" t="n"/>
      <c r="DH627" s="106" t="n"/>
      <c r="DI627" s="243" t="n">
        <v>2719536.15</v>
      </c>
      <c r="DJ627" s="114" t="n"/>
      <c r="DK627" s="114" t="n"/>
      <c r="DL627" s="114" t="n"/>
      <c r="DM627" s="114" t="n"/>
      <c r="DN627" s="114" t="n">
        <v>128131.5</v>
      </c>
      <c r="DO627" s="114" t="n">
        <v>42710.5</v>
      </c>
      <c r="DP627" s="240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</row>
    <row customFormat="true" hidden="false" ht="15" outlineLevel="0" r="628" s="129">
      <c r="A628" s="183" t="n">
        <f aca="false" ca="false" dt2D="false" dtr="false" t="normal">+A627+1</f>
        <v>606</v>
      </c>
      <c r="B628" s="117" t="n">
        <f aca="false" ca="false" dt2D="false" dtr="false" t="normal">+B627+1</f>
        <v>146</v>
      </c>
      <c r="C628" s="104" t="s">
        <v>111</v>
      </c>
      <c r="D628" s="104" t="s">
        <v>618</v>
      </c>
      <c r="E628" s="105" t="s">
        <v>436</v>
      </c>
      <c r="F628" s="105" t="n"/>
      <c r="G628" s="105" t="s">
        <v>68</v>
      </c>
      <c r="H628" s="105" t="s">
        <v>126</v>
      </c>
      <c r="I628" s="105" t="s">
        <v>232</v>
      </c>
      <c r="J628" s="106" t="n">
        <v>5386.8</v>
      </c>
      <c r="K628" s="106" t="n">
        <v>4410.9</v>
      </c>
      <c r="L628" s="106" t="n">
        <v>0</v>
      </c>
      <c r="M628" s="107" t="n">
        <v>267</v>
      </c>
      <c r="N628" s="108" t="n">
        <f aca="false" ca="false" dt2D="false" dtr="false" t="normal">SUM(P628:T628)</f>
        <v>1410134.84</v>
      </c>
      <c r="O628" s="106" t="n">
        <v>0</v>
      </c>
      <c r="P628" s="114" t="n"/>
      <c r="Q628" s="114" t="n"/>
      <c r="R628" s="113" t="n">
        <v>1410134.84</v>
      </c>
      <c r="S628" s="114" t="n">
        <v>0</v>
      </c>
      <c r="T628" s="114" t="n">
        <v>0</v>
      </c>
      <c r="U628" s="114" t="n">
        <v>413.689431761122</v>
      </c>
      <c r="V628" s="114" t="n">
        <v>1296.283020064</v>
      </c>
      <c r="W628" s="110" t="n">
        <v>2024</v>
      </c>
      <c r="X628" s="129" t="n">
        <v>1654219.33</v>
      </c>
      <c r="Y628" s="129" t="n">
        <f aca="false" ca="false" dt2D="false" dtr="false" t="normal">+(K628*12.08+L628*20.47)*12</f>
        <v>639404.064</v>
      </c>
      <c r="AA628" s="130" t="e">
        <f aca="false" ca="false" dt2D="false" dtr="false" t="normal">+N628-'[8]Приложение № 2'!E544</f>
        <v>#REF!</v>
      </c>
      <c r="AD628" s="130" t="e">
        <f aca="false" ca="false" dt2D="false" dtr="false" t="normal">+N628-'[8]Приложение № 2'!E544</f>
        <v>#REF!</v>
      </c>
      <c r="AP628" s="112" t="n">
        <f aca="false" ca="false" dt2D="false" dtr="false" t="normal">+N628-'Приложение №2'!E628</f>
        <v>0</v>
      </c>
      <c r="AQ628" s="121" t="n">
        <v>3043518.91</v>
      </c>
      <c r="AR628" s="3" t="n">
        <f aca="false" ca="false" dt2D="false" dtr="false" t="normal">+(K628*13.95+L628*23.65)*12*0.85</f>
        <v>627626.9609999999</v>
      </c>
      <c r="AS628" s="3" t="n">
        <f aca="false" ca="false" dt2D="false" dtr="false" t="normal">+(K628*13.95+L628*23.65)*12*30</f>
        <v>22151539.799999997</v>
      </c>
      <c r="AT628" s="9" t="n">
        <f aca="false" ca="false" dt2D="false" dtr="false" t="normal">+S628-AS628</f>
        <v>-22151539.799999997</v>
      </c>
      <c r="AU628" s="9" t="e">
        <f aca="false" ca="false" dt2D="false" dtr="false" t="normal">+P628-'[5]Приложение №1'!$P579</f>
        <v>#REF!</v>
      </c>
      <c r="AV628" s="9" t="e">
        <f aca="false" ca="false" dt2D="false" dtr="false" t="normal">+Q628-'[5]Приложение №1'!$Q579</f>
        <v>#REF!</v>
      </c>
      <c r="AW628" s="186" t="n">
        <f aca="false" ca="true" dt2D="false" dtr="false" t="normal">SUBTOTAL(9, AX628:BL628)</f>
        <v>1824742.71455513</v>
      </c>
      <c r="AX628" s="106" t="n"/>
      <c r="AY628" s="106" t="n"/>
      <c r="AZ628" s="106" t="n"/>
      <c r="BA628" s="106" t="n"/>
      <c r="BB628" s="106" t="n">
        <v>1410134.84157565</v>
      </c>
      <c r="BC628" s="106" t="n"/>
      <c r="BD628" s="106" t="n"/>
      <c r="BE628" s="106" t="n"/>
      <c r="BF628" s="106" t="n"/>
      <c r="BG628" s="106" t="n"/>
      <c r="BH628" s="106" t="n"/>
      <c r="BI628" s="106" t="n"/>
      <c r="BJ628" s="106" t="n">
        <v>383771.08</v>
      </c>
      <c r="BK628" s="114" t="n"/>
      <c r="BL628" s="115" t="n">
        <v>30836.7929794799</v>
      </c>
      <c r="BM628" s="186" t="n">
        <f aca="false" ca="true" dt2D="false" dtr="false" t="normal">SUBTOTAL(9, BN628:CB628)</f>
        <v>1824742.71455513</v>
      </c>
      <c r="BN628" s="106" t="n"/>
      <c r="BO628" s="106" t="n"/>
      <c r="BP628" s="106" t="n"/>
      <c r="BQ628" s="106" t="n"/>
      <c r="BR628" s="106" t="n">
        <v>1410134.84157565</v>
      </c>
      <c r="BS628" s="106" t="n"/>
      <c r="BT628" s="106" t="n"/>
      <c r="BU628" s="106" t="n"/>
      <c r="BV628" s="106" t="n"/>
      <c r="BW628" s="106" t="n"/>
      <c r="BX628" s="106" t="n"/>
      <c r="BY628" s="106" t="n"/>
      <c r="BZ628" s="106" t="n">
        <v>383771.08</v>
      </c>
      <c r="CA628" s="114" t="n"/>
      <c r="CB628" s="115" t="n">
        <v>30836.7929794799</v>
      </c>
      <c r="CD628" s="116" t="e">
        <f aca="false" ca="false" dt2D="false" dtr="false" t="normal">+CD627+1</f>
        <v>#REF!</v>
      </c>
      <c r="CE628" s="117" t="e">
        <f aca="false" ca="false" dt2D="false" dtr="false" t="normal">+CE627+1</f>
        <v>#REF!</v>
      </c>
      <c r="CF628" s="104" t="s">
        <v>111</v>
      </c>
      <c r="CG628" s="117" t="s">
        <v>618</v>
      </c>
      <c r="CH628" s="108" t="n">
        <f aca="false" ca="true" dt2D="false" dtr="false" t="normal">SUBTOTAL(9, CI628:CW628)</f>
        <v>1410134.84</v>
      </c>
      <c r="CI628" s="106" t="n"/>
      <c r="CJ628" s="114" t="n"/>
      <c r="CK628" s="114" t="n"/>
      <c r="CL628" s="114" t="n"/>
      <c r="CM628" s="114" t="n">
        <v>1410134.84</v>
      </c>
      <c r="CN628" s="114" t="n"/>
      <c r="CO628" s="106" t="n"/>
      <c r="CP628" s="114" t="n"/>
      <c r="CQ628" s="114" t="n"/>
      <c r="CR628" s="114" t="n"/>
      <c r="CS628" s="114" t="n"/>
      <c r="CT628" s="114" t="n"/>
      <c r="CU628" s="114" t="n"/>
      <c r="CV628" s="114" t="n"/>
      <c r="CW628" s="115" t="n"/>
      <c r="CX628" s="3" t="n">
        <f aca="false" ca="false" dt2D="false" dtr="false" t="normal">+N628-CH628</f>
        <v>0</v>
      </c>
      <c r="CZ628" s="117" t="s">
        <v>618</v>
      </c>
      <c r="DA628" s="113" t="n">
        <f aca="false" ca="true" dt2D="false" dtr="false" t="normal">SUBTOTAL(9, DB628:DP628)</f>
        <v>1410134.84</v>
      </c>
      <c r="DB628" s="106" t="n"/>
      <c r="DC628" s="114" t="n"/>
      <c r="DD628" s="114" t="n"/>
      <c r="DE628" s="114" t="n"/>
      <c r="DF628" s="114" t="n">
        <v>1410134.84</v>
      </c>
      <c r="DG628" s="114" t="n"/>
      <c r="DH628" s="106" t="n"/>
      <c r="DI628" s="114" t="n"/>
      <c r="DJ628" s="114" t="n"/>
      <c r="DK628" s="114" t="n"/>
      <c r="DL628" s="114" t="n"/>
      <c r="DM628" s="114" t="n"/>
      <c r="DN628" s="241" t="n"/>
      <c r="DO628" s="241" t="n"/>
      <c r="DP628" s="240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</row>
    <row customFormat="true" hidden="false" ht="15" outlineLevel="0" r="629" s="129">
      <c r="A629" s="183" t="n">
        <f aca="false" ca="false" dt2D="false" dtr="false" t="normal">+A628+1</f>
        <v>607</v>
      </c>
      <c r="B629" s="117" t="n">
        <f aca="false" ca="false" dt2D="false" dtr="false" t="normal">+B628+1</f>
        <v>147</v>
      </c>
      <c r="C629" s="104" t="s">
        <v>111</v>
      </c>
      <c r="D629" s="104" t="s">
        <v>619</v>
      </c>
      <c r="E629" s="105" t="s">
        <v>438</v>
      </c>
      <c r="F629" s="105" t="n"/>
      <c r="G629" s="105" t="s">
        <v>68</v>
      </c>
      <c r="H629" s="105" t="s">
        <v>126</v>
      </c>
      <c r="I629" s="105" t="s">
        <v>232</v>
      </c>
      <c r="J629" s="106" t="n">
        <v>5259.4</v>
      </c>
      <c r="K629" s="106" t="n">
        <v>4259.8</v>
      </c>
      <c r="L629" s="106" t="n">
        <v>65.2</v>
      </c>
      <c r="M629" s="107" t="n">
        <v>245</v>
      </c>
      <c r="N629" s="108" t="n">
        <f aca="false" ca="false" dt2D="false" dtr="false" t="normal">SUM(P629:T629)</f>
        <v>1382673.19</v>
      </c>
      <c r="O629" s="106" t="n">
        <v>0</v>
      </c>
      <c r="P629" s="114" t="n"/>
      <c r="Q629" s="114" t="n"/>
      <c r="R629" s="113" t="n">
        <v>1382673.19</v>
      </c>
      <c r="S629" s="114" t="n">
        <v>0</v>
      </c>
      <c r="T629" s="114" t="n">
        <v>0</v>
      </c>
      <c r="U629" s="114" t="n">
        <v>421.603226911027</v>
      </c>
      <c r="V629" s="114" t="n">
        <v>1297.283020064</v>
      </c>
      <c r="W629" s="110" t="n">
        <v>2024</v>
      </c>
      <c r="X629" s="129" t="n">
        <v>1762729.2</v>
      </c>
      <c r="Y629" s="129" t="n">
        <f aca="false" ca="false" dt2D="false" dtr="false" t="normal">+(K629*12.08+L629*20.47)*12</f>
        <v>633516.3360000001</v>
      </c>
      <c r="AA629" s="130" t="e">
        <f aca="false" ca="false" dt2D="false" dtr="false" t="normal">+N629-'[8]Приложение № 2'!E545</f>
        <v>#REF!</v>
      </c>
      <c r="AD629" s="130" t="e">
        <f aca="false" ca="false" dt2D="false" dtr="false" t="normal">+N629-'[8]Приложение № 2'!E545</f>
        <v>#REF!</v>
      </c>
      <c r="AP629" s="112" t="n">
        <f aca="false" ca="false" dt2D="false" dtr="false" t="normal">+N629-'Приложение №2'!E629</f>
        <v>0</v>
      </c>
      <c r="AQ629" s="121" t="n">
        <v>2987606.71</v>
      </c>
      <c r="AR629" s="3" t="n">
        <f aca="false" ca="false" dt2D="false" dtr="false" t="normal">+(K629*13.95+L629*23.65)*12*0.85</f>
        <v>621855.138</v>
      </c>
      <c r="AS629" s="3" t="n">
        <f aca="false" ca="false" dt2D="false" dtr="false" t="normal">+(K629*13.95+L629*23.65)*12*30</f>
        <v>21947828.400000002</v>
      </c>
      <c r="AT629" s="9" t="n">
        <f aca="false" ca="false" dt2D="false" dtr="false" t="normal">+S629-AS629</f>
        <v>-21947828.400000002</v>
      </c>
      <c r="AU629" s="9" t="e">
        <f aca="false" ca="false" dt2D="false" dtr="false" t="normal">+P629-'[5]Приложение №1'!$P580</f>
        <v>#REF!</v>
      </c>
      <c r="AV629" s="9" t="e">
        <f aca="false" ca="false" dt2D="false" dtr="false" t="normal">+Q629-'[5]Приложение №1'!$Q580</f>
        <v>#REF!</v>
      </c>
      <c r="AW629" s="186" t="n">
        <f aca="false" ca="true" dt2D="false" dtr="false" t="normal">SUBTOTAL(9, AX629:BL629)</f>
        <v>1795945.4259955955</v>
      </c>
      <c r="AX629" s="106" t="n"/>
      <c r="AY629" s="106" t="n"/>
      <c r="AZ629" s="106" t="n"/>
      <c r="BA629" s="106" t="n"/>
      <c r="BB629" s="106" t="n">
        <v>1382673.19363729</v>
      </c>
      <c r="BC629" s="106" t="n"/>
      <c r="BD629" s="106" t="n"/>
      <c r="BE629" s="106" t="n"/>
      <c r="BF629" s="106" t="n"/>
      <c r="BG629" s="106" t="n"/>
      <c r="BH629" s="106" t="n"/>
      <c r="BI629" s="106" t="n"/>
      <c r="BJ629" s="106" t="n">
        <v>383035.97</v>
      </c>
      <c r="BK629" s="114" t="n"/>
      <c r="BL629" s="115" t="n">
        <v>30236.2623583056</v>
      </c>
      <c r="BM629" s="186" t="n">
        <f aca="false" ca="true" dt2D="false" dtr="false" t="normal">SUBTOTAL(9, BN629:CB629)</f>
        <v>1795945.4259955955</v>
      </c>
      <c r="BN629" s="106" t="n"/>
      <c r="BO629" s="106" t="n"/>
      <c r="BP629" s="106" t="n"/>
      <c r="BQ629" s="106" t="n"/>
      <c r="BR629" s="106" t="n">
        <v>1382673.19363729</v>
      </c>
      <c r="BS629" s="106" t="n"/>
      <c r="BT629" s="106" t="n"/>
      <c r="BU629" s="106" t="n"/>
      <c r="BV629" s="106" t="n"/>
      <c r="BW629" s="106" t="n"/>
      <c r="BX629" s="106" t="n"/>
      <c r="BY629" s="106" t="n"/>
      <c r="BZ629" s="106" t="n">
        <v>383035.97</v>
      </c>
      <c r="CA629" s="114" t="n"/>
      <c r="CB629" s="115" t="n">
        <v>30236.2623583056</v>
      </c>
      <c r="CD629" s="116" t="e">
        <f aca="false" ca="false" dt2D="false" dtr="false" t="normal">+CD628+1</f>
        <v>#REF!</v>
      </c>
      <c r="CE629" s="117" t="e">
        <f aca="false" ca="false" dt2D="false" dtr="false" t="normal">+CE628+1</f>
        <v>#REF!</v>
      </c>
      <c r="CF629" s="104" t="s">
        <v>111</v>
      </c>
      <c r="CG629" s="117" t="s">
        <v>619</v>
      </c>
      <c r="CH629" s="108" t="n">
        <f aca="false" ca="true" dt2D="false" dtr="false" t="normal">SUBTOTAL(9, CI629:CW629)</f>
        <v>1382673.19</v>
      </c>
      <c r="CI629" s="106" t="n"/>
      <c r="CJ629" s="114" t="n"/>
      <c r="CK629" s="114" t="n"/>
      <c r="CL629" s="114" t="n"/>
      <c r="CM629" s="114" t="n">
        <v>1382673.19</v>
      </c>
      <c r="CN629" s="114" t="n"/>
      <c r="CO629" s="106" t="n"/>
      <c r="CP629" s="114" t="n"/>
      <c r="CQ629" s="114" t="n"/>
      <c r="CR629" s="114" t="n"/>
      <c r="CS629" s="114" t="n"/>
      <c r="CT629" s="114" t="n"/>
      <c r="CU629" s="114" t="n"/>
      <c r="CV629" s="114" t="n"/>
      <c r="CW629" s="115" t="n"/>
      <c r="CX629" s="3" t="n">
        <f aca="false" ca="false" dt2D="false" dtr="false" t="normal">+N629-CH629</f>
        <v>0</v>
      </c>
      <c r="CZ629" s="117" t="s">
        <v>619</v>
      </c>
      <c r="DA629" s="113" t="n">
        <f aca="false" ca="true" dt2D="false" dtr="false" t="normal">SUBTOTAL(9, DB629:DP629)</f>
        <v>1382673.19</v>
      </c>
      <c r="DB629" s="106" t="n"/>
      <c r="DC629" s="114" t="n"/>
      <c r="DD629" s="114" t="n"/>
      <c r="DE629" s="114" t="n"/>
      <c r="DF629" s="114" t="n">
        <v>1382673.19</v>
      </c>
      <c r="DG629" s="114" t="n"/>
      <c r="DH629" s="106" t="n"/>
      <c r="DI629" s="114" t="n"/>
      <c r="DJ629" s="114" t="n"/>
      <c r="DK629" s="114" t="n"/>
      <c r="DL629" s="114" t="n"/>
      <c r="DM629" s="114" t="n"/>
      <c r="DN629" s="241" t="n"/>
      <c r="DO629" s="241" t="n"/>
      <c r="DP629" s="240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</row>
    <row customFormat="true" hidden="false" ht="15" outlineLevel="0" r="630" s="129">
      <c r="A630" s="183" t="n">
        <f aca="false" ca="false" dt2D="false" dtr="false" t="normal">+A629+1</f>
        <v>608</v>
      </c>
      <c r="B630" s="117" t="n">
        <f aca="false" ca="false" dt2D="false" dtr="false" t="normal">+B629+1</f>
        <v>148</v>
      </c>
      <c r="C630" s="104" t="s">
        <v>111</v>
      </c>
      <c r="D630" s="104" t="s">
        <v>620</v>
      </c>
      <c r="E630" s="105" t="s">
        <v>438</v>
      </c>
      <c r="F630" s="105" t="n"/>
      <c r="G630" s="105" t="s">
        <v>68</v>
      </c>
      <c r="H630" s="105" t="s">
        <v>126</v>
      </c>
      <c r="I630" s="105" t="s">
        <v>232</v>
      </c>
      <c r="J630" s="106" t="n">
        <v>5408.1</v>
      </c>
      <c r="K630" s="106" t="n">
        <v>4395.54</v>
      </c>
      <c r="L630" s="106" t="n">
        <v>0</v>
      </c>
      <c r="M630" s="107" t="n">
        <v>222</v>
      </c>
      <c r="N630" s="108" t="n">
        <f aca="false" ca="false" dt2D="false" dtr="false" t="normal">SUM(P630:T630)</f>
        <v>1405224.35</v>
      </c>
      <c r="O630" s="106" t="n">
        <v>0</v>
      </c>
      <c r="P630" s="114" t="n"/>
      <c r="Q630" s="114" t="n"/>
      <c r="R630" s="113" t="n">
        <v>1405224.35</v>
      </c>
      <c r="S630" s="114" t="n">
        <v>0</v>
      </c>
      <c r="T630" s="114" t="n">
        <v>0</v>
      </c>
      <c r="U630" s="114" t="n">
        <v>413.982860856614</v>
      </c>
      <c r="V630" s="114" t="n">
        <v>1298.283020064</v>
      </c>
      <c r="W630" s="110" t="n">
        <v>2024</v>
      </c>
      <c r="X630" s="129" t="n">
        <v>1466483.92</v>
      </c>
      <c r="Y630" s="129" t="n">
        <f aca="false" ca="false" dt2D="false" dtr="false" t="normal">+(K630*12.08+L630*20.47)*12</f>
        <v>637177.4784</v>
      </c>
      <c r="AA630" s="130" t="e">
        <f aca="false" ca="false" dt2D="false" dtr="false" t="normal">+N630-'[8]Приложение № 2'!E546</f>
        <v>#REF!</v>
      </c>
      <c r="AD630" s="130" t="e">
        <f aca="false" ca="false" dt2D="false" dtr="false" t="normal">+N630-'[8]Приложение № 2'!E546</f>
        <v>#REF!</v>
      </c>
      <c r="AP630" s="112" t="n">
        <f aca="false" ca="false" dt2D="false" dtr="false" t="normal">+N630-'Приложение №2'!E630</f>
        <v>0</v>
      </c>
      <c r="AQ630" s="121" t="n">
        <v>2813394.45</v>
      </c>
      <c r="AR630" s="3" t="n">
        <f aca="false" ca="false" dt2D="false" dtr="false" t="normal">+(K630*13.95+L630*23.65)*12*0.85</f>
        <v>625441.3866</v>
      </c>
      <c r="AS630" s="3" t="n">
        <f aca="false" ca="false" dt2D="false" dtr="false" t="normal">+(K630*13.95+L630*23.65)*12*30</f>
        <v>22074401.88</v>
      </c>
      <c r="AT630" s="9" t="n">
        <f aca="false" ca="false" dt2D="false" dtr="false" t="normal">+S630-AS630</f>
        <v>-22074401.88</v>
      </c>
      <c r="AU630" s="9" t="e">
        <f aca="false" ca="false" dt2D="false" dtr="false" t="normal">+P630-'[5]Приложение №1'!$P581</f>
        <v>#REF!</v>
      </c>
      <c r="AV630" s="9" t="e">
        <f aca="false" ca="false" dt2D="false" dtr="false" t="normal">+Q630-'[5]Приложение №1'!$Q581</f>
        <v>#REF!</v>
      </c>
      <c r="AW630" s="186" t="n">
        <f aca="false" ca="true" dt2D="false" dtr="false" t="normal">SUBTOTAL(9, AX630:BL630)</f>
        <v>1819678.224209677</v>
      </c>
      <c r="AX630" s="106" t="n"/>
      <c r="AY630" s="106" t="n"/>
      <c r="AZ630" s="106" t="n"/>
      <c r="BA630" s="106" t="n"/>
      <c r="BB630" s="106" t="n">
        <v>1405224.35365559</v>
      </c>
      <c r="BC630" s="106" t="n"/>
      <c r="BD630" s="106" t="n"/>
      <c r="BE630" s="106" t="n"/>
      <c r="BF630" s="106" t="n"/>
      <c r="BG630" s="106" t="n"/>
      <c r="BH630" s="106" t="n"/>
      <c r="BI630" s="106" t="n"/>
      <c r="BJ630" s="106" t="n">
        <v>383724.46</v>
      </c>
      <c r="BK630" s="114" t="n"/>
      <c r="BL630" s="115" t="n">
        <v>30729.4105540871</v>
      </c>
      <c r="BM630" s="186" t="n">
        <f aca="false" ca="true" dt2D="false" dtr="false" t="normal">SUBTOTAL(9, BN630:CB630)</f>
        <v>1819678.224209677</v>
      </c>
      <c r="BN630" s="106" t="n"/>
      <c r="BO630" s="106" t="n"/>
      <c r="BP630" s="106" t="n"/>
      <c r="BQ630" s="106" t="n"/>
      <c r="BR630" s="106" t="n">
        <v>1405224.35365559</v>
      </c>
      <c r="BS630" s="106" t="n"/>
      <c r="BT630" s="106" t="n"/>
      <c r="BU630" s="106" t="n"/>
      <c r="BV630" s="106" t="n"/>
      <c r="BW630" s="106" t="n"/>
      <c r="BX630" s="106" t="n"/>
      <c r="BY630" s="106" t="n"/>
      <c r="BZ630" s="106" t="n">
        <v>383724.46</v>
      </c>
      <c r="CA630" s="114" t="n"/>
      <c r="CB630" s="115" t="n">
        <v>30729.4105540871</v>
      </c>
      <c r="CD630" s="116" t="e">
        <f aca="false" ca="false" dt2D="false" dtr="false" t="normal">+CD629+1</f>
        <v>#REF!</v>
      </c>
      <c r="CE630" s="117" t="e">
        <f aca="false" ca="false" dt2D="false" dtr="false" t="normal">+CE629+1</f>
        <v>#REF!</v>
      </c>
      <c r="CF630" s="104" t="s">
        <v>111</v>
      </c>
      <c r="CG630" s="117" t="s">
        <v>620</v>
      </c>
      <c r="CH630" s="108" t="n">
        <f aca="false" ca="true" dt2D="false" dtr="false" t="normal">SUBTOTAL(9, CI630:CW630)</f>
        <v>1405224.35</v>
      </c>
      <c r="CI630" s="106" t="n"/>
      <c r="CJ630" s="114" t="n"/>
      <c r="CK630" s="114" t="n"/>
      <c r="CL630" s="114" t="n"/>
      <c r="CM630" s="114" t="n">
        <v>1405224.35</v>
      </c>
      <c r="CN630" s="114" t="n"/>
      <c r="CO630" s="106" t="n"/>
      <c r="CP630" s="114" t="n"/>
      <c r="CQ630" s="114" t="n"/>
      <c r="CR630" s="114" t="n"/>
      <c r="CS630" s="114" t="n"/>
      <c r="CT630" s="114" t="n"/>
      <c r="CU630" s="114" t="n"/>
      <c r="CV630" s="114" t="n"/>
      <c r="CW630" s="115" t="n"/>
      <c r="CX630" s="3" t="n">
        <f aca="false" ca="false" dt2D="false" dtr="false" t="normal">+N630-CH630</f>
        <v>0</v>
      </c>
      <c r="CZ630" s="117" t="s">
        <v>620</v>
      </c>
      <c r="DA630" s="113" t="n">
        <f aca="false" ca="true" dt2D="false" dtr="false" t="normal">SUBTOTAL(9, DB630:DP630)</f>
        <v>1405224.35</v>
      </c>
      <c r="DB630" s="106" t="n"/>
      <c r="DC630" s="114" t="n"/>
      <c r="DD630" s="114" t="n"/>
      <c r="DE630" s="114" t="n"/>
      <c r="DF630" s="114" t="n">
        <v>1405224.35</v>
      </c>
      <c r="DG630" s="114" t="n"/>
      <c r="DH630" s="106" t="n"/>
      <c r="DI630" s="114" t="n"/>
      <c r="DJ630" s="114" t="n"/>
      <c r="DK630" s="114" t="n"/>
      <c r="DL630" s="114" t="n"/>
      <c r="DM630" s="114" t="n"/>
      <c r="DN630" s="241" t="n"/>
      <c r="DO630" s="241" t="n"/>
      <c r="DP630" s="240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</row>
    <row customFormat="true" hidden="false" ht="15" outlineLevel="0" r="631" s="1">
      <c r="A631" s="183" t="n">
        <f aca="false" ca="false" dt2D="false" dtr="false" t="normal">+A630+1</f>
        <v>609</v>
      </c>
      <c r="B631" s="117" t="n">
        <f aca="false" ca="false" dt2D="false" dtr="false" t="normal">+B630+1</f>
        <v>149</v>
      </c>
      <c r="C631" s="104" t="s">
        <v>111</v>
      </c>
      <c r="D631" s="104" t="s">
        <v>621</v>
      </c>
      <c r="E631" s="105" t="n">
        <v>1988</v>
      </c>
      <c r="F631" s="105" t="n">
        <v>2013</v>
      </c>
      <c r="G631" s="105" t="s">
        <v>68</v>
      </c>
      <c r="H631" s="105" t="n">
        <v>5</v>
      </c>
      <c r="I631" s="105" t="n">
        <v>4</v>
      </c>
      <c r="J631" s="106" t="n">
        <v>4850.3</v>
      </c>
      <c r="K631" s="106" t="n">
        <v>4289.6</v>
      </c>
      <c r="L631" s="106" t="n">
        <v>0</v>
      </c>
      <c r="M631" s="107" t="n">
        <v>199</v>
      </c>
      <c r="N631" s="108" t="n">
        <f aca="false" ca="false" dt2D="false" dtr="false" t="normal">SUM(P631:T631)</f>
        <v>6406937.66</v>
      </c>
      <c r="O631" s="106" t="n"/>
      <c r="P631" s="114" t="n"/>
      <c r="Q631" s="114" t="n"/>
      <c r="R631" s="113" t="n">
        <v>2130145.27</v>
      </c>
      <c r="S631" s="113" t="n">
        <v>1544454.77</v>
      </c>
      <c r="T631" s="190" t="n">
        <v>2732337.62</v>
      </c>
      <c r="U631" s="114" t="n">
        <v>933.162158078142</v>
      </c>
      <c r="V631" s="114" t="n">
        <v>933.162158078142</v>
      </c>
      <c r="W631" s="110" t="n">
        <v>2024</v>
      </c>
      <c r="X631" s="9" t="e">
        <f aca="false" ca="false" dt2D="false" dtr="false" t="normal">+#REF!-'[9]Приложение №1'!$P1262</f>
        <v>#REF!</v>
      </c>
      <c r="Z631" s="113" t="n">
        <f aca="false" ca="false" dt2D="false" dtr="false" t="normal">SUM(AA631:AO631)</f>
        <v>14475624.069999998</v>
      </c>
      <c r="AA631" s="106" t="n">
        <v>0</v>
      </c>
      <c r="AB631" s="106" t="n">
        <v>0</v>
      </c>
      <c r="AC631" s="106" t="n">
        <v>0</v>
      </c>
      <c r="AD631" s="106" t="n">
        <v>0</v>
      </c>
      <c r="AE631" s="106" t="n">
        <v>0</v>
      </c>
      <c r="AF631" s="106" t="n"/>
      <c r="AG631" s="106" t="n">
        <v>0</v>
      </c>
      <c r="AH631" s="106" t="n">
        <v>0</v>
      </c>
      <c r="AI631" s="106" t="n">
        <v>13731245.256708</v>
      </c>
      <c r="AJ631" s="106" t="n">
        <v>0</v>
      </c>
      <c r="AK631" s="106" t="n">
        <v>0</v>
      </c>
      <c r="AL631" s="106" t="n">
        <v>0</v>
      </c>
      <c r="AM631" s="106" t="n">
        <v>414638.11</v>
      </c>
      <c r="AN631" s="106" t="n">
        <v>29466.18</v>
      </c>
      <c r="AO631" s="115" t="n">
        <v>300274.523292</v>
      </c>
      <c r="AP631" s="112" t="n">
        <f aca="false" ca="false" dt2D="false" dtr="false" t="normal">+N631-'Приложение №2'!E631</f>
        <v>0</v>
      </c>
      <c r="AQ631" s="1" t="n">
        <v>2020898.42</v>
      </c>
      <c r="AR631" s="3" t="n">
        <f aca="false" ca="false" dt2D="false" dtr="false" t="normal">+(K631*10+L631*20)*12*0.85</f>
        <v>437539.2</v>
      </c>
      <c r="AS631" s="3" t="n">
        <f aca="false" ca="false" dt2D="false" dtr="false" t="normal">+(K631*10+L631*20)*12*30</f>
        <v>15442560</v>
      </c>
      <c r="AT631" s="9" t="n">
        <f aca="false" ca="false" dt2D="false" dtr="false" t="normal">+S631-AS631</f>
        <v>-13898105.23</v>
      </c>
      <c r="AU631" s="9" t="e">
        <f aca="false" ca="false" dt2D="false" dtr="false" t="normal">+P631-'[5]Приложение №1'!$P287</f>
        <v>#REF!</v>
      </c>
      <c r="AV631" s="9" t="e">
        <f aca="false" ca="false" dt2D="false" dtr="false" t="normal">+Q631-'[5]Приложение №1'!$Q32</f>
        <v>#REF!</v>
      </c>
      <c r="AW631" s="113" t="n">
        <f aca="false" ca="true" dt2D="false" dtr="false" t="normal">SUBTOTAL(9, AX631:BL631)</f>
        <v>4002892.3932919996</v>
      </c>
      <c r="AX631" s="104" t="n">
        <v>0</v>
      </c>
      <c r="AY631" s="104" t="n">
        <v>0</v>
      </c>
      <c r="AZ631" s="104" t="n">
        <v>0</v>
      </c>
      <c r="BA631" s="104" t="n">
        <v>0</v>
      </c>
      <c r="BB631" s="104" t="n">
        <v>0</v>
      </c>
      <c r="BC631" s="104" t="n"/>
      <c r="BD631" s="104" t="n"/>
      <c r="BE631" s="104" t="n">
        <v>0</v>
      </c>
      <c r="BF631" s="104" t="n">
        <v>3263979.76</v>
      </c>
      <c r="BG631" s="104" t="n">
        <v>0</v>
      </c>
      <c r="BH631" s="104" t="n">
        <v>0</v>
      </c>
      <c r="BI631" s="104" t="n">
        <v>0</v>
      </c>
      <c r="BJ631" s="106" t="n">
        <v>414638.11</v>
      </c>
      <c r="BK631" s="104" t="n">
        <v>24000</v>
      </c>
      <c r="BL631" s="249" t="n">
        <v>300274.523292</v>
      </c>
      <c r="BM631" s="113" t="n">
        <f aca="false" ca="true" dt2D="false" dtr="false" t="normal">SUBTOTAL(9, BN631:CB631)</f>
        <v>4002892.3932919996</v>
      </c>
      <c r="BN631" s="104" t="n">
        <v>0</v>
      </c>
      <c r="BO631" s="104" t="n">
        <v>0</v>
      </c>
      <c r="BP631" s="104" t="n">
        <v>0</v>
      </c>
      <c r="BQ631" s="104" t="n">
        <v>0</v>
      </c>
      <c r="BR631" s="104" t="n">
        <v>0</v>
      </c>
      <c r="BS631" s="104" t="n"/>
      <c r="BT631" s="104" t="n"/>
      <c r="BU631" s="104" t="n">
        <v>0</v>
      </c>
      <c r="BV631" s="104" t="n">
        <v>3263979.76</v>
      </c>
      <c r="BW631" s="104" t="n">
        <v>0</v>
      </c>
      <c r="BX631" s="104" t="n">
        <v>0</v>
      </c>
      <c r="BY631" s="104" t="n">
        <v>0</v>
      </c>
      <c r="BZ631" s="106" t="n">
        <v>414638.11</v>
      </c>
      <c r="CA631" s="104" t="n">
        <v>24000</v>
      </c>
      <c r="CB631" s="250" t="n">
        <v>300274.523292</v>
      </c>
      <c r="CD631" s="116" t="e">
        <f aca="false" ca="false" dt2D="false" dtr="false" t="normal">+CD630+1</f>
        <v>#REF!</v>
      </c>
      <c r="CE631" s="117" t="e">
        <f aca="false" ca="false" dt2D="false" dtr="false" t="normal">+CE630+1</f>
        <v>#REF!</v>
      </c>
      <c r="CF631" s="104" t="s">
        <v>111</v>
      </c>
      <c r="CG631" s="117" t="s">
        <v>621</v>
      </c>
      <c r="CH631" s="108" t="n">
        <f aca="false" ca="true" dt2D="false" dtr="false" t="normal">SUBTOTAL(9, CI631:CW631)</f>
        <v>6707212.18</v>
      </c>
      <c r="CI631" s="106" t="n">
        <v>0</v>
      </c>
      <c r="CJ631" s="114" t="n">
        <v>0</v>
      </c>
      <c r="CK631" s="114" t="n">
        <v>0</v>
      </c>
      <c r="CL631" s="114" t="n">
        <v>0</v>
      </c>
      <c r="CM631" s="114" t="n">
        <v>0</v>
      </c>
      <c r="CN631" s="114" t="n"/>
      <c r="CO631" s="106" t="n"/>
      <c r="CP631" s="114" t="n">
        <v>0</v>
      </c>
      <c r="CQ631" s="243" t="n">
        <v>6406937.66</v>
      </c>
      <c r="CR631" s="114" t="n">
        <v>0</v>
      </c>
      <c r="CS631" s="114" t="n">
        <v>0</v>
      </c>
      <c r="CT631" s="114" t="n">
        <v>0</v>
      </c>
      <c r="CU631" s="114" t="n"/>
      <c r="CV631" s="114" t="n"/>
      <c r="CW631" s="115" t="n">
        <v>300274.52</v>
      </c>
      <c r="CX631" s="3" t="n">
        <f aca="false" ca="false" dt2D="false" dtr="false" t="normal">+N631-CH631</f>
        <v>-300274.51999999955</v>
      </c>
      <c r="CZ631" s="117" t="s">
        <v>621</v>
      </c>
      <c r="DA631" s="113" t="n">
        <f aca="false" ca="true" dt2D="false" dtr="false" t="normal">SUBTOTAL(9, DB631:DP631)</f>
        <v>6406937.66</v>
      </c>
      <c r="DB631" s="106" t="n">
        <v>0</v>
      </c>
      <c r="DC631" s="114" t="n">
        <v>0</v>
      </c>
      <c r="DD631" s="114" t="n">
        <v>0</v>
      </c>
      <c r="DE631" s="114" t="n">
        <v>0</v>
      </c>
      <c r="DF631" s="114" t="n">
        <v>0</v>
      </c>
      <c r="DG631" s="114" t="n"/>
      <c r="DH631" s="106" t="n"/>
      <c r="DI631" s="114" t="n">
        <v>0</v>
      </c>
      <c r="DJ631" s="243" t="n">
        <v>6406937.66</v>
      </c>
      <c r="DK631" s="114" t="n">
        <v>0</v>
      </c>
      <c r="DL631" s="114" t="n">
        <v>0</v>
      </c>
      <c r="DM631" s="114" t="n">
        <v>0</v>
      </c>
      <c r="DN631" s="241" t="n"/>
      <c r="DO631" s="241" t="n"/>
      <c r="DP631" s="240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</row>
    <row customFormat="true" hidden="false" ht="15" outlineLevel="0" r="632" s="1">
      <c r="A632" s="183" t="n">
        <f aca="false" ca="false" dt2D="false" dtr="false" t="normal">+A631+1</f>
        <v>610</v>
      </c>
      <c r="B632" s="117" t="n">
        <f aca="false" ca="false" dt2D="false" dtr="false" t="normal">+B631+1</f>
        <v>150</v>
      </c>
      <c r="C632" s="104" t="s">
        <v>111</v>
      </c>
      <c r="D632" s="104" t="s">
        <v>361</v>
      </c>
      <c r="E632" s="105" t="n">
        <v>1974</v>
      </c>
      <c r="F632" s="105" t="n">
        <v>2013</v>
      </c>
      <c r="G632" s="105" t="s">
        <v>68</v>
      </c>
      <c r="H632" s="105" t="n">
        <v>4</v>
      </c>
      <c r="I632" s="105" t="n">
        <v>8</v>
      </c>
      <c r="J632" s="106" t="n">
        <v>5449.8</v>
      </c>
      <c r="K632" s="106" t="n">
        <v>4938.7</v>
      </c>
      <c r="L632" s="106" t="n">
        <v>0</v>
      </c>
      <c r="M632" s="107" t="n">
        <v>207</v>
      </c>
      <c r="N632" s="108" t="n">
        <f aca="false" ca="false" dt2D="false" dtr="false" t="normal">SUM(P632:T632)</f>
        <v>22540459.22</v>
      </c>
      <c r="O632" s="106" t="n"/>
      <c r="P632" s="113" t="n">
        <v>16013464.36</v>
      </c>
      <c r="Q632" s="114" t="n"/>
      <c r="R632" s="113" t="n">
        <v>761120.1</v>
      </c>
      <c r="S632" s="113" t="n">
        <v>1063829.88</v>
      </c>
      <c r="T632" s="113" t="n">
        <v>4702044.88</v>
      </c>
      <c r="U632" s="106" t="n">
        <v>807.070779116792</v>
      </c>
      <c r="V632" s="106" t="n">
        <v>807.070779116792</v>
      </c>
      <c r="W632" s="110" t="n">
        <v>2024</v>
      </c>
      <c r="X632" s="9" t="e">
        <f aca="false" ca="false" dt2D="false" dtr="false" t="normal">+#REF!-'[9]Приложение №1'!$P1428</f>
        <v>#REF!</v>
      </c>
      <c r="Z632" s="113" t="n">
        <f aca="false" ca="false" dt2D="false" dtr="false" t="normal">SUM(AA632:AO632)</f>
        <v>29390081.470000003</v>
      </c>
      <c r="AA632" s="106" t="n">
        <v>11814199.4679345</v>
      </c>
      <c r="AB632" s="106" t="n">
        <v>4209884.96438706</v>
      </c>
      <c r="AC632" s="106" t="n">
        <v>4398393.06364962</v>
      </c>
      <c r="AD632" s="106" t="n">
        <v>2753672.15959836</v>
      </c>
      <c r="AE632" s="106" t="n">
        <v>1684797.14385486</v>
      </c>
      <c r="AF632" s="106" t="n"/>
      <c r="AG632" s="106" t="n">
        <v>453343.1808108</v>
      </c>
      <c r="AH632" s="106" t="n">
        <v>0</v>
      </c>
      <c r="AI632" s="106" t="n">
        <v>0</v>
      </c>
      <c r="AJ632" s="106" t="n">
        <v>0</v>
      </c>
      <c r="AK632" s="106" t="n">
        <v>0</v>
      </c>
      <c r="AL632" s="106" t="n">
        <v>0</v>
      </c>
      <c r="AM632" s="106" t="n">
        <v>3228318.4233</v>
      </c>
      <c r="AN632" s="114" t="n">
        <v>293900.8147</v>
      </c>
      <c r="AO632" s="115" t="n">
        <v>553572.2517648</v>
      </c>
      <c r="AP632" s="112" t="n">
        <f aca="false" ca="false" dt2D="false" dtr="false" t="normal">+N632-'Приложение №2'!E632</f>
        <v>0</v>
      </c>
      <c r="AQ632" s="9" t="n">
        <f aca="false" ca="false" dt2D="false" dtr="false" t="normal">2310610.73-R276</f>
        <v>-246374.7000000002</v>
      </c>
      <c r="AR632" s="3" t="n">
        <f aca="false" ca="false" dt2D="false" dtr="false" t="normal">+(K632*10+L632*20)*12*0.85</f>
        <v>503747.39999999997</v>
      </c>
      <c r="AS632" s="3" t="n">
        <f aca="false" ca="false" dt2D="false" dtr="false" t="normal">+(K632*10+L632*20)*12*30-S276</f>
        <v>-1623914.486824099</v>
      </c>
      <c r="AT632" s="9" t="n">
        <f aca="false" ca="false" dt2D="false" dtr="false" t="normal">+S632-AS632</f>
        <v>2687744.366824099</v>
      </c>
      <c r="AU632" s="9" t="e">
        <f aca="false" ca="false" dt2D="false" dtr="false" t="normal">+P632-'[5]Приложение №1'!$P652</f>
        <v>#REF!</v>
      </c>
      <c r="AV632" s="9" t="e">
        <f aca="false" ca="false" dt2D="false" dtr="false" t="normal">+Q632-'[5]Приложение №1'!$Q397</f>
        <v>#REF!</v>
      </c>
      <c r="AW632" s="113" t="n">
        <f aca="false" ca="true" dt2D="false" dtr="false" t="normal">SUBTOTAL(9, AX632:BL632)</f>
        <v>3985880.4568240996</v>
      </c>
      <c r="AX632" s="106" t="n"/>
      <c r="AY632" s="106" t="n"/>
      <c r="AZ632" s="106" t="n"/>
      <c r="BA632" s="106" t="n"/>
      <c r="BB632" s="106" t="n">
        <v>2298156.84</v>
      </c>
      <c r="BC632" s="106" t="n"/>
      <c r="BD632" s="106" t="n"/>
      <c r="BE632" s="106" t="n"/>
      <c r="BF632" s="106" t="n"/>
      <c r="BG632" s="106" t="n"/>
      <c r="BH632" s="106" t="n"/>
      <c r="BI632" s="106" t="n"/>
      <c r="BJ632" s="106" t="n"/>
      <c r="BK632" s="114" t="n"/>
      <c r="BL632" s="115" t="n">
        <v>1687723.6168241</v>
      </c>
      <c r="BM632" s="113" t="n">
        <f aca="false" ca="true" dt2D="false" dtr="false" t="normal">SUBTOTAL(9, BN632:CB632)</f>
        <v>3985880.4568240996</v>
      </c>
      <c r="BN632" s="106" t="n"/>
      <c r="BO632" s="106" t="n"/>
      <c r="BP632" s="106" t="n"/>
      <c r="BQ632" s="106" t="n"/>
      <c r="BR632" s="106" t="n">
        <v>2298156.84</v>
      </c>
      <c r="BS632" s="106" t="n"/>
      <c r="BT632" s="106" t="n"/>
      <c r="BU632" s="106" t="n"/>
      <c r="BV632" s="106" t="n"/>
      <c r="BW632" s="106" t="n"/>
      <c r="BX632" s="106" t="n"/>
      <c r="BY632" s="106" t="n"/>
      <c r="BZ632" s="106" t="n"/>
      <c r="CA632" s="114" t="n"/>
      <c r="CB632" s="115" t="n">
        <v>1687723.6168241</v>
      </c>
      <c r="CD632" s="116" t="e">
        <f aca="false" ca="false" dt2D="false" dtr="false" t="normal">+CD631+1</f>
        <v>#REF!</v>
      </c>
      <c r="CE632" s="117" t="e">
        <f aca="false" ca="false" dt2D="false" dtr="false" t="normal">+CE631+1</f>
        <v>#REF!</v>
      </c>
      <c r="CF632" s="104" t="s">
        <v>111</v>
      </c>
      <c r="CG632" s="117" t="s">
        <v>361</v>
      </c>
      <c r="CH632" s="108" t="n">
        <f aca="false" ca="true" dt2D="false" dtr="false" t="normal">SUBTOTAL(9, CI632:CW632)</f>
        <v>24200124.39</v>
      </c>
      <c r="CI632" s="106" t="n"/>
      <c r="CJ632" s="243" t="n">
        <v>3495031.17</v>
      </c>
      <c r="CK632" s="114" t="n"/>
      <c r="CL632" s="114" t="n"/>
      <c r="CM632" s="114" t="n">
        <v>2553507.6</v>
      </c>
      <c r="CN632" s="114" t="n"/>
      <c r="CO632" s="106" t="n"/>
      <c r="CP632" s="114" t="n"/>
      <c r="CQ632" s="114" t="n"/>
      <c r="CR632" s="114" t="n"/>
      <c r="CS632" s="243" t="n">
        <v>16463862</v>
      </c>
      <c r="CT632" s="114" t="n"/>
      <c r="CU632" s="114" t="n"/>
      <c r="CV632" s="114" t="n"/>
      <c r="CW632" s="115" t="n">
        <v>1687723.62</v>
      </c>
      <c r="CX632" s="3" t="n">
        <f aca="false" ca="false" dt2D="false" dtr="false" t="normal">+N632-CH632</f>
        <v>-1659665.1700000018</v>
      </c>
      <c r="CZ632" s="117" t="s">
        <v>361</v>
      </c>
      <c r="DA632" s="113" t="n">
        <f aca="false" ca="true" dt2D="false" dtr="false" t="normal">SUBTOTAL(9, DB632:DP632)</f>
        <v>22540459.2175</v>
      </c>
      <c r="DB632" s="106" t="n"/>
      <c r="DC632" s="243" t="n">
        <v>3495031.17</v>
      </c>
      <c r="DD632" s="114" t="n"/>
      <c r="DE632" s="114" t="n"/>
      <c r="DF632" s="114" t="n">
        <v>2553507.6</v>
      </c>
      <c r="DG632" s="114" t="n"/>
      <c r="DH632" s="106" t="n"/>
      <c r="DI632" s="114" t="n"/>
      <c r="DJ632" s="114" t="n"/>
      <c r="DK632" s="114" t="n"/>
      <c r="DL632" s="243" t="n">
        <v>16463862</v>
      </c>
      <c r="DM632" s="114" t="n"/>
      <c r="DN632" s="241" t="n"/>
      <c r="DO632" s="241" t="n"/>
      <c r="DP632" s="115" t="n">
        <f aca="false" ca="false" dt2D="false" dtr="false" t="normal">24398.65*1.15</f>
        <v>28058.4475</v>
      </c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</row>
    <row customFormat="true" hidden="false" ht="15" outlineLevel="0" r="633" s="1">
      <c r="A633" s="183" t="n">
        <f aca="false" ca="false" dt2D="false" dtr="false" t="normal">+A632+1</f>
        <v>611</v>
      </c>
      <c r="B633" s="117" t="n">
        <f aca="false" ca="false" dt2D="false" dtr="false" t="normal">+B632+1</f>
        <v>151</v>
      </c>
      <c r="C633" s="104" t="s">
        <v>111</v>
      </c>
      <c r="D633" s="104" t="s">
        <v>362</v>
      </c>
      <c r="E633" s="105" t="n">
        <v>1976</v>
      </c>
      <c r="F633" s="105" t="n">
        <v>2013</v>
      </c>
      <c r="G633" s="105" t="s">
        <v>68</v>
      </c>
      <c r="H633" s="105" t="n">
        <v>5</v>
      </c>
      <c r="I633" s="105" t="n">
        <v>4</v>
      </c>
      <c r="J633" s="106" t="n">
        <v>3698.5</v>
      </c>
      <c r="K633" s="106" t="n">
        <v>3331.4</v>
      </c>
      <c r="L633" s="106" t="n">
        <v>142.2</v>
      </c>
      <c r="M633" s="107" t="n">
        <v>143</v>
      </c>
      <c r="N633" s="108" t="n">
        <f aca="false" ca="false" dt2D="false" dtr="false" t="normal">SUM(P633:T633)</f>
        <v>16798854.85</v>
      </c>
      <c r="O633" s="106" t="n"/>
      <c r="P633" s="113" t="n">
        <v>3834393.68</v>
      </c>
      <c r="Q633" s="114" t="n"/>
      <c r="R633" s="113" t="n">
        <v>360616.8</v>
      </c>
      <c r="S633" s="113" t="n">
        <v>10492145.89</v>
      </c>
      <c r="T633" s="113" t="n">
        <v>2111698.48</v>
      </c>
      <c r="U633" s="106" t="n">
        <v>5311.6250082916</v>
      </c>
      <c r="V633" s="106" t="n">
        <v>5311.6250082916</v>
      </c>
      <c r="W633" s="110" t="n">
        <v>2024</v>
      </c>
      <c r="X633" s="9" t="e">
        <f aca="false" ca="false" dt2D="false" dtr="false" t="normal">+#REF!-'[9]Приложение №1'!$P1040</f>
        <v>#REF!</v>
      </c>
      <c r="Z633" s="113" t="n">
        <f aca="false" ca="false" dt2D="false" dtr="false" t="normal">SUM(AA633:AO633)</f>
        <v>31334841.419999998</v>
      </c>
      <c r="AA633" s="106" t="n">
        <v>8119979.06097378</v>
      </c>
      <c r="AB633" s="106" t="n">
        <v>2893482.35978382</v>
      </c>
      <c r="AC633" s="106" t="n">
        <v>0</v>
      </c>
      <c r="AD633" s="106" t="n">
        <v>0</v>
      </c>
      <c r="AE633" s="106" t="n">
        <v>1157972.45333616</v>
      </c>
      <c r="AF633" s="106" t="n"/>
      <c r="AG633" s="106" t="n">
        <v>311585.82840084</v>
      </c>
      <c r="AH633" s="106" t="n">
        <v>0</v>
      </c>
      <c r="AI633" s="106" t="n">
        <v>14844557.2101246</v>
      </c>
      <c r="AJ633" s="106" t="n">
        <v>0</v>
      </c>
      <c r="AK633" s="106" t="n">
        <v>0</v>
      </c>
      <c r="AL633" s="106" t="n">
        <v>0</v>
      </c>
      <c r="AM633" s="106" t="n">
        <v>3096317.3338</v>
      </c>
      <c r="AN633" s="114" t="n">
        <v>313348.4142</v>
      </c>
      <c r="AO633" s="115" t="n">
        <v>597598.7593808</v>
      </c>
      <c r="AP633" s="112" t="n">
        <f aca="false" ca="false" dt2D="false" dtr="false" t="normal">+N633-'Приложение №2'!E633</f>
        <v>0</v>
      </c>
      <c r="AQ633" s="9" t="n">
        <f aca="false" ca="false" dt2D="false" dtr="false" t="normal">1714139.94-279174.44-139587.22-R277</f>
        <v>1202880.77</v>
      </c>
      <c r="AR633" s="3" t="n">
        <f aca="false" ca="false" dt2D="false" dtr="false" t="normal">+(K633*10+L633*20)*12*0.85</f>
        <v>368811.6</v>
      </c>
      <c r="AS633" s="3" t="n">
        <f aca="false" ca="false" dt2D="false" dtr="false" t="normal">+(K633*10+L633*20)*12*30-1573640.06-S277</f>
        <v>10786507.6</v>
      </c>
      <c r="AT633" s="9" t="n">
        <f aca="false" ca="false" dt2D="false" dtr="false" t="normal">+S633-AS633</f>
        <v>-294361.70999999903</v>
      </c>
      <c r="AU633" s="9" t="e">
        <f aca="false" ca="false" dt2D="false" dtr="false" t="normal">+P633-'[5]Приложение №1'!$P653</f>
        <v>#REF!</v>
      </c>
      <c r="AV633" s="9" t="e">
        <f aca="false" ca="false" dt2D="false" dtr="false" t="normal">+Q633-'[5]Приложение №1'!$Q398</f>
        <v>#REF!</v>
      </c>
      <c r="AW633" s="113" t="n">
        <f aca="false" ca="true" dt2D="false" dtr="false" t="normal">SUBTOTAL(9, AX633:BL633)</f>
        <v>18450460.62880165</v>
      </c>
      <c r="AX633" s="106" t="n"/>
      <c r="AY633" s="106" t="n"/>
      <c r="AZ633" s="106" t="n">
        <v>0</v>
      </c>
      <c r="BA633" s="106" t="n">
        <v>0</v>
      </c>
      <c r="BB633" s="106" t="n"/>
      <c r="BC633" s="106" t="n"/>
      <c r="BD633" s="106" t="n"/>
      <c r="BE633" s="106" t="n">
        <v>0</v>
      </c>
      <c r="BF633" s="106" t="n">
        <v>18030840.1608439</v>
      </c>
      <c r="BG633" s="106" t="n">
        <v>0</v>
      </c>
      <c r="BH633" s="106" t="n">
        <v>0</v>
      </c>
      <c r="BI633" s="106" t="n">
        <v>0</v>
      </c>
      <c r="BJ633" s="106" t="n"/>
      <c r="BK633" s="114" t="n"/>
      <c r="BL633" s="115" t="n">
        <v>419620.46795775</v>
      </c>
      <c r="BM633" s="113" t="n">
        <f aca="false" ca="true" dt2D="false" dtr="false" t="normal">SUBTOTAL(9, BN633:CB633)</f>
        <v>18450460.62880165</v>
      </c>
      <c r="BN633" s="106" t="n"/>
      <c r="BO633" s="106" t="n"/>
      <c r="BP633" s="106" t="n">
        <v>0</v>
      </c>
      <c r="BQ633" s="106" t="n">
        <v>0</v>
      </c>
      <c r="BR633" s="106" t="n"/>
      <c r="BS633" s="106" t="n"/>
      <c r="BT633" s="106" t="n"/>
      <c r="BU633" s="106" t="n">
        <v>0</v>
      </c>
      <c r="BV633" s="106" t="n">
        <v>18030840.1608439</v>
      </c>
      <c r="BW633" s="106" t="n">
        <v>0</v>
      </c>
      <c r="BX633" s="106" t="n">
        <v>0</v>
      </c>
      <c r="BY633" s="106" t="n">
        <v>0</v>
      </c>
      <c r="BZ633" s="106" t="n"/>
      <c r="CA633" s="114" t="n"/>
      <c r="CB633" s="115" t="n">
        <v>419620.46795775</v>
      </c>
      <c r="CD633" s="116" t="e">
        <f aca="false" ca="false" dt2D="false" dtr="false" t="normal">+CD632+1</f>
        <v>#REF!</v>
      </c>
      <c r="CE633" s="117" t="e">
        <f aca="false" ca="false" dt2D="false" dtr="false" t="normal">+CE632+1</f>
        <v>#REF!</v>
      </c>
      <c r="CF633" s="104" t="s">
        <v>111</v>
      </c>
      <c r="CG633" s="117" t="s">
        <v>362</v>
      </c>
      <c r="CH633" s="108" t="n">
        <f aca="false" ca="true" dt2D="false" dtr="false" t="normal">SUBTOTAL(9, CI633:CW633)</f>
        <v>17218475.32</v>
      </c>
      <c r="CI633" s="106" t="n"/>
      <c r="CJ633" s="114" t="n"/>
      <c r="CK633" s="114" t="n">
        <v>0</v>
      </c>
      <c r="CL633" s="114" t="n">
        <v>0</v>
      </c>
      <c r="CM633" s="114" t="n"/>
      <c r="CN633" s="114" t="n"/>
      <c r="CO633" s="106" t="n"/>
      <c r="CP633" s="114" t="n">
        <v>0</v>
      </c>
      <c r="CQ633" s="114" t="n">
        <v>16798854.85</v>
      </c>
      <c r="CR633" s="114" t="n">
        <v>0</v>
      </c>
      <c r="CS633" s="114" t="n">
        <v>0</v>
      </c>
      <c r="CT633" s="114" t="n">
        <v>0</v>
      </c>
      <c r="CU633" s="114" t="n"/>
      <c r="CV633" s="114" t="n"/>
      <c r="CW633" s="115" t="n">
        <v>419620.47</v>
      </c>
      <c r="CX633" s="3" t="n">
        <f aca="false" ca="false" dt2D="false" dtr="false" t="normal">+N633-CH633</f>
        <v>-419620.4699999988</v>
      </c>
      <c r="CZ633" s="117" t="s">
        <v>362</v>
      </c>
      <c r="DA633" s="113" t="n">
        <f aca="false" ca="true" dt2D="false" dtr="false" t="normal">SUBTOTAL(9, DB633:DP633)</f>
        <v>16798854.85</v>
      </c>
      <c r="DB633" s="106" t="n"/>
      <c r="DC633" s="114" t="n"/>
      <c r="DD633" s="114" t="n">
        <v>0</v>
      </c>
      <c r="DE633" s="114" t="n">
        <v>0</v>
      </c>
      <c r="DF633" s="114" t="n"/>
      <c r="DG633" s="114" t="n"/>
      <c r="DH633" s="106" t="n"/>
      <c r="DI633" s="114" t="n">
        <v>0</v>
      </c>
      <c r="DJ633" s="114" t="n">
        <v>16798854.85</v>
      </c>
      <c r="DK633" s="114" t="n">
        <v>0</v>
      </c>
      <c r="DL633" s="114" t="n">
        <v>0</v>
      </c>
      <c r="DM633" s="114" t="n">
        <v>0</v>
      </c>
      <c r="DN633" s="114" t="n"/>
      <c r="DO633" s="114" t="n"/>
      <c r="DP633" s="240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</row>
    <row customFormat="true" hidden="false" ht="15" outlineLevel="0" r="634" s="1">
      <c r="A634" s="183" t="n">
        <f aca="false" ca="false" dt2D="false" dtr="false" t="normal">+A633+1</f>
        <v>612</v>
      </c>
      <c r="B634" s="117" t="n">
        <f aca="false" ca="false" dt2D="false" dtr="false" t="normal">+B633+1</f>
        <v>152</v>
      </c>
      <c r="C634" s="104" t="s">
        <v>111</v>
      </c>
      <c r="D634" s="104" t="s">
        <v>159</v>
      </c>
      <c r="E634" s="105" t="n">
        <v>1976</v>
      </c>
      <c r="F634" s="105" t="n">
        <v>2013</v>
      </c>
      <c r="G634" s="105" t="s">
        <v>68</v>
      </c>
      <c r="H634" s="105" t="n">
        <v>4</v>
      </c>
      <c r="I634" s="105" t="n">
        <v>6</v>
      </c>
      <c r="J634" s="106" t="n">
        <v>5761.37</v>
      </c>
      <c r="K634" s="106" t="n">
        <v>4953.17</v>
      </c>
      <c r="L634" s="106" t="n">
        <v>0</v>
      </c>
      <c r="M634" s="107" t="n">
        <v>208</v>
      </c>
      <c r="N634" s="108" t="n">
        <f aca="false" ca="false" dt2D="false" dtr="false" t="normal">SUM(P634:T634)</f>
        <v>2447844.2</v>
      </c>
      <c r="O634" s="106" t="n"/>
      <c r="P634" s="114" t="n"/>
      <c r="Q634" s="114" t="n"/>
      <c r="R634" s="113" t="n">
        <v>168407.78</v>
      </c>
      <c r="S634" s="113" t="n">
        <v>686620.3</v>
      </c>
      <c r="T634" s="108" t="n">
        <v>1592816.12</v>
      </c>
      <c r="U634" s="106" t="n">
        <v>1825.96151699643</v>
      </c>
      <c r="V634" s="106" t="n">
        <v>1825.96151699643</v>
      </c>
      <c r="W634" s="110" t="n">
        <v>2024</v>
      </c>
      <c r="X634" s="9" t="e">
        <f aca="false" ca="false" dt2D="false" dtr="false" t="normal">+#REF!-'[9]Приложение №1'!$P1433</f>
        <v>#REF!</v>
      </c>
      <c r="Z634" s="113" t="n">
        <f aca="false" ca="false" dt2D="false" dtr="false" t="normal">SUM(AA634:AO634)</f>
        <v>18855188.25</v>
      </c>
      <c r="AA634" s="106" t="n">
        <v>0</v>
      </c>
      <c r="AB634" s="106" t="n">
        <v>4852018.68955818</v>
      </c>
      <c r="AC634" s="106" t="n">
        <v>5128943.00798082</v>
      </c>
      <c r="AD634" s="106" t="n">
        <v>3910862.64518544</v>
      </c>
      <c r="AE634" s="106" t="n">
        <v>1562309.5679604</v>
      </c>
      <c r="AF634" s="106" t="n"/>
      <c r="AG634" s="106" t="n">
        <v>416884.20653628</v>
      </c>
      <c r="AH634" s="106" t="n">
        <v>0</v>
      </c>
      <c r="AI634" s="106" t="n">
        <v>0</v>
      </c>
      <c r="AJ634" s="106" t="n">
        <v>0</v>
      </c>
      <c r="AK634" s="106" t="n">
        <v>0</v>
      </c>
      <c r="AL634" s="106" t="n">
        <v>0</v>
      </c>
      <c r="AM634" s="106" t="n">
        <v>2448551.2283</v>
      </c>
      <c r="AN634" s="114" t="n">
        <v>188551.8825</v>
      </c>
      <c r="AO634" s="115" t="n">
        <v>347067.02197888</v>
      </c>
      <c r="AP634" s="112" t="n">
        <f aca="false" ca="false" dt2D="false" dtr="false" t="normal">+N634-'Приложение №2'!E634</f>
        <v>0</v>
      </c>
      <c r="AQ634" s="9" t="n">
        <f aca="false" ca="false" dt2D="false" dtr="false" t="normal">2496690.4-R279</f>
        <v>1605636.8499999999</v>
      </c>
      <c r="AR634" s="3" t="n">
        <f aca="false" ca="false" dt2D="false" dtr="false" t="normal">+(K634*10+L634*20)*12*0.85</f>
        <v>505223.3399999999</v>
      </c>
      <c r="AS634" s="3" t="n">
        <f aca="false" ca="false" dt2D="false" dtr="false" t="normal">+(K634*10+L634*20)*12*30-S279</f>
        <v>11503008.679999996</v>
      </c>
      <c r="AT634" s="9" t="n">
        <f aca="false" ca="false" dt2D="false" dtr="false" t="normal">+S634-AS634</f>
        <v>-10816388.379999995</v>
      </c>
      <c r="AU634" s="9" t="e">
        <f aca="false" ca="false" dt2D="false" dtr="false" t="normal">+P634-'[5]Приложение №1'!$P655</f>
        <v>#REF!</v>
      </c>
      <c r="AV634" s="9" t="e">
        <f aca="false" ca="false" dt2D="false" dtr="false" t="normal">+Q634-'[5]Приложение №1'!$Q400</f>
        <v>#REF!</v>
      </c>
      <c r="AW634" s="113" t="n">
        <f aca="false" ca="true" dt2D="false" dtr="false" t="normal">SUBTOTAL(9, AX634:BL634)</f>
        <v>9044297.807141228</v>
      </c>
      <c r="AX634" s="106" t="n">
        <v>0</v>
      </c>
      <c r="AY634" s="106" t="n">
        <v>6335311.59</v>
      </c>
      <c r="AZ634" s="106" t="n"/>
      <c r="BA634" s="106" t="n"/>
      <c r="BB634" s="106" t="n">
        <v>2080667.57</v>
      </c>
      <c r="BC634" s="106" t="n"/>
      <c r="BD634" s="106" t="n"/>
      <c r="BE634" s="106" t="n">
        <v>0</v>
      </c>
      <c r="BF634" s="106" t="n">
        <v>0</v>
      </c>
      <c r="BG634" s="106" t="n">
        <v>0</v>
      </c>
      <c r="BH634" s="106" t="n">
        <v>0</v>
      </c>
      <c r="BI634" s="106" t="n"/>
      <c r="BJ634" s="106" t="n"/>
      <c r="BK634" s="114" t="n"/>
      <c r="BL634" s="115" t="n">
        <v>628318.647141228</v>
      </c>
      <c r="BM634" s="113" t="n">
        <f aca="false" ca="true" dt2D="false" dtr="false" t="normal">SUBTOTAL(9, BN634:CB634)</f>
        <v>9044297.807141228</v>
      </c>
      <c r="BN634" s="106" t="n">
        <v>0</v>
      </c>
      <c r="BO634" s="106" t="n">
        <v>6335311.59</v>
      </c>
      <c r="BP634" s="106" t="n"/>
      <c r="BQ634" s="106" t="n"/>
      <c r="BR634" s="106" t="n">
        <v>2080667.57</v>
      </c>
      <c r="BS634" s="106" t="n"/>
      <c r="BT634" s="106" t="n"/>
      <c r="BU634" s="106" t="n">
        <v>0</v>
      </c>
      <c r="BV634" s="106" t="n">
        <v>0</v>
      </c>
      <c r="BW634" s="106" t="n">
        <v>0</v>
      </c>
      <c r="BX634" s="106" t="n">
        <v>0</v>
      </c>
      <c r="BY634" s="106" t="n"/>
      <c r="BZ634" s="106" t="n"/>
      <c r="CA634" s="114" t="n"/>
      <c r="CB634" s="115" t="n">
        <v>628318.647141228</v>
      </c>
      <c r="CD634" s="116" t="e">
        <f aca="false" ca="false" dt2D="false" dtr="false" t="normal">+CD633+1</f>
        <v>#REF!</v>
      </c>
      <c r="CE634" s="117" t="e">
        <f aca="false" ca="false" dt2D="false" dtr="false" t="normal">+CE633+1</f>
        <v>#REF!</v>
      </c>
      <c r="CF634" s="104" t="s">
        <v>111</v>
      </c>
      <c r="CG634" s="117" t="s">
        <v>159</v>
      </c>
      <c r="CH634" s="108" t="n">
        <f aca="false" ca="true" dt2D="false" dtr="false" t="normal">SUBTOTAL(9, CI634:CW634)</f>
        <v>3076162.85</v>
      </c>
      <c r="CI634" s="106" t="n">
        <v>0</v>
      </c>
      <c r="CJ634" s="114" t="n"/>
      <c r="CK634" s="114" t="n"/>
      <c r="CL634" s="114" t="n"/>
      <c r="CM634" s="114" t="n">
        <v>2447844.2</v>
      </c>
      <c r="CN634" s="114" t="n"/>
      <c r="CO634" s="106" t="n"/>
      <c r="CP634" s="114" t="n">
        <v>0</v>
      </c>
      <c r="CQ634" s="114" t="n">
        <v>0</v>
      </c>
      <c r="CR634" s="114" t="n">
        <v>0</v>
      </c>
      <c r="CS634" s="114" t="n">
        <v>0</v>
      </c>
      <c r="CT634" s="114" t="n"/>
      <c r="CU634" s="114" t="n"/>
      <c r="CV634" s="114" t="n"/>
      <c r="CW634" s="115" t="n">
        <v>628318.65</v>
      </c>
      <c r="CX634" s="3" t="n">
        <f aca="false" ca="false" dt2D="false" dtr="false" t="normal">+N634-CH634</f>
        <v>-628318.6499999999</v>
      </c>
      <c r="CZ634" s="117" t="s">
        <v>159</v>
      </c>
      <c r="DA634" s="113" t="n">
        <f aca="false" ca="true" dt2D="false" dtr="false" t="normal">SUBTOTAL(9, DB634:DP634)</f>
        <v>2447844.2</v>
      </c>
      <c r="DB634" s="106" t="n">
        <v>0</v>
      </c>
      <c r="DC634" s="114" t="n"/>
      <c r="DD634" s="114" t="n"/>
      <c r="DE634" s="114" t="n"/>
      <c r="DF634" s="114" t="n">
        <v>2447844.2</v>
      </c>
      <c r="DG634" s="114" t="n"/>
      <c r="DH634" s="106" t="n"/>
      <c r="DI634" s="114" t="n">
        <v>0</v>
      </c>
      <c r="DJ634" s="114" t="n">
        <v>0</v>
      </c>
      <c r="DK634" s="114" t="n">
        <v>0</v>
      </c>
      <c r="DL634" s="114" t="n">
        <v>0</v>
      </c>
      <c r="DM634" s="114" t="n"/>
      <c r="DN634" s="114" t="n"/>
      <c r="DO634" s="114" t="n"/>
      <c r="DP634" s="240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</row>
    <row customFormat="true" hidden="false" ht="15" outlineLevel="0" r="635" s="1">
      <c r="A635" s="183" t="n">
        <f aca="false" ca="false" dt2D="false" dtr="false" t="normal">+A634+1</f>
        <v>613</v>
      </c>
      <c r="B635" s="117" t="n">
        <f aca="false" ca="false" dt2D="false" dtr="false" t="normal">+B634+1</f>
        <v>153</v>
      </c>
      <c r="C635" s="117" t="s">
        <v>111</v>
      </c>
      <c r="D635" s="117" t="s">
        <v>622</v>
      </c>
      <c r="E635" s="201" t="s">
        <v>400</v>
      </c>
      <c r="F635" s="201" t="n">
        <v>2011</v>
      </c>
      <c r="G635" s="201" t="s">
        <v>68</v>
      </c>
      <c r="H635" s="201" t="n">
        <v>4</v>
      </c>
      <c r="I635" s="201" t="n">
        <v>4</v>
      </c>
      <c r="J635" s="114" t="n">
        <v>2994.2</v>
      </c>
      <c r="K635" s="114" t="n">
        <v>2607.6</v>
      </c>
      <c r="L635" s="114" t="n">
        <v>383.9</v>
      </c>
      <c r="M635" s="202" t="n">
        <v>101</v>
      </c>
      <c r="N635" s="108" t="n">
        <f aca="false" ca="false" dt2D="false" dtr="false" t="normal">SUM(P635:T635)</f>
        <v>5870908.03</v>
      </c>
      <c r="O635" s="114" t="n"/>
      <c r="P635" s="114" t="n"/>
      <c r="Q635" s="114" t="n"/>
      <c r="R635" s="113" t="n">
        <v>361505.34</v>
      </c>
      <c r="S635" s="113" t="n">
        <v>5509402.69</v>
      </c>
      <c r="T635" s="113" t="n">
        <v>0</v>
      </c>
      <c r="U635" s="114" t="n">
        <v>4892.67</v>
      </c>
      <c r="V635" s="114" t="n">
        <v>4892.67</v>
      </c>
      <c r="W635" s="110" t="n">
        <v>2024</v>
      </c>
      <c r="X635" s="9" t="n"/>
      <c r="Z635" s="113" t="n"/>
      <c r="AA635" s="106" t="n"/>
      <c r="AB635" s="106" t="n"/>
      <c r="AC635" s="106" t="n"/>
      <c r="AD635" s="106" t="n"/>
      <c r="AE635" s="106" t="n"/>
      <c r="AF635" s="106" t="n"/>
      <c r="AG635" s="106" t="n"/>
      <c r="AH635" s="106" t="n"/>
      <c r="AI635" s="106" t="n"/>
      <c r="AJ635" s="106" t="n"/>
      <c r="AK635" s="106" t="n"/>
      <c r="AL635" s="106" t="n"/>
      <c r="AM635" s="106" t="n"/>
      <c r="AN635" s="114" t="n"/>
      <c r="AO635" s="115" t="n"/>
      <c r="AP635" s="112" t="n"/>
      <c r="AQ635" s="9" t="n">
        <v>2558549.3</v>
      </c>
      <c r="AR635" s="3" t="n">
        <f aca="false" ca="false" dt2D="false" dtr="false" t="normal">+(K635*10.5+L635*21)*12*0.85</f>
        <v>361505.33999999997</v>
      </c>
      <c r="AS635" s="3" t="n">
        <f aca="false" ca="false" dt2D="false" dtr="false" t="normal">+(K635*10.5+L635*21)*12*30-58057.611-1622749.022</f>
        <v>11078205.366999999</v>
      </c>
      <c r="AT635" s="9" t="n">
        <f aca="false" ca="false" dt2D="false" dtr="false" t="normal">+S635-AS635</f>
        <v>-5568802.676999998</v>
      </c>
      <c r="AU635" s="9" t="n"/>
      <c r="AV635" s="9" t="n"/>
      <c r="AW635" s="186" t="n">
        <f aca="false" ca="true" dt2D="false" dtr="false" t="normal">SUBTOTAL(9, AX635:BL635)</f>
        <v>14636422.305</v>
      </c>
      <c r="AX635" s="106" t="n"/>
      <c r="AY635" s="106" t="n"/>
      <c r="AZ635" s="106" t="n"/>
      <c r="BA635" s="106" t="n"/>
      <c r="BB635" s="106" t="n"/>
      <c r="BC635" s="106" t="n"/>
      <c r="BD635" s="106" t="n"/>
      <c r="BE635" s="106" t="n"/>
      <c r="BF635" s="106" t="n"/>
      <c r="BG635" s="106" t="n"/>
      <c r="BH635" s="106" t="n">
        <v>14323202.867673</v>
      </c>
      <c r="BI635" s="106" t="n"/>
      <c r="BJ635" s="106" t="n"/>
      <c r="BK635" s="114" t="n"/>
      <c r="BL635" s="115" t="n">
        <v>313219.437327</v>
      </c>
      <c r="BM635" s="186" t="n">
        <f aca="false" ca="true" dt2D="false" dtr="false" t="normal">SUBTOTAL(9, BN635:CB635)</f>
        <v>14636422.305</v>
      </c>
      <c r="BN635" s="106" t="n"/>
      <c r="BO635" s="106" t="n"/>
      <c r="BP635" s="106" t="n"/>
      <c r="BQ635" s="106" t="n"/>
      <c r="BR635" s="106" t="n"/>
      <c r="BS635" s="106" t="n"/>
      <c r="BT635" s="106" t="n"/>
      <c r="BU635" s="106" t="n"/>
      <c r="BV635" s="106" t="n"/>
      <c r="BW635" s="106" t="n"/>
      <c r="BX635" s="106" t="n">
        <v>14323202.867673</v>
      </c>
      <c r="BY635" s="106" t="n"/>
      <c r="BZ635" s="106" t="n"/>
      <c r="CA635" s="114" t="n"/>
      <c r="CB635" s="115" t="n">
        <v>313219.437327</v>
      </c>
      <c r="CD635" s="116" t="e">
        <f aca="false" ca="false" dt2D="false" dtr="false" t="normal">+CD634+1</f>
        <v>#REF!</v>
      </c>
      <c r="CE635" s="117" t="e">
        <f aca="false" ca="false" dt2D="false" dtr="false" t="normal">+CE634+1</f>
        <v>#REF!</v>
      </c>
      <c r="CF635" s="104" t="s">
        <v>111</v>
      </c>
      <c r="CG635" s="117" t="s">
        <v>622</v>
      </c>
      <c r="CH635" s="108" t="n">
        <f aca="false" ca="true" dt2D="false" dtr="false" t="normal">SUBTOTAL(9, CI635:CW635)</f>
        <v>5870908.03</v>
      </c>
      <c r="CI635" s="106" t="n"/>
      <c r="CJ635" s="114" t="n"/>
      <c r="CK635" s="114" t="n"/>
      <c r="CL635" s="114" t="n"/>
      <c r="CM635" s="114" t="n"/>
      <c r="CN635" s="114" t="n"/>
      <c r="CO635" s="106" t="n"/>
      <c r="CP635" s="114" t="n"/>
      <c r="CQ635" s="114" t="n"/>
      <c r="CR635" s="114" t="n"/>
      <c r="CS635" s="243" t="n">
        <v>5870908.03</v>
      </c>
      <c r="CT635" s="114" t="n"/>
      <c r="CU635" s="114" t="n"/>
      <c r="CV635" s="114" t="n"/>
      <c r="CW635" s="115" t="n"/>
      <c r="CX635" s="3" t="n">
        <f aca="false" ca="false" dt2D="false" dtr="false" t="normal">+N635-CH635</f>
        <v>0</v>
      </c>
      <c r="CZ635" s="117" t="s">
        <v>622</v>
      </c>
      <c r="DA635" s="113" t="n">
        <f aca="false" ca="true" dt2D="false" dtr="false" t="normal">SUBTOTAL(9, DB635:DP635)</f>
        <v>5870908.03</v>
      </c>
      <c r="DB635" s="106" t="n"/>
      <c r="DC635" s="114" t="n"/>
      <c r="DD635" s="114" t="n"/>
      <c r="DE635" s="114" t="n"/>
      <c r="DF635" s="114" t="n"/>
      <c r="DG635" s="114" t="n"/>
      <c r="DH635" s="106" t="n"/>
      <c r="DI635" s="114" t="n"/>
      <c r="DJ635" s="114" t="n"/>
      <c r="DK635" s="114" t="n"/>
      <c r="DL635" s="243" t="n">
        <v>5870908.03</v>
      </c>
      <c r="DM635" s="114" t="n"/>
      <c r="DN635" s="114" t="n"/>
      <c r="DO635" s="114" t="n"/>
      <c r="DP635" s="240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</row>
    <row customFormat="true" hidden="false" ht="15" outlineLevel="0" r="636" s="1">
      <c r="A636" s="183" t="n">
        <f aca="false" ca="false" dt2D="false" dtr="false" t="normal">+A635+1</f>
        <v>614</v>
      </c>
      <c r="B636" s="117" t="n">
        <f aca="false" ca="false" dt2D="false" dtr="false" t="normal">+B635+1</f>
        <v>154</v>
      </c>
      <c r="C636" s="117" t="s">
        <v>111</v>
      </c>
      <c r="D636" s="117" t="s">
        <v>623</v>
      </c>
      <c r="E636" s="201" t="n">
        <v>1977</v>
      </c>
      <c r="F636" s="201" t="n">
        <v>2016</v>
      </c>
      <c r="G636" s="201" t="s">
        <v>68</v>
      </c>
      <c r="H636" s="201" t="n">
        <v>4</v>
      </c>
      <c r="I636" s="201" t="n">
        <v>3</v>
      </c>
      <c r="J636" s="114" t="n">
        <v>4282.03</v>
      </c>
      <c r="K636" s="114" t="n">
        <v>3649.25</v>
      </c>
      <c r="L636" s="114" t="n">
        <v>274</v>
      </c>
      <c r="M636" s="202" t="n">
        <v>288</v>
      </c>
      <c r="N636" s="108" t="n">
        <f aca="false" ca="false" dt2D="false" dtr="false" t="normal">SUM(P636:T636)</f>
        <v>30599367.9</v>
      </c>
      <c r="O636" s="114" t="n"/>
      <c r="P636" s="113" t="n">
        <v>6035580.21</v>
      </c>
      <c r="Q636" s="114" t="n"/>
      <c r="R636" s="114" t="n"/>
      <c r="S636" s="113" t="n">
        <v>13825445.02</v>
      </c>
      <c r="T636" s="113" t="n">
        <v>10738342.67</v>
      </c>
      <c r="U636" s="114" t="n">
        <v>11469.0586960308</v>
      </c>
      <c r="V636" s="114" t="n">
        <v>11469.0586960308</v>
      </c>
      <c r="W636" s="110" t="n">
        <v>2024</v>
      </c>
      <c r="X636" s="9" t="e">
        <f aca="false" ca="false" dt2D="false" dtr="false" t="normal">+#REF!-'[9]Приложение №1'!$P678</f>
        <v>#REF!</v>
      </c>
      <c r="Z636" s="113" t="n">
        <f aca="false" ca="false" dt2D="false" dtr="false" t="normal">SUM(AA636:AO636)</f>
        <v>23141293.459999997</v>
      </c>
      <c r="AA636" s="106" t="n">
        <v>8634085.23312972</v>
      </c>
      <c r="AB636" s="106" t="n">
        <v>0</v>
      </c>
      <c r="AC636" s="106" t="n">
        <v>3214445.52658614</v>
      </c>
      <c r="AD636" s="106" t="n">
        <v>0</v>
      </c>
      <c r="AE636" s="106" t="n">
        <v>0</v>
      </c>
      <c r="AF636" s="106" t="n"/>
      <c r="AG636" s="106" t="n">
        <v>331313.485104</v>
      </c>
      <c r="AH636" s="106" t="n">
        <v>0</v>
      </c>
      <c r="AI636" s="106" t="n">
        <v>0</v>
      </c>
      <c r="AJ636" s="106" t="n">
        <v>0</v>
      </c>
      <c r="AK636" s="106" t="n">
        <v>8195344.72298682</v>
      </c>
      <c r="AL636" s="106" t="n">
        <v>0</v>
      </c>
      <c r="AM636" s="106" t="n">
        <v>2089127.4416</v>
      </c>
      <c r="AN636" s="114" t="n">
        <v>231412.9346</v>
      </c>
      <c r="AO636" s="115" t="n">
        <v>445564.11599332</v>
      </c>
      <c r="AP636" s="112" t="n">
        <f aca="false" ca="false" dt2D="false" dtr="false" t="normal">+N636-'Приложение №2'!E636</f>
        <v>0</v>
      </c>
      <c r="AQ636" s="9" t="n">
        <f aca="false" ca="false" dt2D="false" dtr="false" t="normal">1693116.47-238851.36</f>
        <v>1454265.1099999999</v>
      </c>
      <c r="AR636" s="3" t="n">
        <f aca="false" ca="false" dt2D="false" dtr="false" t="normal">+(K636*10.5+L636*21)*12*0.85</f>
        <v>449525.475</v>
      </c>
      <c r="AS636" s="3" t="n">
        <f aca="false" ca="false" dt2D="false" dtr="false" t="normal">+(K636*10.5+L636*21)*12*30-58057.611-1622749.022</f>
        <v>14184798.367</v>
      </c>
      <c r="AT636" s="9" t="n">
        <f aca="false" ca="false" dt2D="false" dtr="false" t="normal">+S636-AS636</f>
        <v>-359353.347000001</v>
      </c>
      <c r="AU636" s="9" t="e">
        <f aca="false" ca="false" dt2D="false" dtr="false" t="normal">+P636-'[5]Приложение №1'!$P582</f>
        <v>#REF!</v>
      </c>
      <c r="AV636" s="9" t="e">
        <f aca="false" ca="false" dt2D="false" dtr="false" t="normal">+Q636-'[5]Приложение №1'!$Q582</f>
        <v>#REF!</v>
      </c>
      <c r="AW636" s="186" t="n">
        <f aca="false" ca="true" dt2D="false" dtr="false" t="normal">SUBTOTAL(9, AX636:BL636)</f>
        <v>41448783.58930002</v>
      </c>
      <c r="AX636" s="106" t="n">
        <v>9072553.72</v>
      </c>
      <c r="AY636" s="106" t="n">
        <v>0</v>
      </c>
      <c r="AZ636" s="106" t="n">
        <v>4761923.9526076</v>
      </c>
      <c r="BA636" s="106" t="n">
        <v>0</v>
      </c>
      <c r="BB636" s="106" t="n">
        <v>0</v>
      </c>
      <c r="BC636" s="106" t="n"/>
      <c r="BD636" s="106" t="n">
        <v>0</v>
      </c>
      <c r="BE636" s="106" t="n">
        <v>0</v>
      </c>
      <c r="BF636" s="106" t="n">
        <v>0</v>
      </c>
      <c r="BG636" s="106" t="n">
        <v>0</v>
      </c>
      <c r="BH636" s="106" t="n">
        <v>26921454.5974894</v>
      </c>
      <c r="BI636" s="106" t="n">
        <v>0</v>
      </c>
      <c r="BJ636" s="106" t="n"/>
      <c r="BK636" s="114" t="n"/>
      <c r="BL636" s="115" t="n">
        <v>692851.31920302</v>
      </c>
      <c r="BM636" s="186" t="n">
        <f aca="false" ca="true" dt2D="false" dtr="false" t="normal">SUBTOTAL(9, BN636:CB636)</f>
        <v>44995984.52920302</v>
      </c>
      <c r="BN636" s="106" t="n">
        <v>9072553.72</v>
      </c>
      <c r="BO636" s="106" t="n">
        <v>0</v>
      </c>
      <c r="BP636" s="106" t="n">
        <v>5144317</v>
      </c>
      <c r="BQ636" s="106" t="n">
        <v>0</v>
      </c>
      <c r="BR636" s="106" t="n">
        <v>0</v>
      </c>
      <c r="BS636" s="106" t="n"/>
      <c r="BT636" s="106" t="n">
        <v>0</v>
      </c>
      <c r="BU636" s="106" t="n">
        <v>0</v>
      </c>
      <c r="BV636" s="106" t="n">
        <v>0</v>
      </c>
      <c r="BW636" s="106" t="n">
        <v>0</v>
      </c>
      <c r="BX636" s="106" t="n">
        <v>30086262.49</v>
      </c>
      <c r="BY636" s="106" t="n">
        <v>0</v>
      </c>
      <c r="BZ636" s="106" t="n"/>
      <c r="CA636" s="114" t="n"/>
      <c r="CB636" s="115" t="n">
        <v>692851.31920302</v>
      </c>
      <c r="CD636" s="116" t="e">
        <f aca="false" ca="false" dt2D="false" dtr="false" t="normal">+CD635+1</f>
        <v>#REF!</v>
      </c>
      <c r="CE636" s="117" t="e">
        <f aca="false" ca="false" dt2D="false" dtr="false" t="normal">+CE635+1</f>
        <v>#REF!</v>
      </c>
      <c r="CF636" s="104" t="s">
        <v>111</v>
      </c>
      <c r="CG636" s="117" t="s">
        <v>623</v>
      </c>
      <c r="CH636" s="108" t="n">
        <f aca="false" ca="true" dt2D="false" dtr="false" t="normal">SUBTOTAL(9, CI636:CW636)</f>
        <v>31292219.220000003</v>
      </c>
      <c r="CI636" s="106" t="n">
        <v>9072553.72</v>
      </c>
      <c r="CJ636" s="114" t="n">
        <v>0</v>
      </c>
      <c r="CK636" s="243" t="n">
        <v>4047440.7</v>
      </c>
      <c r="CL636" s="114" t="n">
        <v>0</v>
      </c>
      <c r="CM636" s="114" t="n">
        <v>0</v>
      </c>
      <c r="CN636" s="114" t="n"/>
      <c r="CO636" s="106" t="n">
        <v>0</v>
      </c>
      <c r="CP636" s="114" t="n">
        <v>0</v>
      </c>
      <c r="CQ636" s="114" t="n">
        <v>0</v>
      </c>
      <c r="CR636" s="114" t="n">
        <v>0</v>
      </c>
      <c r="CS636" s="114" t="n">
        <v>17479373.48</v>
      </c>
      <c r="CT636" s="114" t="n">
        <v>0</v>
      </c>
      <c r="CU636" s="114" t="n"/>
      <c r="CV636" s="114" t="n"/>
      <c r="CW636" s="115" t="n">
        <v>692851.32</v>
      </c>
      <c r="CX636" s="3" t="n">
        <f aca="false" ca="false" dt2D="false" dtr="false" t="normal">+N636-CH636</f>
        <v>-692851.320000004</v>
      </c>
      <c r="CZ636" s="117" t="s">
        <v>623</v>
      </c>
      <c r="DA636" s="113" t="n">
        <f aca="false" ca="true" dt2D="false" dtr="false" t="normal">SUBTOTAL(9, DB636:DP636)</f>
        <v>30599367.900000002</v>
      </c>
      <c r="DB636" s="106" t="n">
        <v>9072553.72</v>
      </c>
      <c r="DC636" s="114" t="n">
        <v>0</v>
      </c>
      <c r="DD636" s="243" t="n">
        <v>4047440.7</v>
      </c>
      <c r="DE636" s="114" t="n">
        <v>0</v>
      </c>
      <c r="DF636" s="114" t="n">
        <v>0</v>
      </c>
      <c r="DG636" s="114" t="n"/>
      <c r="DH636" s="106" t="n">
        <v>0</v>
      </c>
      <c r="DI636" s="114" t="n">
        <v>0</v>
      </c>
      <c r="DJ636" s="114" t="n">
        <v>0</v>
      </c>
      <c r="DK636" s="114" t="n">
        <v>0</v>
      </c>
      <c r="DL636" s="114" t="n">
        <v>17479373.48</v>
      </c>
      <c r="DM636" s="114" t="n">
        <v>0</v>
      </c>
      <c r="DN636" s="114" t="n"/>
      <c r="DO636" s="114" t="n"/>
      <c r="DP636" s="240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</row>
    <row customFormat="true" hidden="false" ht="15" outlineLevel="0" r="637" s="1">
      <c r="A637" s="183" t="n">
        <f aca="false" ca="false" dt2D="false" dtr="false" t="normal">+A636+1</f>
        <v>615</v>
      </c>
      <c r="B637" s="117" t="n">
        <f aca="false" ca="false" dt2D="false" dtr="false" t="normal">+B636+1</f>
        <v>155</v>
      </c>
      <c r="C637" s="117" t="s">
        <v>111</v>
      </c>
      <c r="D637" s="117" t="s">
        <v>161</v>
      </c>
      <c r="E637" s="201" t="s">
        <v>400</v>
      </c>
      <c r="F637" s="201" t="n"/>
      <c r="G637" s="201" t="s">
        <v>68</v>
      </c>
      <c r="H637" s="201" t="n">
        <v>4</v>
      </c>
      <c r="I637" s="201" t="n">
        <v>2</v>
      </c>
      <c r="J637" s="114" t="n">
        <v>1305.4</v>
      </c>
      <c r="K637" s="114" t="n">
        <v>1212.2</v>
      </c>
      <c r="L637" s="114" t="n">
        <v>0</v>
      </c>
      <c r="M637" s="202" t="n">
        <v>58</v>
      </c>
      <c r="N637" s="108" t="n">
        <f aca="false" ca="false" dt2D="false" dtr="false" t="normal">SUM(P637:T637)</f>
        <v>7154351.180000001</v>
      </c>
      <c r="O637" s="114" t="n"/>
      <c r="P637" s="114" t="n">
        <v>2239646.95</v>
      </c>
      <c r="Q637" s="114" t="n"/>
      <c r="R637" s="113" t="n">
        <v>129826.62</v>
      </c>
      <c r="S637" s="113" t="n">
        <v>2901309.37</v>
      </c>
      <c r="T637" s="113" t="n">
        <v>1883568.24</v>
      </c>
      <c r="U637" s="114" t="n">
        <v>4892.67</v>
      </c>
      <c r="V637" s="114" t="n">
        <v>4892.67</v>
      </c>
      <c r="W637" s="110" t="n">
        <v>2024</v>
      </c>
      <c r="X637" s="9" t="n"/>
      <c r="Z637" s="113" t="n"/>
      <c r="AA637" s="106" t="n"/>
      <c r="AB637" s="106" t="n"/>
      <c r="AC637" s="106" t="n"/>
      <c r="AD637" s="106" t="n"/>
      <c r="AE637" s="106" t="n"/>
      <c r="AF637" s="106" t="n"/>
      <c r="AG637" s="106" t="n"/>
      <c r="AH637" s="106" t="n"/>
      <c r="AI637" s="106" t="n"/>
      <c r="AJ637" s="106" t="n"/>
      <c r="AK637" s="106" t="n"/>
      <c r="AL637" s="106" t="n"/>
      <c r="AM637" s="106" t="n"/>
      <c r="AN637" s="114" t="n"/>
      <c r="AO637" s="115" t="n"/>
      <c r="AP637" s="112" t="n"/>
      <c r="AQ637" s="9" t="n">
        <v>909150.67</v>
      </c>
      <c r="AR637" s="3" t="n">
        <f aca="false" ca="false" dt2D="false" dtr="false" t="normal">+(K637*10.5+L637*21)*12*0.85</f>
        <v>129826.62000000001</v>
      </c>
      <c r="AS637" s="3" t="n">
        <f aca="false" ca="false" dt2D="false" dtr="false" t="normal">+(K637*10.5+L637*21)*12*30-58057.611-1622749.022</f>
        <v>2901309.3670000006</v>
      </c>
      <c r="AT637" s="9" t="n"/>
      <c r="AU637" s="9" t="n"/>
      <c r="AV637" s="9" t="n"/>
      <c r="AW637" s="186" t="n">
        <f aca="false" ca="true" dt2D="false" dtr="false" t="normal">SUBTOTAL(9, AX637:BL637)</f>
        <v>5930894.574</v>
      </c>
      <c r="AX637" s="106" t="n"/>
      <c r="AY637" s="106" t="n"/>
      <c r="AZ637" s="106" t="n"/>
      <c r="BA637" s="106" t="n"/>
      <c r="BB637" s="106" t="n"/>
      <c r="BC637" s="106" t="n"/>
      <c r="BD637" s="106" t="n"/>
      <c r="BE637" s="106" t="n"/>
      <c r="BF637" s="106" t="n"/>
      <c r="BG637" s="106" t="n"/>
      <c r="BH637" s="106" t="n">
        <v>5803973.4301164</v>
      </c>
      <c r="BI637" s="106" t="n"/>
      <c r="BJ637" s="106" t="n"/>
      <c r="BK637" s="114" t="n"/>
      <c r="BL637" s="115" t="n">
        <v>126921.1438836</v>
      </c>
      <c r="BM637" s="186" t="n">
        <f aca="false" ca="true" dt2D="false" dtr="false" t="normal">SUBTOTAL(9, BN637:CB637)</f>
        <v>5930894.574</v>
      </c>
      <c r="BN637" s="106" t="n"/>
      <c r="BO637" s="106" t="n"/>
      <c r="BP637" s="106" t="n"/>
      <c r="BQ637" s="106" t="n"/>
      <c r="BR637" s="106" t="n"/>
      <c r="BS637" s="106" t="n"/>
      <c r="BT637" s="106" t="n"/>
      <c r="BU637" s="106" t="n"/>
      <c r="BV637" s="106" t="n"/>
      <c r="BW637" s="106" t="n"/>
      <c r="BX637" s="106" t="n">
        <v>5803973.4301164</v>
      </c>
      <c r="BY637" s="106" t="n"/>
      <c r="BZ637" s="106" t="n"/>
      <c r="CA637" s="114" t="n"/>
      <c r="CB637" s="115" t="n">
        <v>126921.1438836</v>
      </c>
      <c r="CD637" s="116" t="e">
        <f aca="false" ca="false" dt2D="false" dtr="false" t="normal">+#REF!+1</f>
        <v>#REF!</v>
      </c>
      <c r="CE637" s="117" t="e">
        <f aca="false" ca="false" dt2D="false" dtr="false" t="normal">+#REF!+1</f>
        <v>#REF!</v>
      </c>
      <c r="CF637" s="104" t="s">
        <v>111</v>
      </c>
      <c r="CG637" s="117" t="s">
        <v>161</v>
      </c>
      <c r="CH637" s="108" t="n">
        <f aca="false" ca="true" dt2D="false" dtr="false" t="normal">SUBTOTAL(9, CI637:CW637)</f>
        <v>7154351.18</v>
      </c>
      <c r="CI637" s="106" t="n"/>
      <c r="CJ637" s="114" t="n"/>
      <c r="CK637" s="114" t="n"/>
      <c r="CL637" s="114" t="n"/>
      <c r="CM637" s="114" t="n"/>
      <c r="CN637" s="114" t="n"/>
      <c r="CO637" s="106" t="n"/>
      <c r="CP637" s="114" t="n"/>
      <c r="CQ637" s="114" t="n"/>
      <c r="CR637" s="114" t="n"/>
      <c r="CS637" s="243" t="n">
        <v>7154351.18</v>
      </c>
      <c r="CT637" s="114" t="n"/>
      <c r="CU637" s="114" t="n"/>
      <c r="CV637" s="114" t="n"/>
      <c r="CW637" s="115" t="n"/>
      <c r="CX637" s="3" t="n">
        <f aca="false" ca="false" dt2D="false" dtr="false" t="normal">+N637-CH637</f>
        <v>0</v>
      </c>
      <c r="CZ637" s="117" t="s">
        <v>161</v>
      </c>
      <c r="DA637" s="113" t="n">
        <f aca="false" ca="true" dt2D="false" dtr="false" t="normal">SUBTOTAL(9, DB637:DP637)</f>
        <v>7154351.18</v>
      </c>
      <c r="DB637" s="106" t="n"/>
      <c r="DC637" s="114" t="n"/>
      <c r="DD637" s="114" t="n"/>
      <c r="DE637" s="114" t="n"/>
      <c r="DF637" s="114" t="n"/>
      <c r="DG637" s="114" t="n"/>
      <c r="DH637" s="106" t="n"/>
      <c r="DI637" s="114" t="n"/>
      <c r="DJ637" s="114" t="n"/>
      <c r="DK637" s="114" t="n"/>
      <c r="DL637" s="114" t="n">
        <v>7154351.18</v>
      </c>
      <c r="DM637" s="114" t="n"/>
      <c r="DN637" s="114" t="n"/>
      <c r="DO637" s="114" t="n"/>
      <c r="DP637" s="240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</row>
    <row customFormat="true" hidden="false" ht="15" outlineLevel="0" r="638" s="1">
      <c r="A638" s="183" t="n">
        <f aca="false" ca="false" dt2D="false" dtr="false" t="normal">+A637+1</f>
        <v>616</v>
      </c>
      <c r="B638" s="117" t="n">
        <f aca="false" ca="false" dt2D="false" dtr="false" t="normal">+B637+1</f>
        <v>156</v>
      </c>
      <c r="C638" s="104" t="s">
        <v>111</v>
      </c>
      <c r="D638" s="104" t="s">
        <v>162</v>
      </c>
      <c r="E638" s="105" t="n">
        <v>1964</v>
      </c>
      <c r="F638" s="105" t="n">
        <v>2013</v>
      </c>
      <c r="G638" s="105" t="s">
        <v>68</v>
      </c>
      <c r="H638" s="105" t="n">
        <v>4</v>
      </c>
      <c r="I638" s="105" t="n">
        <v>2</v>
      </c>
      <c r="J638" s="106" t="n">
        <v>1348</v>
      </c>
      <c r="K638" s="106" t="n">
        <v>1248.9</v>
      </c>
      <c r="L638" s="106" t="n">
        <v>0</v>
      </c>
      <c r="M638" s="107" t="n">
        <v>74</v>
      </c>
      <c r="N638" s="108" t="n">
        <f aca="false" ca="false" dt2D="false" dtr="false" t="normal">SUM(P638:T638)</f>
        <v>1265830.5</v>
      </c>
      <c r="O638" s="106" t="n"/>
      <c r="P638" s="113" t="n">
        <v>594940.34</v>
      </c>
      <c r="Q638" s="114" t="n"/>
      <c r="R638" s="114" t="n"/>
      <c r="S638" s="113" t="n">
        <v>670890.16</v>
      </c>
      <c r="T638" s="114" t="n">
        <v>0</v>
      </c>
      <c r="U638" s="106" t="n">
        <v>1159.19327605836</v>
      </c>
      <c r="V638" s="106" t="n">
        <v>1159.19327605836</v>
      </c>
      <c r="W638" s="110" t="n">
        <v>2024</v>
      </c>
      <c r="X638" s="9" t="e">
        <f aca="false" ca="false" dt2D="false" dtr="false" t="normal">+#REF!-'[9]Приложение №1'!$P1934</f>
        <v>#REF!</v>
      </c>
      <c r="Z638" s="113" t="n">
        <f aca="false" ca="false" dt2D="false" dtr="false" t="normal">SUM(AA638:AO638)</f>
        <v>13604861.209999999</v>
      </c>
      <c r="AA638" s="106" t="n">
        <v>2981304.86633616</v>
      </c>
      <c r="AB638" s="106" t="n">
        <v>1062361.48770948</v>
      </c>
      <c r="AC638" s="106" t="n">
        <v>1109931.37521504</v>
      </c>
      <c r="AD638" s="106" t="n">
        <v>694887.2179284</v>
      </c>
      <c r="AE638" s="106" t="n">
        <v>425157.36756066</v>
      </c>
      <c r="AF638" s="106" t="n"/>
      <c r="AG638" s="106" t="n">
        <v>114400.82936268</v>
      </c>
      <c r="AH638" s="106" t="n">
        <v>0</v>
      </c>
      <c r="AI638" s="106" t="n">
        <v>5450278.9118778</v>
      </c>
      <c r="AJ638" s="106" t="n">
        <v>0</v>
      </c>
      <c r="AK638" s="106" t="n">
        <v>0</v>
      </c>
      <c r="AL638" s="106" t="n">
        <v>0</v>
      </c>
      <c r="AM638" s="106" t="n">
        <v>1371610.4152</v>
      </c>
      <c r="AN638" s="114" t="n">
        <v>136048.6121</v>
      </c>
      <c r="AO638" s="115" t="n">
        <v>258880.12670978</v>
      </c>
      <c r="AP638" s="112" t="n">
        <f aca="false" ca="false" dt2D="false" dtr="false" t="normal">+N638-'Приложение №2'!E637</f>
        <v>-5888520.68</v>
      </c>
      <c r="AQ638" s="1" t="n">
        <v>546149.31</v>
      </c>
      <c r="AR638" s="3" t="n">
        <f aca="false" ca="false" dt2D="false" dtr="false" t="normal">+(K638*10+L638*20)*12*0.85</f>
        <v>127387.8</v>
      </c>
      <c r="AS638" s="3" t="n">
        <f aca="false" ca="false" dt2D="false" dtr="false" t="normal">+(K638*10+L638*20)*12*30</f>
        <v>4496040</v>
      </c>
      <c r="AT638" s="9" t="n">
        <f aca="false" ca="false" dt2D="false" dtr="false" t="normal">+S638-AS638</f>
        <v>-3825149.84</v>
      </c>
      <c r="AU638" s="9" t="e">
        <f aca="false" ca="false" dt2D="false" dtr="false" t="normal">+P638-'[5]Приложение №1'!$P589</f>
        <v>#REF!</v>
      </c>
      <c r="AV638" s="9" t="e">
        <f aca="false" ca="false" dt2D="false" dtr="false" t="normal">+Q638-'[5]Приложение №1'!$Q589</f>
        <v>#REF!</v>
      </c>
      <c r="AW638" s="113" t="n">
        <f aca="false" ca="true" dt2D="false" dtr="false" t="normal">SUBTOTAL(9, AX638:BL638)</f>
        <v>1447716.48246928</v>
      </c>
      <c r="AX638" s="106" t="n"/>
      <c r="AY638" s="106" t="n">
        <v>773824.99</v>
      </c>
      <c r="AZ638" s="106" t="n"/>
      <c r="BA638" s="106" t="n">
        <v>492005.51</v>
      </c>
      <c r="BB638" s="106" t="n"/>
      <c r="BC638" s="106" t="n"/>
      <c r="BD638" s="106" t="n"/>
      <c r="BE638" s="106" t="n">
        <v>0</v>
      </c>
      <c r="BF638" s="106" t="n"/>
      <c r="BG638" s="106" t="n">
        <v>0</v>
      </c>
      <c r="BH638" s="106" t="n">
        <v>0</v>
      </c>
      <c r="BI638" s="106" t="n">
        <v>0</v>
      </c>
      <c r="BJ638" s="106" t="n"/>
      <c r="BK638" s="114" t="n"/>
      <c r="BL638" s="187" t="n">
        <v>181885.98246928</v>
      </c>
      <c r="BM638" s="113" t="n">
        <f aca="false" ca="true" dt2D="false" dtr="false" t="normal">SUBTOTAL(9, BN638:CB638)</f>
        <v>1447716.48246928</v>
      </c>
      <c r="BN638" s="106" t="n"/>
      <c r="BO638" s="106" t="n">
        <v>773824.99</v>
      </c>
      <c r="BP638" s="106" t="n"/>
      <c r="BQ638" s="106" t="n">
        <v>492005.51</v>
      </c>
      <c r="BR638" s="106" t="n"/>
      <c r="BS638" s="106" t="n"/>
      <c r="BT638" s="106" t="n"/>
      <c r="BU638" s="106" t="n">
        <v>0</v>
      </c>
      <c r="BV638" s="106" t="n"/>
      <c r="BW638" s="106" t="n">
        <v>0</v>
      </c>
      <c r="BX638" s="106" t="n">
        <v>0</v>
      </c>
      <c r="BY638" s="106" t="n">
        <v>0</v>
      </c>
      <c r="BZ638" s="106" t="n"/>
      <c r="CA638" s="114" t="n"/>
      <c r="CB638" s="115" t="n">
        <v>181885.98246928</v>
      </c>
      <c r="CD638" s="116" t="e">
        <f aca="false" ca="false" dt2D="false" dtr="false" t="normal">+CD637+1</f>
        <v>#REF!</v>
      </c>
      <c r="CE638" s="117" t="e">
        <f aca="false" ca="false" dt2D="false" dtr="false" t="normal">+CE637+1</f>
        <v>#REF!</v>
      </c>
      <c r="CF638" s="104" t="s">
        <v>111</v>
      </c>
      <c r="CG638" s="117" t="s">
        <v>162</v>
      </c>
      <c r="CH638" s="108" t="n">
        <f aca="false" ca="true" dt2D="false" dtr="false" t="normal">SUBTOTAL(9, CI638:CW638)</f>
        <v>1265830.5</v>
      </c>
      <c r="CI638" s="106" t="n"/>
      <c r="CJ638" s="114" t="n">
        <v>773824.99</v>
      </c>
      <c r="CK638" s="114" t="n"/>
      <c r="CL638" s="114" t="n">
        <v>492005.51</v>
      </c>
      <c r="CM638" s="114" t="n"/>
      <c r="CN638" s="114" t="n"/>
      <c r="CO638" s="106" t="n"/>
      <c r="CP638" s="114" t="n">
        <v>0</v>
      </c>
      <c r="CQ638" s="114" t="n"/>
      <c r="CR638" s="114" t="n">
        <v>0</v>
      </c>
      <c r="CS638" s="114" t="n">
        <v>0</v>
      </c>
      <c r="CT638" s="114" t="n">
        <v>0</v>
      </c>
      <c r="CU638" s="114" t="n"/>
      <c r="CV638" s="114" t="n"/>
      <c r="CW638" s="115" t="n"/>
      <c r="CX638" s="3" t="n">
        <f aca="false" ca="false" dt2D="false" dtr="false" t="normal">+N638-CH638</f>
        <v>0</v>
      </c>
      <c r="CZ638" s="117" t="s">
        <v>162</v>
      </c>
      <c r="DA638" s="113" t="n">
        <f aca="false" ca="true" dt2D="false" dtr="false" t="normal">SUBTOTAL(9, DB638:DP638)</f>
        <v>1265830.5</v>
      </c>
      <c r="DB638" s="106" t="n"/>
      <c r="DC638" s="114" t="n">
        <v>773824.99</v>
      </c>
      <c r="DD638" s="114" t="n"/>
      <c r="DE638" s="114" t="n">
        <v>492005.51</v>
      </c>
      <c r="DF638" s="114" t="n"/>
      <c r="DG638" s="114" t="n"/>
      <c r="DH638" s="106" t="n"/>
      <c r="DI638" s="114" t="n">
        <v>0</v>
      </c>
      <c r="DJ638" s="114" t="n"/>
      <c r="DK638" s="114" t="n">
        <v>0</v>
      </c>
      <c r="DL638" s="114" t="n">
        <v>0</v>
      </c>
      <c r="DM638" s="114" t="n">
        <v>0</v>
      </c>
      <c r="DN638" s="114" t="n"/>
      <c r="DO638" s="114" t="n"/>
      <c r="DP638" s="240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</row>
    <row customFormat="true" hidden="false" ht="15" outlineLevel="0" r="639" s="1">
      <c r="A639" s="183" t="n">
        <f aca="false" ca="false" dt2D="false" dtr="false" t="normal">+A638+1</f>
        <v>617</v>
      </c>
      <c r="B639" s="117" t="n">
        <f aca="false" ca="false" dt2D="false" dtr="false" t="normal">+B638+1</f>
        <v>157</v>
      </c>
      <c r="C639" s="117" t="s">
        <v>111</v>
      </c>
      <c r="D639" s="117" t="s">
        <v>364</v>
      </c>
      <c r="E639" s="201" t="n">
        <v>1988</v>
      </c>
      <c r="F639" s="201" t="n">
        <v>2013</v>
      </c>
      <c r="G639" s="201" t="s">
        <v>68</v>
      </c>
      <c r="H639" s="201" t="n">
        <v>3</v>
      </c>
      <c r="I639" s="201" t="n">
        <v>3</v>
      </c>
      <c r="J639" s="114" t="n">
        <v>1440</v>
      </c>
      <c r="K639" s="114" t="n">
        <v>1362.6</v>
      </c>
      <c r="L639" s="114" t="n">
        <v>0</v>
      </c>
      <c r="M639" s="202" t="n">
        <v>54</v>
      </c>
      <c r="N639" s="108" t="n">
        <f aca="false" ca="false" dt2D="false" dtr="false" t="normal">SUM(P639:T639)</f>
        <v>9358068.65</v>
      </c>
      <c r="O639" s="114" t="n"/>
      <c r="P639" s="114" t="n"/>
      <c r="Q639" s="114" t="n"/>
      <c r="R639" s="113" t="n">
        <v>883087.29</v>
      </c>
      <c r="S639" s="113" t="n">
        <v>5150628</v>
      </c>
      <c r="T639" s="113" t="n">
        <v>3324353.36</v>
      </c>
      <c r="U639" s="114" t="n">
        <v>9625.16321845279</v>
      </c>
      <c r="V639" s="114" t="n">
        <v>1301.283020064</v>
      </c>
      <c r="W639" s="110" t="n">
        <v>2024</v>
      </c>
      <c r="X639" s="9" t="e">
        <f aca="false" ca="false" dt2D="false" dtr="false" t="normal">+#REF!-'[9]Приложение №1'!$P1099</f>
        <v>#REF!</v>
      </c>
      <c r="Z639" s="108" t="n">
        <f aca="false" ca="false" dt2D="false" dtr="false" t="normal">SUM(AA639:AO639)</f>
        <v>25083426.917270396</v>
      </c>
      <c r="AA639" s="106" t="n">
        <v>4525107.22596694</v>
      </c>
      <c r="AB639" s="106" t="n">
        <v>2796445.91115807</v>
      </c>
      <c r="AC639" s="106" t="n">
        <v>1312542.35195631</v>
      </c>
      <c r="AD639" s="106" t="n">
        <v>1144056.11894347</v>
      </c>
      <c r="AE639" s="106" t="n">
        <v>736445.82144</v>
      </c>
      <c r="AF639" s="106" t="n"/>
      <c r="AG639" s="106" t="n">
        <v>433409.41392</v>
      </c>
      <c r="AH639" s="106" t="n">
        <v>0</v>
      </c>
      <c r="AI639" s="106" t="n">
        <v>13331310.2724316</v>
      </c>
      <c r="AJ639" s="106" t="n">
        <v>0</v>
      </c>
      <c r="AK639" s="106" t="n">
        <v>0</v>
      </c>
      <c r="AL639" s="106" t="n">
        <v>0</v>
      </c>
      <c r="AM639" s="106" t="n">
        <v>225241.67</v>
      </c>
      <c r="AN639" s="106" t="n">
        <v>47928.64</v>
      </c>
      <c r="AO639" s="111" t="n">
        <v>530939.491454</v>
      </c>
      <c r="AP639" s="112" t="n">
        <f aca="false" ca="false" dt2D="false" dtr="false" t="normal">+N639-'Приложение №2'!E639</f>
        <v>0</v>
      </c>
      <c r="AQ639" s="121" t="n">
        <v>737152.83</v>
      </c>
      <c r="AR639" s="3" t="n">
        <f aca="false" ca="false" dt2D="false" dtr="false" t="normal">+(K639*10.5+L639*21)*12*0.85</f>
        <v>145934.45999999996</v>
      </c>
      <c r="AS639" s="3" t="n">
        <f aca="false" ca="false" dt2D="false" dtr="false" t="normal">+(K639*10.5+L639*21)*12*30</f>
        <v>5150627.999999999</v>
      </c>
      <c r="AT639" s="9" t="n">
        <f aca="false" ca="false" dt2D="false" dtr="false" t="normal">+S639-AS639</f>
        <v>0</v>
      </c>
      <c r="AU639" s="9" t="e">
        <f aca="false" ca="false" dt2D="false" dtr="false" t="normal">+P639-'[5]Приложение №1'!$P610</f>
        <v>#REF!</v>
      </c>
      <c r="AV639" s="9" t="e">
        <f aca="false" ca="false" dt2D="false" dtr="false" t="normal">+Q639-'[5]Приложение №1'!$Q610</f>
        <v>#REF!</v>
      </c>
      <c r="AW639" s="232" t="n">
        <f aca="false" ca="true" dt2D="false" dtr="false" t="normal">SUBTOTAL(9, AX639:BL639)</f>
        <v>13115247.40146377</v>
      </c>
      <c r="AX639" s="106" t="n">
        <v>4525107.22596694</v>
      </c>
      <c r="AY639" s="106" t="n">
        <v>2796445.91115807</v>
      </c>
      <c r="AZ639" s="106" t="n">
        <v>1312542.35195631</v>
      </c>
      <c r="BA639" s="106" t="n">
        <v>1144056.11894347</v>
      </c>
      <c r="BB639" s="106" t="n"/>
      <c r="BC639" s="106" t="n"/>
      <c r="BD639" s="106" t="n">
        <v>433409.41392</v>
      </c>
      <c r="BE639" s="106" t="n">
        <v>0</v>
      </c>
      <c r="BF639" s="106" t="n"/>
      <c r="BG639" s="106" t="n">
        <v>0</v>
      </c>
      <c r="BH639" s="106" t="n">
        <v>0</v>
      </c>
      <c r="BI639" s="106" t="n">
        <v>0</v>
      </c>
      <c r="BJ639" s="106" t="n">
        <v>2193617.8228</v>
      </c>
      <c r="BK639" s="106" t="n">
        <v>242740.9665</v>
      </c>
      <c r="BL639" s="138" t="n">
        <v>467327.59021898</v>
      </c>
      <c r="BM639" s="186" t="n">
        <f aca="false" ca="true" dt2D="false" dtr="false" t="normal">SUBTOTAL(9, BN639:CB639)</f>
        <v>13115247.40146377</v>
      </c>
      <c r="BN639" s="106" t="n">
        <v>4525107.22596694</v>
      </c>
      <c r="BO639" s="106" t="n">
        <v>2796445.91115807</v>
      </c>
      <c r="BP639" s="106" t="n">
        <v>1312542.35195631</v>
      </c>
      <c r="BQ639" s="106" t="n">
        <v>1144056.11894347</v>
      </c>
      <c r="BR639" s="106" t="n"/>
      <c r="BS639" s="106" t="n"/>
      <c r="BT639" s="106" t="n">
        <v>433409.41392</v>
      </c>
      <c r="BU639" s="106" t="n">
        <v>0</v>
      </c>
      <c r="BW639" s="106" t="n">
        <v>0</v>
      </c>
      <c r="BX639" s="106" t="n">
        <v>0</v>
      </c>
      <c r="BY639" s="106" t="n">
        <v>0</v>
      </c>
      <c r="BZ639" s="106" t="n">
        <v>2193617.8228</v>
      </c>
      <c r="CA639" s="106" t="n">
        <v>242740.9665</v>
      </c>
      <c r="CB639" s="115" t="n">
        <v>467327.59021898</v>
      </c>
      <c r="CD639" s="116" t="e">
        <f aca="false" ca="false" dt2D="false" dtr="false" t="normal">+CD638+1</f>
        <v>#REF!</v>
      </c>
      <c r="CE639" s="117" t="e">
        <f aca="false" ca="false" dt2D="false" dtr="false" t="normal">+CE638+1</f>
        <v>#REF!</v>
      </c>
      <c r="CF639" s="104" t="s">
        <v>111</v>
      </c>
      <c r="CG639" s="117" t="s">
        <v>364</v>
      </c>
      <c r="CH639" s="108" t="n">
        <f aca="false" ca="true" dt2D="false" dtr="false" t="normal">SUBTOTAL(9, CI639:CW639)</f>
        <v>10245479.2</v>
      </c>
      <c r="CI639" s="106" t="n">
        <v>4525107.23</v>
      </c>
      <c r="CJ639" s="114" t="n">
        <v>2796445.91</v>
      </c>
      <c r="CK639" s="114" t="n">
        <v>1312542.35</v>
      </c>
      <c r="CL639" s="114" t="n">
        <v>1144056.12</v>
      </c>
      <c r="CM639" s="114" t="n"/>
      <c r="CN639" s="114" t="n"/>
      <c r="CO639" s="106" t="n"/>
      <c r="CP639" s="114" t="n">
        <v>0</v>
      </c>
      <c r="CQ639" s="114" t="n"/>
      <c r="CR639" s="114" t="n">
        <v>0</v>
      </c>
      <c r="CS639" s="114" t="n">
        <v>0</v>
      </c>
      <c r="CT639" s="114" t="n">
        <v>0</v>
      </c>
      <c r="CU639" s="114" t="n"/>
      <c r="CV639" s="114" t="n"/>
      <c r="CW639" s="115" t="n">
        <v>467327.59</v>
      </c>
      <c r="CX639" s="3" t="n">
        <f aca="false" ca="false" dt2D="false" dtr="false" t="normal">+N639-CH639</f>
        <v>-887410.5499999989</v>
      </c>
      <c r="CZ639" s="117" t="s">
        <v>364</v>
      </c>
      <c r="DA639" s="113" t="n">
        <f aca="false" ca="true" dt2D="false" dtr="false" t="normal">SUBTOTAL(9, DB639:DP639)</f>
        <v>9778151.61</v>
      </c>
      <c r="DB639" s="106" t="n">
        <v>4525107.23</v>
      </c>
      <c r="DC639" s="114" t="n">
        <v>2796445.91</v>
      </c>
      <c r="DD639" s="114" t="n">
        <v>1312542.35</v>
      </c>
      <c r="DE639" s="114" t="n">
        <v>1144056.12</v>
      </c>
      <c r="DF639" s="114" t="n"/>
      <c r="DG639" s="114" t="n"/>
      <c r="DH639" s="106" t="n"/>
      <c r="DI639" s="114" t="n">
        <v>0</v>
      </c>
      <c r="DJ639" s="114" t="n"/>
      <c r="DK639" s="114" t="n">
        <v>0</v>
      </c>
      <c r="DL639" s="114" t="n">
        <v>0</v>
      </c>
      <c r="DM639" s="114" t="n">
        <v>0</v>
      </c>
      <c r="DN639" s="241" t="n"/>
      <c r="DO639" s="241" t="n"/>
      <c r="DP639" s="240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</row>
    <row customFormat="true" hidden="false" ht="15" outlineLevel="0" r="640" s="1">
      <c r="A640" s="183" t="n">
        <f aca="false" ca="false" dt2D="false" dtr="false" t="normal">+A639+1</f>
        <v>618</v>
      </c>
      <c r="B640" s="117" t="n">
        <f aca="false" ca="false" dt2D="false" dtr="false" t="normal">+B639+1</f>
        <v>158</v>
      </c>
      <c r="C640" s="117" t="s">
        <v>111</v>
      </c>
      <c r="D640" s="117" t="s">
        <v>624</v>
      </c>
      <c r="E640" s="201" t="n">
        <v>1989</v>
      </c>
      <c r="F640" s="201" t="n">
        <v>2013</v>
      </c>
      <c r="G640" s="201" t="s">
        <v>68</v>
      </c>
      <c r="H640" s="201" t="n">
        <v>3</v>
      </c>
      <c r="I640" s="201" t="n">
        <v>3</v>
      </c>
      <c r="J640" s="114" t="n">
        <v>1505.9</v>
      </c>
      <c r="K640" s="114" t="n">
        <v>1326.7</v>
      </c>
      <c r="L640" s="114" t="n">
        <v>0</v>
      </c>
      <c r="M640" s="202" t="n">
        <v>75</v>
      </c>
      <c r="N640" s="108" t="n">
        <f aca="false" ca="false" dt2D="false" dtr="false" t="normal">SUM(P640:T640)</f>
        <v>5687005.6</v>
      </c>
      <c r="O640" s="114" t="n"/>
      <c r="P640" s="113" t="n">
        <v>1272584.83</v>
      </c>
      <c r="Q640" s="114" t="n"/>
      <c r="R640" s="113" t="n">
        <v>802931.46</v>
      </c>
      <c r="S640" s="113" t="n">
        <v>3611489.31</v>
      </c>
      <c r="T640" s="113" t="n"/>
      <c r="U640" s="114" t="n">
        <v>7303.10988934951</v>
      </c>
      <c r="V640" s="114" t="n">
        <v>1302.283020064</v>
      </c>
      <c r="W640" s="110" t="n">
        <v>2024</v>
      </c>
      <c r="X640" s="9" t="e">
        <f aca="false" ca="false" dt2D="false" dtr="false" t="normal">+#REF!-'[9]Приложение №1'!$P423</f>
        <v>#REF!</v>
      </c>
      <c r="Z640" s="113" t="n">
        <f aca="false" ca="false" dt2D="false" dtr="false" t="normal">SUM(AA640:AO640)</f>
        <v>10886557.179999998</v>
      </c>
      <c r="AA640" s="106" t="n">
        <v>0</v>
      </c>
      <c r="AB640" s="106" t="n">
        <v>0</v>
      </c>
      <c r="AC640" s="106" t="n">
        <v>0</v>
      </c>
      <c r="AD640" s="106" t="n">
        <v>0</v>
      </c>
      <c r="AE640" s="106" t="n">
        <v>0</v>
      </c>
      <c r="AF640" s="106" t="n"/>
      <c r="AG640" s="106" t="n">
        <v>0</v>
      </c>
      <c r="AH640" s="106" t="n">
        <v>0</v>
      </c>
      <c r="AI640" s="106" t="n">
        <v>0</v>
      </c>
      <c r="AJ640" s="106" t="n">
        <v>0</v>
      </c>
      <c r="AK640" s="106" t="n">
        <v>0</v>
      </c>
      <c r="AL640" s="106" t="n">
        <v>9481690.52214972</v>
      </c>
      <c r="AM640" s="106" t="n">
        <v>1088655.718</v>
      </c>
      <c r="AN640" s="114" t="n">
        <v>108865.5718</v>
      </c>
      <c r="AO640" s="115" t="n">
        <v>207345.36805028</v>
      </c>
      <c r="AP640" s="112" t="n">
        <f aca="false" ca="false" dt2D="false" dtr="false" t="normal">+N640-'Приложение №2'!E640</f>
        <v>0</v>
      </c>
      <c r="AQ640" s="121" t="n">
        <v>797138.46</v>
      </c>
      <c r="AR640" s="3" t="n">
        <f aca="false" ca="false" dt2D="false" dtr="false" t="normal">+(K640*10.5+L640*21)*12*0.85</f>
        <v>142089.57</v>
      </c>
      <c r="AS640" s="3" t="n">
        <f aca="false" ca="false" dt2D="false" dtr="false" t="normal">+(K640*10.5+L640*21)*12*30</f>
        <v>5014926</v>
      </c>
      <c r="AT640" s="9" t="n">
        <f aca="false" ca="false" dt2D="false" dtr="false" t="normal">+S640-AS640</f>
        <v>-1403436.69</v>
      </c>
      <c r="AU640" s="9" t="e">
        <f aca="false" ca="false" dt2D="false" dtr="false" t="normal">+P640-'[5]Приложение №1'!$P585</f>
        <v>#REF!</v>
      </c>
      <c r="AV640" s="9" t="e">
        <f aca="false" ca="false" dt2D="false" dtr="false" t="normal">+Q640-'[5]Приложение №1'!$Q585</f>
        <v>#REF!</v>
      </c>
      <c r="AW640" s="186" t="n">
        <f aca="false" ca="true" dt2D="false" dtr="false" t="normal">SUBTOTAL(9, AX640:BL640)</f>
        <v>9689035.890199998</v>
      </c>
      <c r="AX640" s="106" t="n">
        <v>0</v>
      </c>
      <c r="AY640" s="106" t="n">
        <v>0</v>
      </c>
      <c r="AZ640" s="106" t="n">
        <v>0</v>
      </c>
      <c r="BA640" s="106" t="n">
        <v>0</v>
      </c>
      <c r="BB640" s="106" t="n">
        <v>0</v>
      </c>
      <c r="BC640" s="106" t="n"/>
      <c r="BD640" s="106" t="n"/>
      <c r="BE640" s="106" t="n">
        <v>0</v>
      </c>
      <c r="BF640" s="106" t="n">
        <v>0</v>
      </c>
      <c r="BG640" s="106" t="n">
        <v>0</v>
      </c>
      <c r="BH640" s="106" t="n">
        <v>0</v>
      </c>
      <c r="BI640" s="106" t="n">
        <v>9481690.52214972</v>
      </c>
      <c r="BJ640" s="106" t="n"/>
      <c r="BK640" s="114" t="n"/>
      <c r="BL640" s="115" t="n">
        <v>207345.36805028</v>
      </c>
      <c r="BM640" s="186" t="n">
        <f aca="false" ca="true" dt2D="false" dtr="false" t="normal">SUBTOTAL(9, BN640:CB640)</f>
        <v>9689035.890199998</v>
      </c>
      <c r="BN640" s="106" t="n">
        <v>0</v>
      </c>
      <c r="BO640" s="106" t="n">
        <v>0</v>
      </c>
      <c r="BP640" s="106" t="n">
        <v>0</v>
      </c>
      <c r="BQ640" s="106" t="n">
        <v>0</v>
      </c>
      <c r="BR640" s="106" t="n">
        <v>0</v>
      </c>
      <c r="BS640" s="106" t="n"/>
      <c r="BT640" s="106" t="n"/>
      <c r="BU640" s="106" t="n">
        <v>0</v>
      </c>
      <c r="BV640" s="106" t="n">
        <v>0</v>
      </c>
      <c r="BW640" s="106" t="n">
        <v>0</v>
      </c>
      <c r="BX640" s="106" t="n">
        <v>0</v>
      </c>
      <c r="BY640" s="106" t="n">
        <v>9481690.52214972</v>
      </c>
      <c r="BZ640" s="106" t="n"/>
      <c r="CA640" s="114" t="n"/>
      <c r="CB640" s="115" t="n">
        <v>207345.36805028</v>
      </c>
      <c r="CD640" s="116" t="e">
        <f aca="false" ca="false" dt2D="false" dtr="false" t="normal">+CD639+1</f>
        <v>#REF!</v>
      </c>
      <c r="CE640" s="117" t="e">
        <f aca="false" ca="false" dt2D="false" dtr="false" t="normal">+CE639+1</f>
        <v>#REF!</v>
      </c>
      <c r="CF640" s="104" t="s">
        <v>111</v>
      </c>
      <c r="CG640" s="117" t="s">
        <v>624</v>
      </c>
      <c r="CH640" s="108" t="n">
        <f aca="false" ca="true" dt2D="false" dtr="false" t="normal">SUBTOTAL(9, CI640:CW640)</f>
        <v>5894350.97</v>
      </c>
      <c r="CI640" s="106" t="n">
        <v>0</v>
      </c>
      <c r="CJ640" s="114" t="n">
        <v>0</v>
      </c>
      <c r="CK640" s="114" t="n">
        <v>0</v>
      </c>
      <c r="CL640" s="114" t="n">
        <v>0</v>
      </c>
      <c r="CM640" s="114" t="n">
        <v>0</v>
      </c>
      <c r="CN640" s="114" t="n"/>
      <c r="CO640" s="106" t="n"/>
      <c r="CP640" s="114" t="n">
        <v>0</v>
      </c>
      <c r="CQ640" s="114" t="n">
        <v>0</v>
      </c>
      <c r="CR640" s="114" t="n">
        <v>0</v>
      </c>
      <c r="CS640" s="114" t="n">
        <v>0</v>
      </c>
      <c r="CT640" s="114" t="n">
        <v>5687005.6</v>
      </c>
      <c r="CU640" s="114" t="n"/>
      <c r="CV640" s="114" t="n"/>
      <c r="CW640" s="115" t="n">
        <v>207345.37</v>
      </c>
      <c r="CX640" s="3" t="n">
        <f aca="false" ca="false" dt2D="false" dtr="false" t="normal">+N640-CH640</f>
        <v>-207345.3700000001</v>
      </c>
      <c r="CZ640" s="117" t="s">
        <v>624</v>
      </c>
      <c r="DA640" s="113" t="n">
        <f aca="false" ca="true" dt2D="false" dtr="false" t="normal">SUBTOTAL(9, DB640:DP640)</f>
        <v>5687005.6</v>
      </c>
      <c r="DB640" s="106" t="n">
        <v>0</v>
      </c>
      <c r="DC640" s="114" t="n">
        <v>0</v>
      </c>
      <c r="DD640" s="114" t="n">
        <v>0</v>
      </c>
      <c r="DE640" s="114" t="n">
        <v>0</v>
      </c>
      <c r="DF640" s="114" t="n">
        <v>0</v>
      </c>
      <c r="DG640" s="114" t="n"/>
      <c r="DH640" s="106" t="n"/>
      <c r="DI640" s="114" t="n">
        <v>0</v>
      </c>
      <c r="DJ640" s="114" t="n">
        <v>0</v>
      </c>
      <c r="DK640" s="114" t="n">
        <v>0</v>
      </c>
      <c r="DL640" s="114" t="n">
        <v>0</v>
      </c>
      <c r="DM640" s="114" t="n">
        <v>5687005.6</v>
      </c>
      <c r="DN640" s="114" t="n"/>
      <c r="DO640" s="114" t="n"/>
      <c r="DP640" s="240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</row>
    <row customFormat="true" hidden="false" ht="15" outlineLevel="0" r="641" s="1">
      <c r="A641" s="183" t="n">
        <f aca="false" ca="false" dt2D="false" dtr="false" t="normal">+A640+1</f>
        <v>619</v>
      </c>
      <c r="B641" s="117" t="n">
        <f aca="false" ca="false" dt2D="false" dtr="false" t="normal">+B640+1</f>
        <v>159</v>
      </c>
      <c r="C641" s="117" t="s">
        <v>111</v>
      </c>
      <c r="D641" s="117" t="s">
        <v>625</v>
      </c>
      <c r="E641" s="201" t="n">
        <v>1979</v>
      </c>
      <c r="F641" s="201" t="n">
        <v>2008</v>
      </c>
      <c r="G641" s="201" t="s">
        <v>68</v>
      </c>
      <c r="H641" s="201" t="n">
        <v>4</v>
      </c>
      <c r="I641" s="201" t="n">
        <v>1</v>
      </c>
      <c r="J641" s="114" t="n">
        <v>4953.1</v>
      </c>
      <c r="K641" s="114" t="n">
        <v>4344.8</v>
      </c>
      <c r="L641" s="114" t="n">
        <v>0</v>
      </c>
      <c r="M641" s="202" t="n">
        <v>210</v>
      </c>
      <c r="N641" s="108" t="n">
        <f aca="false" ca="false" dt2D="false" dtr="false" t="normal">SUM(P641:T641)</f>
        <v>25257638.629999995</v>
      </c>
      <c r="O641" s="114" t="n"/>
      <c r="P641" s="113" t="n">
        <v>2747451.53</v>
      </c>
      <c r="Q641" s="114" t="n"/>
      <c r="R641" s="113" t="n">
        <v>2754406.84</v>
      </c>
      <c r="S641" s="113" t="n">
        <v>16423344</v>
      </c>
      <c r="T641" s="113" t="n">
        <v>3332436.26</v>
      </c>
      <c r="U641" s="114" t="n">
        <v>5940.42810628797</v>
      </c>
      <c r="V641" s="114" t="n">
        <v>1303.283020064</v>
      </c>
      <c r="W641" s="110" t="n">
        <v>2024</v>
      </c>
      <c r="X641" s="9" t="e">
        <f aca="false" ca="false" dt2D="false" dtr="false" t="normal">+#REF!-'[9]Приложение №1'!$P1074</f>
        <v>#REF!</v>
      </c>
      <c r="Z641" s="113" t="n">
        <f aca="false" ca="false" dt2D="false" dtr="false" t="normal">SUM(AA641:AO641)</f>
        <v>79806524.30999999</v>
      </c>
      <c r="AA641" s="106" t="n">
        <v>7307972.9825193</v>
      </c>
      <c r="AB641" s="106" t="n">
        <v>4226400.56025516</v>
      </c>
      <c r="AC641" s="106" t="n">
        <v>4467618.32528256</v>
      </c>
      <c r="AD641" s="106" t="n">
        <v>3406596.95492088</v>
      </c>
      <c r="AE641" s="106" t="n">
        <v>1360865.74605282</v>
      </c>
      <c r="AF641" s="106" t="n"/>
      <c r="AG641" s="106" t="n">
        <v>363131.2529628</v>
      </c>
      <c r="AH641" s="106" t="n">
        <v>0</v>
      </c>
      <c r="AI641" s="106" t="n">
        <v>13009304.5781706</v>
      </c>
      <c r="AJ641" s="106" t="n">
        <v>0</v>
      </c>
      <c r="AK641" s="106" t="n">
        <v>25257638.6346253</v>
      </c>
      <c r="AL641" s="106" t="n">
        <v>9933505.3301778</v>
      </c>
      <c r="AM641" s="106" t="n">
        <v>8159251.6635</v>
      </c>
      <c r="AN641" s="114" t="n">
        <v>798065.2431</v>
      </c>
      <c r="AO641" s="115" t="n">
        <v>1516173.03843276</v>
      </c>
      <c r="AP641" s="112" t="n">
        <f aca="false" ca="false" dt2D="false" dtr="false" t="normal">+N641-'Приложение №2'!E641</f>
        <v>0</v>
      </c>
      <c r="AQ641" s="1" t="n">
        <f aca="false" ca="false" dt2D="false" dtr="false" t="normal">2464536.95-175458.19</f>
        <v>2289078.7600000002</v>
      </c>
      <c r="AR641" s="3" t="n">
        <f aca="false" ca="false" dt2D="false" dtr="false" t="normal">+(K641*10.5+L641*21)*12*0.85</f>
        <v>465328.08</v>
      </c>
      <c r="AS641" s="3" t="n">
        <f aca="false" ca="false" dt2D="false" dtr="false" t="normal">+(K641*10.5+L641*21)*12*30</f>
        <v>16423344.000000002</v>
      </c>
      <c r="AT641" s="9" t="n">
        <f aca="false" ca="false" dt2D="false" dtr="false" t="normal">+S641-AS641</f>
        <v>0</v>
      </c>
      <c r="AU641" s="9" t="e">
        <f aca="false" ca="false" dt2D="false" dtr="false" t="normal">+P641-'[5]Приложение №1'!$P586</f>
        <v>#REF!</v>
      </c>
      <c r="AV641" s="9" t="e">
        <f aca="false" ca="false" dt2D="false" dtr="false" t="normal">+Q641-'[5]Приложение №1'!$Q586</f>
        <v>#REF!</v>
      </c>
      <c r="AW641" s="186" t="n">
        <f aca="false" ca="true" dt2D="false" dtr="false" t="normal">SUBTOTAL(9, AX641:BL641)</f>
        <v>25809972.03619998</v>
      </c>
      <c r="AX641" s="106" t="n"/>
      <c r="AY641" s="106" t="n"/>
      <c r="AZ641" s="106" t="n"/>
      <c r="BA641" s="106" t="n"/>
      <c r="BB641" s="106" t="n"/>
      <c r="BC641" s="106" t="n"/>
      <c r="BD641" s="106" t="n"/>
      <c r="BE641" s="106" t="n"/>
      <c r="BF641" s="106" t="n"/>
      <c r="BG641" s="106" t="n">
        <v>0</v>
      </c>
      <c r="BH641" s="106" t="n">
        <v>25257638.6346253</v>
      </c>
      <c r="BI641" s="106" t="n"/>
      <c r="BJ641" s="106" t="n"/>
      <c r="BK641" s="114" t="n"/>
      <c r="BL641" s="115" t="n">
        <v>552333.40157468</v>
      </c>
      <c r="BM641" s="186" t="n">
        <f aca="false" ca="true" dt2D="false" dtr="false" t="normal">SUBTOTAL(9, BN641:CB641)</f>
        <v>25809972.03619998</v>
      </c>
      <c r="BN641" s="106" t="n"/>
      <c r="BO641" s="106" t="n"/>
      <c r="BP641" s="106" t="n"/>
      <c r="BQ641" s="106" t="n"/>
      <c r="BR641" s="106" t="n"/>
      <c r="BS641" s="106" t="n"/>
      <c r="BT641" s="106" t="n"/>
      <c r="BU641" s="106" t="n"/>
      <c r="BV641" s="106" t="n"/>
      <c r="BW641" s="106" t="n">
        <v>0</v>
      </c>
      <c r="BX641" s="106" t="n">
        <v>25257638.6346253</v>
      </c>
      <c r="BY641" s="106" t="n"/>
      <c r="BZ641" s="106" t="n"/>
      <c r="CA641" s="114" t="n"/>
      <c r="CB641" s="115" t="n">
        <v>552333.40157468</v>
      </c>
      <c r="CD641" s="116" t="e">
        <f aca="false" ca="false" dt2D="false" dtr="false" t="normal">+CD640+1</f>
        <v>#REF!</v>
      </c>
      <c r="CE641" s="117" t="e">
        <f aca="false" ca="false" dt2D="false" dtr="false" t="normal">+CE640+1</f>
        <v>#REF!</v>
      </c>
      <c r="CF641" s="104" t="s">
        <v>111</v>
      </c>
      <c r="CG641" s="117" t="s">
        <v>625</v>
      </c>
      <c r="CH641" s="108" t="n">
        <f aca="false" ca="true" dt2D="false" dtr="false" t="normal">SUBTOTAL(9, CI641:CW641)</f>
        <v>25809972.029999997</v>
      </c>
      <c r="CI641" s="106" t="n"/>
      <c r="CJ641" s="114" t="n"/>
      <c r="CK641" s="114" t="n"/>
      <c r="CL641" s="114" t="n"/>
      <c r="CM641" s="114" t="n"/>
      <c r="CN641" s="114" t="n"/>
      <c r="CO641" s="106" t="n"/>
      <c r="CP641" s="114" t="n"/>
      <c r="CQ641" s="114" t="n"/>
      <c r="CR641" s="114" t="n">
        <v>0</v>
      </c>
      <c r="CS641" s="114" t="n">
        <v>25257638.63</v>
      </c>
      <c r="CT641" s="114" t="n"/>
      <c r="CU641" s="114" t="n"/>
      <c r="CV641" s="114" t="n"/>
      <c r="CW641" s="115" t="n">
        <v>552333.4</v>
      </c>
      <c r="CX641" s="3" t="n">
        <f aca="false" ca="false" dt2D="false" dtr="false" t="normal">+N641-CH641</f>
        <v>-552333.4000000022</v>
      </c>
      <c r="CZ641" s="117" t="s">
        <v>625</v>
      </c>
      <c r="DA641" s="113" t="n">
        <f aca="false" ca="true" dt2D="false" dtr="false" t="normal">SUBTOTAL(9, DB641:DP641)</f>
        <v>25257638.63</v>
      </c>
      <c r="DB641" s="106" t="n"/>
      <c r="DC641" s="114" t="n"/>
      <c r="DD641" s="114" t="n"/>
      <c r="DE641" s="114" t="n"/>
      <c r="DF641" s="114" t="n"/>
      <c r="DG641" s="114" t="n"/>
      <c r="DH641" s="106" t="n"/>
      <c r="DI641" s="114" t="n"/>
      <c r="DJ641" s="114" t="n"/>
      <c r="DK641" s="114" t="n">
        <v>0</v>
      </c>
      <c r="DL641" s="114" t="n">
        <v>25257638.63</v>
      </c>
      <c r="DM641" s="114" t="n"/>
      <c r="DN641" s="114" t="n"/>
      <c r="DO641" s="114" t="n"/>
      <c r="DP641" s="240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</row>
    <row customFormat="true" hidden="false" ht="15" outlineLevel="0" r="642" s="1">
      <c r="A642" s="183" t="n">
        <f aca="false" ca="false" dt2D="false" dtr="false" t="normal">+A641+1</f>
        <v>620</v>
      </c>
      <c r="B642" s="117" t="n">
        <f aca="false" ca="false" dt2D="false" dtr="false" t="normal">+B641+1</f>
        <v>160</v>
      </c>
      <c r="C642" s="117" t="s">
        <v>111</v>
      </c>
      <c r="D642" s="117" t="s">
        <v>166</v>
      </c>
      <c r="E642" s="201" t="n">
        <v>1961</v>
      </c>
      <c r="F642" s="201" t="n">
        <v>2013</v>
      </c>
      <c r="G642" s="201" t="s">
        <v>68</v>
      </c>
      <c r="H642" s="201" t="n">
        <v>4</v>
      </c>
      <c r="I642" s="201" t="n">
        <v>3</v>
      </c>
      <c r="J642" s="114" t="n">
        <v>3049.5</v>
      </c>
      <c r="K642" s="114" t="n">
        <v>2277.6</v>
      </c>
      <c r="L642" s="114" t="n">
        <v>771.9</v>
      </c>
      <c r="M642" s="202" t="n">
        <v>94</v>
      </c>
      <c r="N642" s="108" t="n">
        <f aca="false" ca="false" dt2D="false" dtr="false" t="normal">SUM(P642:T642)</f>
        <v>2808781.84</v>
      </c>
      <c r="O642" s="114" t="n"/>
      <c r="P642" s="114" t="n"/>
      <c r="Q642" s="114" t="n"/>
      <c r="R642" s="113" t="n">
        <v>451230.07</v>
      </c>
      <c r="S642" s="113" t="n">
        <v>2357551.77</v>
      </c>
      <c r="T642" s="114" t="n"/>
      <c r="U642" s="114" t="n">
        <v>945.742</v>
      </c>
      <c r="V642" s="114" t="n">
        <v>945.742</v>
      </c>
      <c r="W642" s="110" t="n">
        <v>2024</v>
      </c>
      <c r="X642" s="9" t="e">
        <f aca="false" ca="false" dt2D="false" dtr="false" t="normal">+#REF!-'[9]Приложение №1'!$P1959</f>
        <v>#REF!</v>
      </c>
      <c r="Z642" s="113" t="n">
        <f aca="false" ca="false" dt2D="false" dtr="false" t="normal">SUM(AA642:AO642)</f>
        <v>13067933.899999999</v>
      </c>
      <c r="AA642" s="106" t="n">
        <v>5253036.73686246</v>
      </c>
      <c r="AB642" s="106" t="n">
        <v>1871872.94908698</v>
      </c>
      <c r="AC642" s="106" t="n">
        <v>1955690.72273694</v>
      </c>
      <c r="AD642" s="106" t="n">
        <v>1224386.051847</v>
      </c>
      <c r="AE642" s="106" t="n">
        <v>749124.0801009</v>
      </c>
      <c r="AF642" s="106" t="n"/>
      <c r="AG642" s="106" t="n">
        <v>201573.40567308</v>
      </c>
      <c r="AH642" s="106" t="n">
        <v>0</v>
      </c>
      <c r="AI642" s="106" t="n">
        <v>0</v>
      </c>
      <c r="AJ642" s="106" t="n">
        <v>0</v>
      </c>
      <c r="AK642" s="106" t="n">
        <v>0</v>
      </c>
      <c r="AL642" s="106" t="n">
        <v>0</v>
      </c>
      <c r="AM642" s="106" t="n">
        <v>1435431.6034</v>
      </c>
      <c r="AN642" s="114" t="n">
        <v>130679.339</v>
      </c>
      <c r="AO642" s="115" t="n">
        <v>246139.01129264</v>
      </c>
      <c r="AP642" s="112" t="n">
        <f aca="false" ca="false" dt2D="false" dtr="false" t="normal">+N642-'Приложение №2'!E642</f>
        <v>0</v>
      </c>
      <c r="AQ642" s="9" t="n">
        <f aca="false" ca="false" dt2D="false" dtr="false" t="normal">1647685.87-R419</f>
        <v>709896.3600000001</v>
      </c>
      <c r="AR642" s="3" t="n">
        <f aca="false" ca="false" dt2D="false" dtr="false" t="normal">+(K642*10+L642*20)*12*0.85</f>
        <v>389782.8</v>
      </c>
      <c r="AS642" s="3" t="n">
        <f aca="false" ca="false" dt2D="false" dtr="false" t="normal">+(K642*10+L642*20)*12*30-S419</f>
        <v>13757040</v>
      </c>
      <c r="AT642" s="9" t="n">
        <f aca="false" ca="false" dt2D="false" dtr="false" t="normal">+S642-AS642</f>
        <v>-11399488.23</v>
      </c>
      <c r="AU642" s="9" t="e">
        <f aca="false" ca="false" dt2D="false" dtr="false" t="normal">+P642-'[5]Приложение №1'!$P656</f>
        <v>#REF!</v>
      </c>
      <c r="AV642" s="9" t="e">
        <f aca="false" ca="false" dt2D="false" dtr="false" t="normal">+Q642-'[5]Приложение №1'!$Q656</f>
        <v>#REF!</v>
      </c>
      <c r="AW642" s="113" t="n">
        <f aca="false" ca="true" dt2D="false" dtr="false" t="normal">SUBTOTAL(9, AX642:BL642)</f>
        <v>2884040.2290000003</v>
      </c>
      <c r="AX642" s="106" t="n"/>
      <c r="AY642" s="106" t="n"/>
      <c r="AZ642" s="106" t="n"/>
      <c r="BA642" s="106" t="n">
        <v>2822321.7680994</v>
      </c>
      <c r="BB642" s="106" t="n"/>
      <c r="BC642" s="106" t="n"/>
      <c r="BD642" s="106" t="n"/>
      <c r="BE642" s="106" t="n">
        <v>0</v>
      </c>
      <c r="BF642" s="106" t="n">
        <v>0</v>
      </c>
      <c r="BG642" s="106" t="n">
        <v>0</v>
      </c>
      <c r="BH642" s="106" t="n">
        <v>0</v>
      </c>
      <c r="BI642" s="106" t="n">
        <v>0</v>
      </c>
      <c r="BJ642" s="106" t="n"/>
      <c r="BK642" s="114" t="n"/>
      <c r="BL642" s="115" t="n">
        <v>61718.4609006</v>
      </c>
      <c r="BM642" s="113" t="n">
        <f aca="false" ca="true" dt2D="false" dtr="false" t="normal">SUBTOTAL(9, BN642:CB642)</f>
        <v>2884040.2290000003</v>
      </c>
      <c r="BN642" s="106" t="n"/>
      <c r="BO642" s="106" t="n"/>
      <c r="BP642" s="106" t="n"/>
      <c r="BQ642" s="106" t="n">
        <v>2822321.7680994</v>
      </c>
      <c r="BR642" s="106" t="n"/>
      <c r="BS642" s="106" t="n"/>
      <c r="BT642" s="106" t="n"/>
      <c r="BU642" s="106" t="n">
        <v>0</v>
      </c>
      <c r="BV642" s="106" t="n">
        <v>0</v>
      </c>
      <c r="BW642" s="106" t="n">
        <v>0</v>
      </c>
      <c r="BX642" s="106" t="n">
        <v>0</v>
      </c>
      <c r="BY642" s="106" t="n">
        <v>0</v>
      </c>
      <c r="BZ642" s="106" t="n"/>
      <c r="CA642" s="114" t="n"/>
      <c r="CB642" s="115" t="n">
        <v>61718.4609006</v>
      </c>
      <c r="CD642" s="116" t="e">
        <f aca="false" ca="false" dt2D="false" dtr="false" t="normal">+#REF!+1</f>
        <v>#REF!</v>
      </c>
      <c r="CE642" s="117" t="e">
        <f aca="false" ca="false" dt2D="false" dtr="false" t="normal">+#REF!+1</f>
        <v>#REF!</v>
      </c>
      <c r="CF642" s="104" t="s">
        <v>111</v>
      </c>
      <c r="CG642" s="117" t="s">
        <v>166</v>
      </c>
      <c r="CH642" s="108" t="n">
        <f aca="false" ca="true" dt2D="false" dtr="false" t="normal">SUBTOTAL(9, CI642:CW642)</f>
        <v>2870500.3</v>
      </c>
      <c r="CI642" s="106" t="n"/>
      <c r="CJ642" s="114" t="n"/>
      <c r="CK642" s="114" t="n"/>
      <c r="CL642" s="114" t="n">
        <v>2808781.84</v>
      </c>
      <c r="CM642" s="114" t="n"/>
      <c r="CN642" s="114" t="n"/>
      <c r="CO642" s="106" t="n"/>
      <c r="CP642" s="114" t="n">
        <v>0</v>
      </c>
      <c r="CQ642" s="114" t="n">
        <v>0</v>
      </c>
      <c r="CR642" s="114" t="n">
        <v>0</v>
      </c>
      <c r="CS642" s="114" t="n">
        <v>0</v>
      </c>
      <c r="CT642" s="114" t="n">
        <v>0</v>
      </c>
      <c r="CU642" s="114" t="n"/>
      <c r="CV642" s="114" t="n"/>
      <c r="CW642" s="115" t="n">
        <v>61718.46</v>
      </c>
      <c r="CX642" s="3" t="n">
        <f aca="false" ca="false" dt2D="false" dtr="false" t="normal">+N642-CH642</f>
        <v>-61718.45999999996</v>
      </c>
      <c r="CZ642" s="117" t="s">
        <v>166</v>
      </c>
      <c r="DA642" s="113" t="n">
        <f aca="false" ca="true" dt2D="false" dtr="false" t="normal">SUBTOTAL(9, DB642:DP642)</f>
        <v>2808781.84</v>
      </c>
      <c r="DB642" s="106" t="n"/>
      <c r="DC642" s="114" t="n"/>
      <c r="DD642" s="114" t="n"/>
      <c r="DE642" s="114" t="n">
        <v>2808781.84</v>
      </c>
      <c r="DF642" s="114" t="n"/>
      <c r="DG642" s="114" t="n"/>
      <c r="DH642" s="106" t="n"/>
      <c r="DI642" s="114" t="n">
        <v>0</v>
      </c>
      <c r="DJ642" s="114" t="n">
        <v>0</v>
      </c>
      <c r="DK642" s="114" t="n">
        <v>0</v>
      </c>
      <c r="DL642" s="114" t="n">
        <v>0</v>
      </c>
      <c r="DM642" s="114" t="n">
        <v>0</v>
      </c>
      <c r="DN642" s="114" t="n"/>
      <c r="DO642" s="114" t="n"/>
      <c r="DP642" s="240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</row>
    <row customFormat="true" hidden="false" ht="15" outlineLevel="0" r="643" s="1">
      <c r="A643" s="183" t="n">
        <f aca="false" ca="false" dt2D="false" dtr="false" t="normal">+A642+1</f>
        <v>621</v>
      </c>
      <c r="B643" s="117" t="n">
        <f aca="false" ca="false" dt2D="false" dtr="false" t="normal">+B642+1</f>
        <v>161</v>
      </c>
      <c r="C643" s="117" t="s">
        <v>111</v>
      </c>
      <c r="D643" s="117" t="s">
        <v>483</v>
      </c>
      <c r="E643" s="201" t="n">
        <v>1981</v>
      </c>
      <c r="F643" s="201" t="n">
        <v>2013</v>
      </c>
      <c r="G643" s="201" t="s">
        <v>68</v>
      </c>
      <c r="H643" s="201" t="n">
        <v>5</v>
      </c>
      <c r="I643" s="201" t="n">
        <v>4</v>
      </c>
      <c r="J643" s="114" t="n">
        <v>4887.3</v>
      </c>
      <c r="K643" s="114" t="n">
        <v>4312.9</v>
      </c>
      <c r="L643" s="114" t="n">
        <v>0</v>
      </c>
      <c r="M643" s="202" t="n">
        <v>194</v>
      </c>
      <c r="N643" s="108" t="n">
        <f aca="false" ca="false" dt2D="false" dtr="false" t="normal">SUM(P643:T643)</f>
        <v>43526357.93</v>
      </c>
      <c r="O643" s="114" t="n"/>
      <c r="P643" s="113" t="n">
        <v>10511214.22</v>
      </c>
      <c r="Q643" s="114" t="n"/>
      <c r="R643" s="114" t="n"/>
      <c r="S643" s="113" t="n">
        <v>12800571.5</v>
      </c>
      <c r="T643" s="113" t="n">
        <v>20214572.21</v>
      </c>
      <c r="U643" s="114" t="n">
        <v>16925.2601604879</v>
      </c>
      <c r="V643" s="114" t="n">
        <v>1306.283020064</v>
      </c>
      <c r="W643" s="110" t="n">
        <v>2024</v>
      </c>
      <c r="X643" s="9" t="e">
        <f aca="false" ca="false" dt2D="false" dtr="false" t="normal">+#REF!-'[9]Приложение №1'!$P215</f>
        <v>#REF!</v>
      </c>
      <c r="Z643" s="113" t="n">
        <f aca="false" ca="false" dt2D="false" dtr="false" t="normal">SUM(AA643:AO643)</f>
        <v>78714458.09999998</v>
      </c>
      <c r="AA643" s="106" t="n">
        <v>7207971.25848618</v>
      </c>
      <c r="AB643" s="106" t="n">
        <v>4168566.8282412</v>
      </c>
      <c r="AC643" s="106" t="n">
        <v>4406483.79083262</v>
      </c>
      <c r="AD643" s="106" t="n">
        <v>3359981.348031</v>
      </c>
      <c r="AE643" s="106" t="n">
        <v>1342243.77142212</v>
      </c>
      <c r="AF643" s="106" t="n"/>
      <c r="AG643" s="106" t="n">
        <v>358162.193235</v>
      </c>
      <c r="AH643" s="106" t="n">
        <v>0</v>
      </c>
      <c r="AI643" s="106" t="n">
        <v>12831286.2739362</v>
      </c>
      <c r="AJ643" s="106" t="n">
        <v>0</v>
      </c>
      <c r="AK643" s="106" t="n">
        <v>24912015.0846571</v>
      </c>
      <c r="AL643" s="106" t="n">
        <v>9797576.0184225</v>
      </c>
      <c r="AM643" s="106" t="n">
        <v>8047601.1061</v>
      </c>
      <c r="AN643" s="114" t="n">
        <v>787144.581</v>
      </c>
      <c r="AO643" s="115" t="n">
        <v>1495425.84563606</v>
      </c>
      <c r="AP643" s="112" t="n">
        <f aca="false" ca="false" dt2D="false" dtr="false" t="normal">+N643-'Приложение №2'!E643</f>
        <v>0</v>
      </c>
      <c r="AQ643" s="9" t="n">
        <f aca="false" ca="false" dt2D="false" dtr="false" t="normal">2437871.1-R420</f>
        <v>2437871.1</v>
      </c>
      <c r="AR643" s="3" t="n">
        <f aca="false" ca="false" dt2D="false" dtr="false" t="normal">+(K643*10.5+L643*21)*12*0.85</f>
        <v>461911.5899999999</v>
      </c>
      <c r="AS643" s="3" t="n">
        <f aca="false" ca="false" dt2D="false" dtr="false" t="normal">+(K643*10.5+L643*21)*12*30-S420</f>
        <v>15613226.539999995</v>
      </c>
      <c r="AT643" s="9" t="n">
        <f aca="false" ca="false" dt2D="false" dtr="false" t="normal">+S643-AS643</f>
        <v>-2812655.0399999954</v>
      </c>
      <c r="AU643" s="9" t="e">
        <f aca="false" ca="false" dt2D="false" dtr="false" t="normal">+P643-'[5]Приложение №1'!$P589</f>
        <v>#REF!</v>
      </c>
      <c r="AV643" s="9" t="e">
        <f aca="false" ca="false" dt2D="false" dtr="false" t="normal">+Q643-'[5]Приложение №1'!$Q589</f>
        <v>#REF!</v>
      </c>
      <c r="AW643" s="186" t="n">
        <f aca="false" ca="true" dt2D="false" dtr="false" t="normal">SUBTOTAL(9, AX643:BL643)</f>
        <v>72996954.54616839</v>
      </c>
      <c r="AX643" s="106" t="n">
        <v>13252960.9734824</v>
      </c>
      <c r="AY643" s="106" t="n">
        <v>5463949.45</v>
      </c>
      <c r="AZ643" s="106" t="n">
        <v>5779912.43466516</v>
      </c>
      <c r="BA643" s="106" t="n">
        <v>4539383.70096582</v>
      </c>
      <c r="BB643" s="106" t="n">
        <v>1746367.91182826</v>
      </c>
      <c r="BC643" s="106" t="n"/>
      <c r="BD643" s="106" t="n">
        <v>358162.193235</v>
      </c>
      <c r="BE643" s="106" t="n">
        <v>0</v>
      </c>
      <c r="BF643" s="106" t="n">
        <v>24547082.8897782</v>
      </c>
      <c r="BG643" s="106" t="n">
        <v>0</v>
      </c>
      <c r="BH643" s="106" t="n"/>
      <c r="BI643" s="106" t="n">
        <v>13819375.8913131</v>
      </c>
      <c r="BJ643" s="106" t="n">
        <v>1237123.47525596</v>
      </c>
      <c r="BK643" s="114" t="n">
        <v>730811.924586341</v>
      </c>
      <c r="BL643" s="115" t="n">
        <v>1521823.70105814</v>
      </c>
      <c r="BM643" s="186" t="n">
        <f aca="false" ca="true" dt2D="false" dtr="false" t="normal">SUBTOTAL(9, BN643:CB643)</f>
        <v>72996954.54616839</v>
      </c>
      <c r="BN643" s="106" t="n">
        <v>13252960.9734824</v>
      </c>
      <c r="BO643" s="106" t="n">
        <v>5463949.45</v>
      </c>
      <c r="BP643" s="106" t="n">
        <v>5779912.43466516</v>
      </c>
      <c r="BQ643" s="106" t="n">
        <v>4539383.70096582</v>
      </c>
      <c r="BR643" s="106" t="n">
        <v>1746367.91182826</v>
      </c>
      <c r="BS643" s="106" t="n"/>
      <c r="BT643" s="106" t="n">
        <v>358162.193235</v>
      </c>
      <c r="BU643" s="106" t="n">
        <v>0</v>
      </c>
      <c r="BV643" s="106" t="n">
        <v>24547082.8897782</v>
      </c>
      <c r="BW643" s="106" t="n">
        <v>0</v>
      </c>
      <c r="BX643" s="106" t="n"/>
      <c r="BY643" s="106" t="n">
        <v>13819375.8913131</v>
      </c>
      <c r="BZ643" s="106" t="n">
        <v>1237123.47525596</v>
      </c>
      <c r="CA643" s="114" t="n">
        <v>730811.924586341</v>
      </c>
      <c r="CB643" s="115" t="n">
        <v>1521823.70105814</v>
      </c>
      <c r="CD643" s="116" t="e">
        <f aca="false" ca="false" dt2D="false" dtr="false" t="normal">+CD642+1</f>
        <v>#REF!</v>
      </c>
      <c r="CE643" s="117" t="e">
        <f aca="false" ca="false" dt2D="false" dtr="false" t="normal">+CE642+1</f>
        <v>#REF!</v>
      </c>
      <c r="CF643" s="104" t="s">
        <v>111</v>
      </c>
      <c r="CG643" s="117" t="s">
        <v>483</v>
      </c>
      <c r="CH643" s="108" t="n">
        <f aca="false" ca="true" dt2D="false" dtr="false" t="normal">SUBTOTAL(9, CI643:CW643)</f>
        <v>45048181.63</v>
      </c>
      <c r="CI643" s="106" t="n">
        <v>9534404.98</v>
      </c>
      <c r="CJ643" s="114" t="n">
        <v>5463949.45</v>
      </c>
      <c r="CK643" s="114" t="n"/>
      <c r="CL643" s="114" t="n">
        <v>3729173.38</v>
      </c>
      <c r="CM643" s="243" t="n">
        <v>2021918.21</v>
      </c>
      <c r="CN643" s="114" t="n"/>
      <c r="CO643" s="106" t="n"/>
      <c r="CP643" s="114" t="n">
        <v>0</v>
      </c>
      <c r="CQ643" s="114" t="n">
        <v>7030569.53</v>
      </c>
      <c r="CR643" s="114" t="n">
        <v>0</v>
      </c>
      <c r="CS643" s="114" t="n">
        <v>14156807.72</v>
      </c>
      <c r="CT643" s="114" t="n">
        <v>1589534.66</v>
      </c>
      <c r="CU643" s="114" t="n"/>
      <c r="CV643" s="114" t="n"/>
      <c r="CW643" s="115" t="n">
        <v>1521823.7</v>
      </c>
      <c r="CX643" s="3" t="n">
        <f aca="false" ca="false" dt2D="false" dtr="false" t="normal">+N643-CH643</f>
        <v>-1521823.700000003</v>
      </c>
      <c r="CZ643" s="117" t="s">
        <v>483</v>
      </c>
      <c r="DA643" s="113" t="n">
        <f aca="false" ca="true" dt2D="false" dtr="false" t="normal">SUBTOTAL(9, DB643:DP643)</f>
        <v>43526357.93</v>
      </c>
      <c r="DB643" s="106" t="n">
        <v>9534404.98</v>
      </c>
      <c r="DC643" s="114" t="n">
        <v>5463949.45</v>
      </c>
      <c r="DD643" s="114" t="n"/>
      <c r="DE643" s="114" t="n">
        <v>3729173.38</v>
      </c>
      <c r="DF643" s="243" t="n">
        <v>2021918.21</v>
      </c>
      <c r="DG643" s="114" t="n"/>
      <c r="DH643" s="106" t="n"/>
      <c r="DI643" s="114" t="n">
        <v>0</v>
      </c>
      <c r="DJ643" s="114" t="n">
        <v>7030569.53</v>
      </c>
      <c r="DK643" s="114" t="n">
        <v>0</v>
      </c>
      <c r="DL643" s="114" t="n">
        <v>14156807.72</v>
      </c>
      <c r="DM643" s="114" t="n">
        <v>1589534.66</v>
      </c>
      <c r="DN643" s="241" t="n"/>
      <c r="DO643" s="241" t="n"/>
      <c r="DP643" s="240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</row>
    <row customFormat="true" hidden="false" ht="15" outlineLevel="0" r="644" s="1">
      <c r="A644" s="183" t="n">
        <f aca="false" ca="false" dt2D="false" dtr="false" t="normal">+A643+1</f>
        <v>622</v>
      </c>
      <c r="B644" s="117" t="n">
        <f aca="false" ca="false" dt2D="false" dtr="false" t="normal">+B643+1</f>
        <v>162</v>
      </c>
      <c r="C644" s="117" t="s">
        <v>111</v>
      </c>
      <c r="D644" s="117" t="s">
        <v>368</v>
      </c>
      <c r="E644" s="201" t="n">
        <v>1964</v>
      </c>
      <c r="F644" s="201" t="n">
        <v>2009</v>
      </c>
      <c r="G644" s="201" t="s">
        <v>68</v>
      </c>
      <c r="H644" s="201" t="n">
        <v>4</v>
      </c>
      <c r="I644" s="201" t="n">
        <v>2</v>
      </c>
      <c r="J644" s="114" t="n">
        <v>1462.3</v>
      </c>
      <c r="K644" s="114" t="n">
        <v>1198.6</v>
      </c>
      <c r="L644" s="114" t="n">
        <v>42.9</v>
      </c>
      <c r="M644" s="202" t="n">
        <v>60</v>
      </c>
      <c r="N644" s="108" t="n">
        <f aca="false" ca="false" dt2D="false" dtr="false" t="normal">SUM(P644:T644)</f>
        <v>15728882.73</v>
      </c>
      <c r="O644" s="114" t="n"/>
      <c r="P644" s="113" t="n">
        <v>5695931.12</v>
      </c>
      <c r="Q644" s="114" t="n"/>
      <c r="R644" s="113" t="n">
        <v>249875.83</v>
      </c>
      <c r="S644" s="113" t="n">
        <v>280858.79</v>
      </c>
      <c r="T644" s="113" t="n">
        <v>9502216.99</v>
      </c>
      <c r="U644" s="114" t="n">
        <v>14439.0038043993</v>
      </c>
      <c r="V644" s="114" t="n">
        <v>1311.283020064</v>
      </c>
      <c r="W644" s="110" t="n">
        <v>2024</v>
      </c>
      <c r="X644" s="9" t="e">
        <f aca="false" ca="false" dt2D="false" dtr="false" t="normal">+#REF!-'[9]Приложение №1'!$P1087</f>
        <v>#REF!</v>
      </c>
      <c r="Z644" s="113" t="n">
        <f aca="false" ca="false" dt2D="false" dtr="false" t="normal">SUM(AA644:AO644)</f>
        <v>20418803.975269284</v>
      </c>
      <c r="AA644" s="106" t="n">
        <v>3233669.800746</v>
      </c>
      <c r="AB644" s="106" t="n">
        <v>1144519.81959</v>
      </c>
      <c r="AC644" s="106" t="n">
        <v>1220789.98080328</v>
      </c>
      <c r="AD644" s="106" t="n">
        <v>768385.935828</v>
      </c>
      <c r="AE644" s="106" t="n">
        <v>553182.058758</v>
      </c>
      <c r="AF644" s="106" t="n"/>
      <c r="AG644" s="106" t="n">
        <v>117081.436122</v>
      </c>
      <c r="AH644" s="106" t="n">
        <v>0</v>
      </c>
      <c r="AI644" s="106" t="n">
        <v>5981715.037158</v>
      </c>
      <c r="AJ644" s="106" t="n">
        <v>0</v>
      </c>
      <c r="AK644" s="106" t="n">
        <v>3107129.539962</v>
      </c>
      <c r="AL644" s="106" t="n">
        <v>3344141.25880492</v>
      </c>
      <c r="AM644" s="106" t="n">
        <v>451116.49</v>
      </c>
      <c r="AN644" s="106" t="n">
        <v>71289.7048958546</v>
      </c>
      <c r="AO644" s="115" t="n">
        <v>425782.912601229</v>
      </c>
      <c r="AP644" s="112" t="n">
        <f aca="false" ca="false" dt2D="false" dtr="false" t="normal">+N644-'Приложение №2'!E644</f>
        <v>0</v>
      </c>
      <c r="AQ644" s="9" t="n">
        <f aca="false" ca="false" dt2D="false" dtr="false" t="normal">686372.31-86252.57-R286</f>
        <v>-137559.24</v>
      </c>
      <c r="AR644" s="3" t="n">
        <f aca="false" ca="false" dt2D="false" dtr="false" t="normal">+(K644*10.5+L644*21)*12*0.85</f>
        <v>137559.24</v>
      </c>
      <c r="AS644" s="3" t="n">
        <f aca="false" ca="false" dt2D="false" dtr="false" t="normal">+(K644*10.5+L644*21)*12*30-S286</f>
        <v>518312.2000000002</v>
      </c>
      <c r="AT644" s="9" t="n">
        <f aca="false" ca="false" dt2D="false" dtr="false" t="normal">+S644-AS644</f>
        <v>-237453.4100000002</v>
      </c>
      <c r="AU644" s="9" t="e">
        <f aca="false" ca="false" dt2D="false" dtr="false" t="normal">+P644-'[5]Приложение №1'!$P594</f>
        <v>#REF!</v>
      </c>
      <c r="AV644" s="9" t="e">
        <f aca="false" ca="false" dt2D="false" dtr="false" t="normal">+Q644-'[5]Приложение №1'!$Q594</f>
        <v>#REF!</v>
      </c>
      <c r="AW644" s="186" t="n">
        <f aca="false" ca="true" dt2D="false" dtr="false" t="normal">SUBTOTAL(9, AX644:BL644)</f>
        <v>17306589.959953</v>
      </c>
      <c r="AX644" s="106" t="n"/>
      <c r="AY644" s="106" t="n">
        <v>1549048.071039</v>
      </c>
      <c r="AZ644" s="106" t="n"/>
      <c r="BA644" s="106" t="n">
        <v>1294043.959488</v>
      </c>
      <c r="BB644" s="106" t="n"/>
      <c r="BC644" s="106" t="n"/>
      <c r="BD644" s="106" t="n"/>
      <c r="BE644" s="106" t="n">
        <v>0</v>
      </c>
      <c r="BF644" s="106" t="n"/>
      <c r="BG644" s="106" t="n">
        <v>0</v>
      </c>
      <c r="BH644" s="106" t="n">
        <v>9490291.099737</v>
      </c>
      <c r="BI644" s="106" t="n">
        <v>3959521.14271753</v>
      </c>
      <c r="BJ644" s="106" t="n">
        <v>390060.3477</v>
      </c>
      <c r="BK644" s="106" t="n">
        <v>37971.5277</v>
      </c>
      <c r="BL644" s="115" t="n">
        <v>585653.811571472</v>
      </c>
      <c r="BM644" s="186" t="n">
        <f aca="false" ca="true" dt2D="false" dtr="false" t="normal">SUBTOTAL(9, BN644:CB644)</f>
        <v>17306589.959953</v>
      </c>
      <c r="BN644" s="106" t="n"/>
      <c r="BO644" s="106" t="n">
        <v>1549048.071039</v>
      </c>
      <c r="BP644" s="106" t="n"/>
      <c r="BQ644" s="106" t="n">
        <v>1294043.959488</v>
      </c>
      <c r="BR644" s="106" t="n"/>
      <c r="BS644" s="106" t="n"/>
      <c r="BT644" s="106" t="n"/>
      <c r="BU644" s="106" t="n">
        <v>0</v>
      </c>
      <c r="BV644" s="106" t="n"/>
      <c r="BW644" s="106" t="n">
        <v>0</v>
      </c>
      <c r="BX644" s="106" t="n">
        <v>9490291.099737</v>
      </c>
      <c r="BY644" s="106" t="n">
        <v>3959521.14271753</v>
      </c>
      <c r="BZ644" s="106" t="n">
        <v>390060.3477</v>
      </c>
      <c r="CA644" s="106" t="n">
        <v>37971.5277</v>
      </c>
      <c r="CB644" s="115" t="n">
        <v>585653.811571472</v>
      </c>
      <c r="CD644" s="116" t="e">
        <f aca="false" ca="false" dt2D="false" dtr="false" t="normal">+CD643+1</f>
        <v>#REF!</v>
      </c>
      <c r="CE644" s="117" t="e">
        <f aca="false" ca="false" dt2D="false" dtr="false" t="normal">+CE643+1</f>
        <v>#REF!</v>
      </c>
      <c r="CF644" s="104" t="s">
        <v>111</v>
      </c>
      <c r="CG644" s="117" t="s">
        <v>368</v>
      </c>
      <c r="CH644" s="108" t="n">
        <f aca="false" ca="true" dt2D="false" dtr="false" t="normal">SUBTOTAL(9, CI644:CW644)</f>
        <v>16314536.540000001</v>
      </c>
      <c r="CI644" s="106" t="n"/>
      <c r="CJ644" s="243" t="n">
        <v>764794.96</v>
      </c>
      <c r="CK644" s="114" t="n">
        <v>582033.92</v>
      </c>
      <c r="CL644" s="114" t="n">
        <v>1294043.96</v>
      </c>
      <c r="CM644" s="114" t="n"/>
      <c r="CN644" s="114" t="n"/>
      <c r="CO644" s="106" t="n"/>
      <c r="CP644" s="114" t="n">
        <v>0</v>
      </c>
      <c r="CQ644" s="114" t="n"/>
      <c r="CR644" s="114" t="n">
        <v>0</v>
      </c>
      <c r="CS644" s="243" t="n">
        <v>9128488.75</v>
      </c>
      <c r="CT644" s="114" t="n">
        <v>3959521.14</v>
      </c>
      <c r="CU644" s="114" t="n"/>
      <c r="CV644" s="114" t="n"/>
      <c r="CW644" s="115" t="n">
        <v>585653.81</v>
      </c>
      <c r="CX644" s="3" t="n">
        <f aca="false" ca="false" dt2D="false" dtr="false" t="normal">+N644-CH644</f>
        <v>-585653.8100000005</v>
      </c>
      <c r="CZ644" s="117" t="s">
        <v>368</v>
      </c>
      <c r="DA644" s="113" t="n">
        <f aca="false" ca="true" dt2D="false" dtr="false" t="normal">SUBTOTAL(9, DB644:DP644)</f>
        <v>15728882.73</v>
      </c>
      <c r="DB644" s="106" t="n"/>
      <c r="DC644" s="243" t="n">
        <v>764794.96</v>
      </c>
      <c r="DD644" s="114" t="n">
        <v>582033.92</v>
      </c>
      <c r="DE644" s="114" t="n">
        <v>1294043.96</v>
      </c>
      <c r="DF644" s="114" t="n"/>
      <c r="DG644" s="114" t="n"/>
      <c r="DH644" s="106" t="n"/>
      <c r="DI644" s="114" t="n">
        <v>0</v>
      </c>
      <c r="DJ644" s="114" t="n"/>
      <c r="DK644" s="114" t="n">
        <v>0</v>
      </c>
      <c r="DL644" s="243" t="n">
        <v>9128488.75</v>
      </c>
      <c r="DM644" s="114" t="n">
        <v>3959521.14</v>
      </c>
      <c r="DN644" s="241" t="n"/>
      <c r="DO644" s="241" t="n"/>
      <c r="DP644" s="240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</row>
    <row customFormat="true" hidden="false" ht="15" outlineLevel="0" r="645" s="1">
      <c r="A645" s="183" t="n">
        <f aca="false" ca="false" dt2D="false" dtr="false" t="normal">+A644+1</f>
        <v>623</v>
      </c>
      <c r="B645" s="117" t="n">
        <f aca="false" ca="false" dt2D="false" dtr="false" t="normal">+B644+1</f>
        <v>163</v>
      </c>
      <c r="C645" s="117" t="s">
        <v>111</v>
      </c>
      <c r="D645" s="117" t="s">
        <v>167</v>
      </c>
      <c r="E645" s="201" t="n">
        <v>1963</v>
      </c>
      <c r="F645" s="201" t="n">
        <v>2005</v>
      </c>
      <c r="G645" s="201" t="s">
        <v>68</v>
      </c>
      <c r="H645" s="201" t="n">
        <v>4</v>
      </c>
      <c r="I645" s="201" t="n">
        <v>2</v>
      </c>
      <c r="J645" s="114" t="n">
        <v>1240.4</v>
      </c>
      <c r="K645" s="114" t="n">
        <v>1075.8</v>
      </c>
      <c r="L645" s="114" t="n">
        <v>111.9</v>
      </c>
      <c r="M645" s="202" t="n">
        <v>70</v>
      </c>
      <c r="N645" s="108" t="n">
        <f aca="false" ca="false" dt2D="false" dtr="false" t="normal">SUM(P645:T645)</f>
        <v>3439535.99</v>
      </c>
      <c r="O645" s="114" t="n"/>
      <c r="P645" s="114" t="n"/>
      <c r="Q645" s="114" t="n"/>
      <c r="R645" s="113" t="n">
        <v>554474.52</v>
      </c>
      <c r="S645" s="113" t="n">
        <v>2885061.47</v>
      </c>
      <c r="T645" s="114" t="n">
        <v>0</v>
      </c>
      <c r="U645" s="114" t="n">
        <v>3545.46087430325</v>
      </c>
      <c r="V645" s="114" t="n">
        <v>3545.46087430325</v>
      </c>
      <c r="W645" s="110" t="n">
        <v>2024</v>
      </c>
      <c r="X645" s="9" t="e">
        <f aca="false" ca="false" dt2D="false" dtr="false" t="normal">+#REF!-'[9]Приложение №1'!$P1641</f>
        <v>#REF!</v>
      </c>
      <c r="Z645" s="113" t="n">
        <f aca="false" ca="false" dt2D="false" dtr="false" t="normal">SUM(AA645:AO645)</f>
        <v>6371609.474470761</v>
      </c>
      <c r="AA645" s="106" t="n">
        <v>2696472.90367728</v>
      </c>
      <c r="AB645" s="106" t="n">
        <v>960864.1491372</v>
      </c>
      <c r="AC645" s="106" t="n"/>
      <c r="AD645" s="106" t="n">
        <v>628498.13628336</v>
      </c>
      <c r="AE645" s="106" t="n">
        <v>384538.10584644</v>
      </c>
      <c r="AF645" s="106" t="n"/>
      <c r="AG645" s="106" t="n">
        <v>103471.04618424</v>
      </c>
      <c r="AH645" s="106" t="n">
        <v>0</v>
      </c>
      <c r="AI645" s="106" t="n"/>
      <c r="AJ645" s="106" t="n">
        <v>0</v>
      </c>
      <c r="AK645" s="106" t="n">
        <v>0</v>
      </c>
      <c r="AL645" s="106" t="n">
        <v>0</v>
      </c>
      <c r="AM645" s="106" t="n">
        <v>1240567.6337</v>
      </c>
      <c r="AN645" s="114" t="n">
        <v>123050.6147</v>
      </c>
      <c r="AO645" s="115" t="n">
        <v>234146.88494224</v>
      </c>
      <c r="AP645" s="112" t="n">
        <f aca="false" ca="false" dt2D="false" dtr="false" t="normal">+N645-'Приложение №2'!E645</f>
        <v>0</v>
      </c>
      <c r="AQ645" s="1" t="n">
        <v>669629.45</v>
      </c>
      <c r="AR645" s="3" t="n">
        <f aca="false" ca="false" dt2D="false" dtr="false" t="normal">+(K645*10+L645*20)*12*0.85</f>
        <v>132559.19999999998</v>
      </c>
      <c r="AS645" s="3" t="n">
        <f aca="false" ca="false" dt2D="false" dtr="false" t="normal">+(K645*10+L645*20)*12*30-1442997.24</f>
        <v>3235562.76</v>
      </c>
      <c r="AT645" s="9" t="n">
        <f aca="false" ca="false" dt2D="false" dtr="false" t="normal">+S645-AS645</f>
        <v>-350501.2899999996</v>
      </c>
      <c r="AU645" s="9" t="e">
        <f aca="false" ca="false" dt2D="false" dtr="false" t="normal">+P645-'[5]Приложение №1'!$P297</f>
        <v>#REF!</v>
      </c>
      <c r="AV645" s="9" t="e">
        <f aca="false" ca="false" dt2D="false" dtr="false" t="normal">+Q645-'[5]Приложение №1'!$Q297</f>
        <v>#REF!</v>
      </c>
      <c r="AW645" s="113" t="n">
        <f aca="false" ca="true" dt2D="false" dtr="false" t="normal">SUBTOTAL(9, AX645:BL645)</f>
        <v>4210943.88040997</v>
      </c>
      <c r="AX645" s="106" t="n">
        <v>3372340.00061022</v>
      </c>
      <c r="AY645" s="106" t="n"/>
      <c r="AZ645" s="106" t="n"/>
      <c r="BA645" s="106" t="n"/>
      <c r="BC645" s="106" t="n"/>
      <c r="BD645" s="106" t="n"/>
      <c r="BE645" s="106" t="n">
        <v>0</v>
      </c>
      <c r="BF645" s="106" t="n"/>
      <c r="BG645" s="106" t="n">
        <v>0</v>
      </c>
      <c r="BH645" s="106" t="n">
        <v>0</v>
      </c>
      <c r="BI645" s="106" t="n">
        <v>0</v>
      </c>
      <c r="BJ645" s="106" t="n">
        <v>513326.799</v>
      </c>
      <c r="BK645" s="114" t="n">
        <v>73858.7182</v>
      </c>
      <c r="BL645" s="115" t="n">
        <v>251418.36259975</v>
      </c>
      <c r="BM645" s="113" t="n">
        <f aca="false" ca="true" dt2D="false" dtr="false" t="normal">SUBTOTAL(9, BN645:CB645)</f>
        <v>4210943.88040997</v>
      </c>
      <c r="BN645" s="106" t="n">
        <v>3372340.00061022</v>
      </c>
      <c r="BO645" s="106" t="n"/>
      <c r="BP645" s="106" t="n"/>
      <c r="BQ645" s="106" t="n"/>
      <c r="BS645" s="106" t="n"/>
      <c r="BT645" s="106" t="n"/>
      <c r="BU645" s="106" t="n">
        <v>0</v>
      </c>
      <c r="BV645" s="106" t="n"/>
      <c r="BW645" s="106" t="n">
        <v>0</v>
      </c>
      <c r="BX645" s="106" t="n">
        <v>0</v>
      </c>
      <c r="BY645" s="106" t="n">
        <v>0</v>
      </c>
      <c r="BZ645" s="106" t="n">
        <v>513326.799</v>
      </c>
      <c r="CA645" s="114" t="n">
        <v>73858.7182</v>
      </c>
      <c r="CB645" s="115" t="n">
        <v>251418.36259975</v>
      </c>
      <c r="CD645" s="116" t="e">
        <f aca="false" ca="false" dt2D="false" dtr="false" t="normal">+CD644+1</f>
        <v>#REF!</v>
      </c>
      <c r="CE645" s="117" t="e">
        <f aca="false" ca="false" dt2D="false" dtr="false" t="normal">+CE644+1</f>
        <v>#REF!</v>
      </c>
      <c r="CF645" s="104" t="s">
        <v>111</v>
      </c>
      <c r="CG645" s="117" t="s">
        <v>167</v>
      </c>
      <c r="CH645" s="108" t="n">
        <f aca="false" ca="true" dt2D="false" dtr="false" t="normal">SUBTOTAL(9, CI645:CW645)</f>
        <v>3439535.99</v>
      </c>
      <c r="CI645" s="106" t="n">
        <v>3439535.99</v>
      </c>
      <c r="CJ645" s="114" t="n"/>
      <c r="CK645" s="114" t="n"/>
      <c r="CL645" s="114" t="n"/>
      <c r="CM645" s="114" t="n"/>
      <c r="CN645" s="114" t="n"/>
      <c r="CO645" s="106" t="n"/>
      <c r="CP645" s="114" t="n">
        <v>0</v>
      </c>
      <c r="CQ645" s="114" t="n"/>
      <c r="CR645" s="114" t="n">
        <v>0</v>
      </c>
      <c r="CS645" s="114" t="n">
        <v>0</v>
      </c>
      <c r="CT645" s="114" t="n">
        <v>0</v>
      </c>
      <c r="CU645" s="114" t="n"/>
      <c r="CV645" s="114" t="n"/>
      <c r="CW645" s="115" t="n"/>
      <c r="CX645" s="3" t="n">
        <f aca="false" ca="false" dt2D="false" dtr="false" t="normal">+N645-CH645</f>
        <v>0</v>
      </c>
      <c r="CZ645" s="117" t="s">
        <v>167</v>
      </c>
      <c r="DA645" s="113" t="n">
        <f aca="false" ca="true" dt2D="false" dtr="false" t="normal">SUBTOTAL(9, DB645:DP645)</f>
        <v>3439535.99</v>
      </c>
      <c r="DB645" s="106" t="n">
        <v>3439535.99</v>
      </c>
      <c r="DC645" s="114" t="n"/>
      <c r="DD645" s="114" t="n"/>
      <c r="DE645" s="114" t="n"/>
      <c r="DF645" s="114" t="n"/>
      <c r="DG645" s="114" t="n"/>
      <c r="DH645" s="106" t="n"/>
      <c r="DI645" s="114" t="n">
        <v>0</v>
      </c>
      <c r="DJ645" s="114" t="n"/>
      <c r="DK645" s="114" t="n">
        <v>0</v>
      </c>
      <c r="DL645" s="114" t="n">
        <v>0</v>
      </c>
      <c r="DM645" s="114" t="n">
        <v>0</v>
      </c>
      <c r="DN645" s="241" t="n"/>
      <c r="DO645" s="241" t="n"/>
      <c r="DP645" s="240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</row>
    <row customFormat="true" hidden="false" ht="15" outlineLevel="0" r="646" s="129">
      <c r="A646" s="183" t="n">
        <f aca="false" ca="false" dt2D="false" dtr="false" t="normal">+A645+1</f>
        <v>624</v>
      </c>
      <c r="B646" s="117" t="n">
        <f aca="false" ca="false" dt2D="false" dtr="false" t="normal">+B645+1</f>
        <v>164</v>
      </c>
      <c r="C646" s="117" t="s">
        <v>184</v>
      </c>
      <c r="D646" s="117" t="s">
        <v>366</v>
      </c>
      <c r="E646" s="201" t="s">
        <v>367</v>
      </c>
      <c r="F646" s="201" t="n"/>
      <c r="G646" s="201" t="s">
        <v>68</v>
      </c>
      <c r="H646" s="201" t="s">
        <v>187</v>
      </c>
      <c r="I646" s="201" t="s">
        <v>105</v>
      </c>
      <c r="J646" s="114" t="n">
        <v>2017.1</v>
      </c>
      <c r="K646" s="114" t="n">
        <v>1568.7</v>
      </c>
      <c r="L646" s="114" t="n">
        <v>241.9</v>
      </c>
      <c r="M646" s="202" t="n">
        <v>64</v>
      </c>
      <c r="N646" s="108" t="n">
        <f aca="false" ca="false" dt2D="false" dtr="false" t="normal">SUM(P646:T646)</f>
        <v>23797576.1</v>
      </c>
      <c r="O646" s="114" t="n">
        <v>0</v>
      </c>
      <c r="P646" s="113" t="n">
        <v>1518674.69</v>
      </c>
      <c r="Q646" s="114" t="n"/>
      <c r="R646" s="113" t="n">
        <v>262508.61</v>
      </c>
      <c r="S646" s="113" t="n">
        <v>1374015.73</v>
      </c>
      <c r="T646" s="113" t="n">
        <v>20642377.07</v>
      </c>
      <c r="U646" s="114" t="n">
        <v>12922.8899657411</v>
      </c>
      <c r="V646" s="114" t="n">
        <v>12922.8899657411</v>
      </c>
      <c r="W646" s="110" t="n">
        <v>2024</v>
      </c>
      <c r="X646" s="129" t="n">
        <v>737547.36</v>
      </c>
      <c r="Y646" s="129" t="n">
        <f aca="false" ca="false" dt2D="false" dtr="false" t="normal">+(K646*9.1+L646*18.19)*12</f>
        <v>224103.97199999998</v>
      </c>
      <c r="AA646" s="130" t="e">
        <f aca="false" ca="false" dt2D="false" dtr="false" t="normal">+N646-'[8]Приложение № 2'!E644</f>
        <v>#REF!</v>
      </c>
      <c r="AD646" s="130" t="e">
        <f aca="false" ca="false" dt2D="false" dtr="false" t="normal">+N646-'[8]Приложение № 2'!E644</f>
        <v>#REF!</v>
      </c>
      <c r="AP646" s="112" t="n">
        <f aca="false" ca="false" dt2D="false" dtr="false" t="normal">+N646-'Приложение №2'!E646</f>
        <v>0</v>
      </c>
      <c r="AQ646" s="132" t="n">
        <f aca="false" ca="false" dt2D="false" dtr="false" t="normal">1030579.29-R284</f>
        <v>-209355</v>
      </c>
      <c r="AR646" s="3" t="n">
        <f aca="false" ca="false" dt2D="false" dtr="false" t="normal">+(K646*10+L646*20)*12*0.85</f>
        <v>209355</v>
      </c>
      <c r="AS646" s="3" t="n">
        <f aca="false" ca="false" dt2D="false" dtr="false" t="normal">+(K646*10+L646*20)*12*30-S284</f>
        <v>1602557.4900000002</v>
      </c>
      <c r="AT646" s="9" t="n">
        <f aca="false" ca="false" dt2D="false" dtr="false" t="normal">+S646-AS646</f>
        <v>-228541.76000000024</v>
      </c>
      <c r="AU646" s="9" t="e">
        <f aca="false" ca="false" dt2D="false" dtr="false" t="normal">+P646-'[5]Приложение №1'!$P659</f>
        <v>#REF!</v>
      </c>
      <c r="AV646" s="9" t="e">
        <f aca="false" ca="false" dt2D="false" dtr="false" t="normal">+Q646-'[5]Приложение №1'!$Q659</f>
        <v>#REF!</v>
      </c>
      <c r="AW646" s="113" t="n">
        <f aca="false" ca="true" dt2D="false" dtr="false" t="normal">SUBTOTAL(9, AX646:BL646)</f>
        <v>23398184.57197092</v>
      </c>
      <c r="AX646" s="106" t="n">
        <v>5140994.19475025</v>
      </c>
      <c r="AY646" s="106" t="n"/>
      <c r="AZ646" s="106" t="n"/>
      <c r="BA646" s="106" t="n"/>
      <c r="BB646" s="106" t="n"/>
      <c r="BC646" s="106" t="n"/>
      <c r="BD646" s="106" t="n">
        <v>197263.76375643</v>
      </c>
      <c r="BE646" s="106" t="n"/>
      <c r="BF646" s="106" t="n"/>
      <c r="BG646" s="106" t="n"/>
      <c r="BH646" s="106" t="n">
        <v>12424389.3950715</v>
      </c>
      <c r="BI646" s="106" t="n">
        <v>4796312.22754118</v>
      </c>
      <c r="BJ646" s="106" t="n"/>
      <c r="BK646" s="114" t="n"/>
      <c r="BL646" s="115" t="n">
        <v>839224.990851562</v>
      </c>
      <c r="BM646" s="113" t="n">
        <f aca="false" ca="true" dt2D="false" dtr="false" t="normal">SUBTOTAL(9, BN646:CB646)</f>
        <v>23398184.57197092</v>
      </c>
      <c r="BN646" s="106" t="n">
        <v>5140994.19475025</v>
      </c>
      <c r="BO646" s="106" t="n"/>
      <c r="BP646" s="106" t="n"/>
      <c r="BQ646" s="106" t="n"/>
      <c r="BR646" s="106" t="n"/>
      <c r="BS646" s="106" t="n"/>
      <c r="BT646" s="106" t="n">
        <v>197263.76375643</v>
      </c>
      <c r="BU646" s="106" t="n"/>
      <c r="BV646" s="106" t="n"/>
      <c r="BW646" s="106" t="n"/>
      <c r="BX646" s="106" t="n">
        <v>12424389.3950715</v>
      </c>
      <c r="BY646" s="106" t="n">
        <v>4796312.22754118</v>
      </c>
      <c r="BZ646" s="106" t="n"/>
      <c r="CA646" s="114" t="n"/>
      <c r="CB646" s="115" t="n">
        <v>839224.990851562</v>
      </c>
      <c r="CD646" s="116" t="e">
        <f aca="false" ca="false" dt2D="false" dtr="false" t="normal">+CD645+1</f>
        <v>#REF!</v>
      </c>
      <c r="CE646" s="117" t="e">
        <f aca="false" ca="false" dt2D="false" dtr="false" t="normal">+CE645+1</f>
        <v>#REF!</v>
      </c>
      <c r="CF646" s="104" t="s">
        <v>111</v>
      </c>
      <c r="CG646" s="117" t="s">
        <v>366</v>
      </c>
      <c r="CH646" s="108" t="n">
        <f aca="false" ca="true" dt2D="false" dtr="false" t="normal">SUBTOTAL(9, CI646:CW646)</f>
        <v>24636801.09</v>
      </c>
      <c r="CI646" s="106" t="n">
        <v>5423838.19</v>
      </c>
      <c r="CJ646" s="114" t="n"/>
      <c r="CK646" s="114" t="n"/>
      <c r="CL646" s="114" t="n"/>
      <c r="CM646" s="114" t="n"/>
      <c r="CN646" s="114" t="n"/>
      <c r="CO646" s="106" t="n"/>
      <c r="CP646" s="114" t="n"/>
      <c r="CQ646" s="114" t="n"/>
      <c r="CR646" s="114" t="n"/>
      <c r="CS646" s="114" t="n">
        <v>13577425.68</v>
      </c>
      <c r="CT646" s="114" t="n">
        <v>4796312.23</v>
      </c>
      <c r="CU646" s="114" t="n"/>
      <c r="CV646" s="114" t="n"/>
      <c r="CW646" s="115" t="n">
        <v>839224.99</v>
      </c>
      <c r="CX646" s="3" t="n">
        <f aca="false" ca="false" dt2D="false" dtr="false" t="normal">+N646-CH646</f>
        <v>-839224.9899999984</v>
      </c>
      <c r="CZ646" s="117" t="s">
        <v>366</v>
      </c>
      <c r="DA646" s="113" t="n">
        <f aca="false" ca="true" dt2D="false" dtr="false" t="normal">SUBTOTAL(9, DB646:DP646)</f>
        <v>23797576.1</v>
      </c>
      <c r="DB646" s="106" t="n">
        <v>5423838.19</v>
      </c>
      <c r="DC646" s="114" t="n"/>
      <c r="DD646" s="114" t="n"/>
      <c r="DE646" s="114" t="n"/>
      <c r="DF646" s="114" t="n"/>
      <c r="DG646" s="114" t="n"/>
      <c r="DH646" s="106" t="n"/>
      <c r="DI646" s="114" t="n"/>
      <c r="DJ646" s="114" t="n"/>
      <c r="DK646" s="114" t="n"/>
      <c r="DL646" s="114" t="n">
        <v>13577425.68</v>
      </c>
      <c r="DM646" s="114" t="n">
        <v>4796312.23</v>
      </c>
      <c r="DN646" s="114" t="n"/>
      <c r="DO646" s="114" t="n"/>
      <c r="DP646" s="240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</row>
    <row customFormat="true" hidden="false" ht="15" outlineLevel="0" r="647" s="1">
      <c r="A647" s="183" t="n">
        <f aca="false" ca="false" dt2D="false" dtr="false" t="normal">+A646+1</f>
        <v>625</v>
      </c>
      <c r="B647" s="117" t="n">
        <f aca="false" ca="false" dt2D="false" dtr="false" t="normal">+B646+1</f>
        <v>165</v>
      </c>
      <c r="C647" s="117" t="s">
        <v>111</v>
      </c>
      <c r="D647" s="117" t="s">
        <v>626</v>
      </c>
      <c r="E647" s="201" t="n">
        <v>1965</v>
      </c>
      <c r="F647" s="201" t="n">
        <v>2013</v>
      </c>
      <c r="G647" s="201" t="s">
        <v>68</v>
      </c>
      <c r="H647" s="201" t="n">
        <v>4</v>
      </c>
      <c r="I647" s="201" t="n">
        <v>4</v>
      </c>
      <c r="J647" s="114" t="n">
        <v>1940.1</v>
      </c>
      <c r="K647" s="114" t="n">
        <v>1500.8</v>
      </c>
      <c r="L647" s="114" t="n">
        <v>439.3</v>
      </c>
      <c r="M647" s="202" t="n">
        <v>74</v>
      </c>
      <c r="N647" s="108" t="n">
        <f aca="false" ca="false" dt2D="false" dtr="false" t="normal">SUM(P647:T647)</f>
        <v>5002408.79</v>
      </c>
      <c r="O647" s="114" t="n"/>
      <c r="P647" s="114" t="n"/>
      <c r="Q647" s="114" t="n"/>
      <c r="R647" s="113" t="n">
        <v>1452074.79</v>
      </c>
      <c r="S647" s="113" t="n">
        <v>3550334</v>
      </c>
      <c r="T647" s="114" t="n">
        <v>0</v>
      </c>
      <c r="U647" s="114" t="n">
        <v>3635.14569076048</v>
      </c>
      <c r="V647" s="114" t="n">
        <v>1307.283020064</v>
      </c>
      <c r="W647" s="110" t="n">
        <v>2024</v>
      </c>
      <c r="X647" s="9" t="e">
        <f aca="false" ca="false" dt2D="false" dtr="false" t="normal">+#REF!-'[9]Приложение №1'!$P1083</f>
        <v>#REF!</v>
      </c>
      <c r="Z647" s="113" t="n">
        <f aca="false" ca="false" dt2D="false" dtr="false" t="normal">SUM(AA647:AO647)</f>
        <v>4885248.5954377195</v>
      </c>
      <c r="AA647" s="106" t="n">
        <v>3936147.93210972</v>
      </c>
      <c r="AB647" s="106" t="n">
        <v>0</v>
      </c>
      <c r="AC647" s="106" t="n">
        <v>0</v>
      </c>
      <c r="AD647" s="106" t="n">
        <v>0</v>
      </c>
      <c r="AE647" s="106" t="n">
        <v>687978.386088</v>
      </c>
      <c r="AF647" s="106" t="n"/>
      <c r="AG647" s="106" t="n">
        <v>0</v>
      </c>
      <c r="AH647" s="106" t="n">
        <v>0</v>
      </c>
      <c r="AI647" s="106" t="n">
        <v>0</v>
      </c>
      <c r="AJ647" s="106" t="n">
        <v>0</v>
      </c>
      <c r="AK647" s="106" t="n">
        <v>0</v>
      </c>
      <c r="AL647" s="106" t="n">
        <v>0</v>
      </c>
      <c r="AM647" s="106" t="n">
        <v>114738.14</v>
      </c>
      <c r="AN647" s="106" t="n">
        <v>45263.86</v>
      </c>
      <c r="AO647" s="115" t="n">
        <v>101120.27724</v>
      </c>
      <c r="AP647" s="112" t="n">
        <f aca="false" ca="false" dt2D="false" dtr="false" t="normal">+N647-'Приложение №2'!E647</f>
        <v>0</v>
      </c>
      <c r="AQ647" s="1" t="n">
        <f aca="false" ca="false" dt2D="false" dtr="false" t="normal">1284501.86-87260.81</f>
        <v>1197241.05</v>
      </c>
      <c r="AR647" s="3" t="n">
        <f aca="false" ca="false" dt2D="false" dtr="false" t="normal">+(K647*10.5+L647*21)*12*0.85</f>
        <v>254833.74000000002</v>
      </c>
      <c r="AS647" s="3" t="n">
        <f aca="false" ca="false" dt2D="false" dtr="false" t="normal">+(K647*10.5+L647*21)*12*30</f>
        <v>8994132</v>
      </c>
      <c r="AT647" s="9" t="n">
        <f aca="false" ca="false" dt2D="false" dtr="false" t="normal">+S647-AS647</f>
        <v>-5443798</v>
      </c>
      <c r="AU647" s="9" t="e">
        <f aca="false" ca="false" dt2D="false" dtr="false" t="normal">+P647-'[5]Приложение №1'!$P590</f>
        <v>#REF!</v>
      </c>
      <c r="AV647" s="9" t="e">
        <f aca="false" ca="false" dt2D="false" dtr="false" t="normal">+Q647-'[5]Приложение №1'!$Q590</f>
        <v>#REF!</v>
      </c>
      <c r="AW647" s="186" t="n">
        <f aca="false" ca="true" dt2D="false" dtr="false" t="normal">SUBTOTAL(9, AX647:BL647)</f>
        <v>5455626.65269334</v>
      </c>
      <c r="AX647" s="106" t="n">
        <v>5002408.78965949</v>
      </c>
      <c r="AY647" s="106" t="n">
        <v>0</v>
      </c>
      <c r="AZ647" s="106" t="n">
        <v>0</v>
      </c>
      <c r="BA647" s="106" t="n">
        <v>0</v>
      </c>
      <c r="BB647" s="106" t="n"/>
      <c r="BC647" s="106" t="n"/>
      <c r="BD647" s="106" t="n">
        <v>181362.345062791</v>
      </c>
      <c r="BE647" s="106" t="n">
        <v>0</v>
      </c>
      <c r="BF647" s="106" t="n">
        <v>0</v>
      </c>
      <c r="BG647" s="106" t="n">
        <v>0</v>
      </c>
      <c r="BH647" s="106" t="n">
        <v>0</v>
      </c>
      <c r="BI647" s="106" t="n">
        <v>0</v>
      </c>
      <c r="BJ647" s="106" t="n">
        <v>114738.14</v>
      </c>
      <c r="BK647" s="106" t="n">
        <v>45263.86</v>
      </c>
      <c r="BL647" s="115" t="n">
        <v>111853.517971058</v>
      </c>
      <c r="BM647" s="186" t="n">
        <f aca="false" ca="true" dt2D="false" dtr="false" t="normal">SUBTOTAL(9, BN647:CB647)</f>
        <v>5455626.65269334</v>
      </c>
      <c r="BN647" s="106" t="n">
        <v>5002408.78965949</v>
      </c>
      <c r="BO647" s="106" t="n">
        <v>0</v>
      </c>
      <c r="BP647" s="106" t="n">
        <v>0</v>
      </c>
      <c r="BQ647" s="106" t="n">
        <v>0</v>
      </c>
      <c r="BR647" s="106" t="n"/>
      <c r="BS647" s="106" t="n"/>
      <c r="BT647" s="106" t="n">
        <v>181362.345062791</v>
      </c>
      <c r="BU647" s="106" t="n">
        <v>0</v>
      </c>
      <c r="BV647" s="106" t="n">
        <v>0</v>
      </c>
      <c r="BW647" s="106" t="n">
        <v>0</v>
      </c>
      <c r="BX647" s="106" t="n">
        <v>0</v>
      </c>
      <c r="BY647" s="106" t="n">
        <v>0</v>
      </c>
      <c r="BZ647" s="106" t="n">
        <v>114738.14</v>
      </c>
      <c r="CA647" s="106" t="n">
        <v>45263.86</v>
      </c>
      <c r="CB647" s="115" t="n">
        <v>111853.517971058</v>
      </c>
      <c r="CD647" s="116" t="e">
        <f aca="false" ca="false" dt2D="false" dtr="false" t="normal">+CD646+1</f>
        <v>#REF!</v>
      </c>
      <c r="CE647" s="117" t="e">
        <f aca="false" ca="false" dt2D="false" dtr="false" t="normal">+CE646+1</f>
        <v>#REF!</v>
      </c>
      <c r="CF647" s="104" t="s">
        <v>111</v>
      </c>
      <c r="CG647" s="117" t="s">
        <v>626</v>
      </c>
      <c r="CH647" s="108" t="n">
        <f aca="false" ca="true" dt2D="false" dtr="false" t="normal">SUBTOTAL(9, CI647:CW647)</f>
        <v>5002408.79</v>
      </c>
      <c r="CI647" s="106" t="n">
        <v>5002408.79</v>
      </c>
      <c r="CJ647" s="114" t="n">
        <v>0</v>
      </c>
      <c r="CK647" s="114" t="n">
        <v>0</v>
      </c>
      <c r="CL647" s="114" t="n">
        <v>0</v>
      </c>
      <c r="CM647" s="114" t="n"/>
      <c r="CN647" s="114" t="n"/>
      <c r="CO647" s="106" t="n"/>
      <c r="CP647" s="114" t="n">
        <v>0</v>
      </c>
      <c r="CQ647" s="114" t="n">
        <v>0</v>
      </c>
      <c r="CR647" s="114" t="n">
        <v>0</v>
      </c>
      <c r="CS647" s="114" t="n">
        <v>0</v>
      </c>
      <c r="CT647" s="114" t="n">
        <v>0</v>
      </c>
      <c r="CU647" s="114" t="n"/>
      <c r="CV647" s="114" t="n"/>
      <c r="CW647" s="115" t="n"/>
      <c r="CX647" s="3" t="n">
        <f aca="false" ca="false" dt2D="false" dtr="false" t="normal">+N647-CH647</f>
        <v>0</v>
      </c>
      <c r="CZ647" s="117" t="s">
        <v>626</v>
      </c>
      <c r="DA647" s="113" t="n">
        <f aca="false" ca="true" dt2D="false" dtr="false" t="normal">SUBTOTAL(9, DB647:DP647)</f>
        <v>5002408.79</v>
      </c>
      <c r="DB647" s="106" t="n">
        <v>5002408.79</v>
      </c>
      <c r="DC647" s="114" t="n">
        <v>0</v>
      </c>
      <c r="DD647" s="114" t="n">
        <v>0</v>
      </c>
      <c r="DE647" s="114" t="n">
        <v>0</v>
      </c>
      <c r="DF647" s="114" t="n"/>
      <c r="DG647" s="114" t="n"/>
      <c r="DH647" s="106" t="n"/>
      <c r="DI647" s="114" t="n">
        <v>0</v>
      </c>
      <c r="DJ647" s="114" t="n">
        <v>0</v>
      </c>
      <c r="DK647" s="114" t="n">
        <v>0</v>
      </c>
      <c r="DL647" s="114" t="n">
        <v>0</v>
      </c>
      <c r="DM647" s="114" t="n">
        <v>0</v>
      </c>
      <c r="DN647" s="241" t="n"/>
      <c r="DO647" s="241" t="n"/>
      <c r="DP647" s="240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</row>
    <row customFormat="true" hidden="false" ht="15" outlineLevel="0" r="648" s="1">
      <c r="A648" s="183" t="n">
        <f aca="false" ca="false" dt2D="false" dtr="false" t="normal">+A647+1</f>
        <v>626</v>
      </c>
      <c r="B648" s="117" t="n">
        <f aca="false" ca="false" dt2D="false" dtr="false" t="normal">+B647+1</f>
        <v>166</v>
      </c>
      <c r="C648" s="117" t="s">
        <v>111</v>
      </c>
      <c r="D648" s="117" t="s">
        <v>627</v>
      </c>
      <c r="E648" s="201" t="n">
        <v>1975</v>
      </c>
      <c r="F648" s="201" t="n">
        <v>2013</v>
      </c>
      <c r="G648" s="201" t="s">
        <v>68</v>
      </c>
      <c r="H648" s="201" t="n">
        <v>4</v>
      </c>
      <c r="I648" s="201" t="n">
        <v>3</v>
      </c>
      <c r="J648" s="114" t="n">
        <v>2508.8</v>
      </c>
      <c r="K648" s="114" t="n">
        <v>1514.2</v>
      </c>
      <c r="L648" s="114" t="n">
        <v>994.6</v>
      </c>
      <c r="M648" s="202" t="n">
        <v>75</v>
      </c>
      <c r="N648" s="108" t="n">
        <f aca="false" ca="false" dt2D="false" dtr="false" t="normal">SUM(P648:T648)</f>
        <v>6493512.7700000005</v>
      </c>
      <c r="O648" s="114" t="n"/>
      <c r="P648" s="114" t="n"/>
      <c r="Q648" s="114" t="n"/>
      <c r="R648" s="113" t="n">
        <v>1959164.11</v>
      </c>
      <c r="S648" s="113" t="n">
        <v>4534348.66</v>
      </c>
      <c r="T648" s="114" t="n">
        <v>0</v>
      </c>
      <c r="U648" s="114" t="n">
        <v>4648.35431379181</v>
      </c>
      <c r="V648" s="114" t="n">
        <v>1308.283020064</v>
      </c>
      <c r="W648" s="110" t="n">
        <v>2024</v>
      </c>
      <c r="X648" s="9" t="e">
        <f aca="false" ca="false" dt2D="false" dtr="false" t="normal">+#REF!-'[9]Приложение №1'!$P1084</f>
        <v>#REF!</v>
      </c>
      <c r="Z648" s="113" t="n">
        <f aca="false" ca="false" dt2D="false" dtr="false" t="normal">SUM(AA648:AO648)</f>
        <v>4819950.5733733</v>
      </c>
      <c r="AA648" s="106" t="n">
        <v>3881391.7568713</v>
      </c>
      <c r="AB648" s="106" t="n">
        <v>0</v>
      </c>
      <c r="AC648" s="106" t="n">
        <v>0</v>
      </c>
      <c r="AD648" s="106" t="n">
        <v>0</v>
      </c>
      <c r="AE648" s="106" t="n">
        <v>673980.276396</v>
      </c>
      <c r="AF648" s="106" t="n"/>
      <c r="AG648" s="106" t="n">
        <v>0</v>
      </c>
      <c r="AH648" s="106" t="n">
        <v>0</v>
      </c>
      <c r="AI648" s="106" t="n">
        <v>0</v>
      </c>
      <c r="AJ648" s="106" t="n">
        <v>0</v>
      </c>
      <c r="AK648" s="106" t="n">
        <v>0</v>
      </c>
      <c r="AL648" s="106" t="n">
        <v>0</v>
      </c>
      <c r="AM648" s="106" t="n">
        <v>119126.96</v>
      </c>
      <c r="AN648" s="106" t="n">
        <v>45834.82</v>
      </c>
      <c r="AO648" s="115" t="n">
        <v>99616.760106</v>
      </c>
      <c r="AP648" s="112" t="n">
        <f aca="false" ca="false" dt2D="false" dtr="false" t="normal">+N648-'Приложение №2'!E648</f>
        <v>0</v>
      </c>
      <c r="AQ648" s="1" t="n">
        <f aca="false" ca="false" dt2D="false" dtr="false" t="normal">1675697.08-91747.11</f>
        <v>1583949.97</v>
      </c>
      <c r="AR648" s="3" t="n">
        <f aca="false" ca="false" dt2D="false" dtr="false" t="normal">+(K648*10.5+L648*21)*12*0.85</f>
        <v>375214.14</v>
      </c>
      <c r="AS648" s="3" t="n">
        <f aca="false" ca="false" dt2D="false" dtr="false" t="normal">+(K648*10.5+L648*21)*12*30</f>
        <v>13242852</v>
      </c>
      <c r="AT648" s="9" t="n">
        <f aca="false" ca="false" dt2D="false" dtr="false" t="normal">+S648-AS648</f>
        <v>-8708503.34</v>
      </c>
      <c r="AU648" s="9" t="e">
        <f aca="false" ca="false" dt2D="false" dtr="false" t="normal">+P648-'[5]Приложение №1'!$P591</f>
        <v>#REF!</v>
      </c>
      <c r="AV648" s="9" t="e">
        <f aca="false" ca="false" dt2D="false" dtr="false" t="normal">+Q648-'[5]Приложение №1'!$Q591</f>
        <v>#REF!</v>
      </c>
      <c r="AW648" s="186" t="n">
        <f aca="false" ca="true" dt2D="false" dtr="false" t="normal">SUBTOTAL(9, AX648:BL648)</f>
        <v>7038538.101943554</v>
      </c>
      <c r="AX648" s="106" t="n">
        <v>6493512.77394125</v>
      </c>
      <c r="AY648" s="106" t="n">
        <v>0</v>
      </c>
      <c r="AZ648" s="106" t="n">
        <v>0</v>
      </c>
      <c r="BA648" s="106" t="n">
        <v>0</v>
      </c>
      <c r="BB648" s="106" t="n"/>
      <c r="BC648" s="106" t="n"/>
      <c r="BD648" s="106" t="n">
        <v>234524.947834405</v>
      </c>
      <c r="BE648" s="106" t="n">
        <v>0</v>
      </c>
      <c r="BF648" s="106" t="n">
        <v>0</v>
      </c>
      <c r="BG648" s="106" t="n">
        <v>0</v>
      </c>
      <c r="BH648" s="106" t="n">
        <v>0</v>
      </c>
      <c r="BI648" s="106" t="n">
        <v>0</v>
      </c>
      <c r="BJ648" s="106" t="n">
        <v>119126.96</v>
      </c>
      <c r="BK648" s="106" t="n">
        <v>45834.82</v>
      </c>
      <c r="BL648" s="115" t="n">
        <v>145538.600167899</v>
      </c>
      <c r="BM648" s="186" t="n">
        <f aca="false" ca="true" dt2D="false" dtr="false" t="normal">SUBTOTAL(9, BN648:CB648)</f>
        <v>7038538.101943554</v>
      </c>
      <c r="BN648" s="106" t="n">
        <v>6493512.77394125</v>
      </c>
      <c r="BO648" s="106" t="n">
        <v>0</v>
      </c>
      <c r="BP648" s="106" t="n">
        <v>0</v>
      </c>
      <c r="BQ648" s="106" t="n">
        <v>0</v>
      </c>
      <c r="BR648" s="106" t="n"/>
      <c r="BS648" s="106" t="n"/>
      <c r="BT648" s="106" t="n">
        <v>234524.947834405</v>
      </c>
      <c r="BU648" s="106" t="n">
        <v>0</v>
      </c>
      <c r="BV648" s="106" t="n">
        <v>0</v>
      </c>
      <c r="BW648" s="106" t="n">
        <v>0</v>
      </c>
      <c r="BX648" s="106" t="n">
        <v>0</v>
      </c>
      <c r="BY648" s="106" t="n">
        <v>0</v>
      </c>
      <c r="BZ648" s="106" t="n">
        <v>119126.96</v>
      </c>
      <c r="CA648" s="106" t="n">
        <v>45834.82</v>
      </c>
      <c r="CB648" s="115" t="n">
        <v>145538.600167899</v>
      </c>
      <c r="CD648" s="116" t="e">
        <f aca="false" ca="false" dt2D="false" dtr="false" t="normal">+CD647+1</f>
        <v>#REF!</v>
      </c>
      <c r="CE648" s="117" t="e">
        <f aca="false" ca="false" dt2D="false" dtr="false" t="normal">+CE647+1</f>
        <v>#REF!</v>
      </c>
      <c r="CF648" s="104" t="s">
        <v>111</v>
      </c>
      <c r="CG648" s="117" t="s">
        <v>627</v>
      </c>
      <c r="CH648" s="108" t="n">
        <f aca="false" ca="true" dt2D="false" dtr="false" t="normal">SUBTOTAL(9, CI648:CW648)</f>
        <v>6493512.77</v>
      </c>
      <c r="CI648" s="106" t="n">
        <v>6493512.77</v>
      </c>
      <c r="CJ648" s="114" t="n">
        <v>0</v>
      </c>
      <c r="CK648" s="114" t="n">
        <v>0</v>
      </c>
      <c r="CL648" s="114" t="n">
        <v>0</v>
      </c>
      <c r="CM648" s="114" t="n"/>
      <c r="CN648" s="114" t="n"/>
      <c r="CO648" s="106" t="n"/>
      <c r="CP648" s="114" t="n">
        <v>0</v>
      </c>
      <c r="CQ648" s="114" t="n">
        <v>0</v>
      </c>
      <c r="CR648" s="114" t="n">
        <v>0</v>
      </c>
      <c r="CS648" s="114" t="n">
        <v>0</v>
      </c>
      <c r="CT648" s="114" t="n">
        <v>0</v>
      </c>
      <c r="CU648" s="114" t="n"/>
      <c r="CV648" s="114" t="n"/>
      <c r="CW648" s="115" t="n"/>
      <c r="CX648" s="3" t="n">
        <f aca="false" ca="false" dt2D="false" dtr="false" t="normal">+N648-CH648</f>
        <v>0</v>
      </c>
      <c r="CZ648" s="117" t="s">
        <v>627</v>
      </c>
      <c r="DA648" s="113" t="n">
        <f aca="false" ca="true" dt2D="false" dtr="false" t="normal">SUBTOTAL(9, DB648:DP648)</f>
        <v>6493512.77</v>
      </c>
      <c r="DB648" s="106" t="n">
        <v>6493512.77</v>
      </c>
      <c r="DC648" s="114" t="n">
        <v>0</v>
      </c>
      <c r="DD648" s="114" t="n">
        <v>0</v>
      </c>
      <c r="DE648" s="114" t="n">
        <v>0</v>
      </c>
      <c r="DF648" s="114" t="n"/>
      <c r="DG648" s="114" t="n"/>
      <c r="DH648" s="106" t="n"/>
      <c r="DI648" s="114" t="n">
        <v>0</v>
      </c>
      <c r="DJ648" s="114" t="n">
        <v>0</v>
      </c>
      <c r="DK648" s="114" t="n">
        <v>0</v>
      </c>
      <c r="DL648" s="114" t="n">
        <v>0</v>
      </c>
      <c r="DM648" s="114" t="n">
        <v>0</v>
      </c>
      <c r="DN648" s="241" t="n"/>
      <c r="DO648" s="241" t="n"/>
      <c r="DP648" s="240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</row>
    <row customFormat="true" hidden="false" ht="15" outlineLevel="0" r="649" s="1">
      <c r="A649" s="183" t="n">
        <f aca="false" ca="false" dt2D="false" dtr="false" t="normal">+A648+1</f>
        <v>627</v>
      </c>
      <c r="B649" s="117" t="n">
        <f aca="false" ca="false" dt2D="false" dtr="false" t="normal">+B648+1</f>
        <v>167</v>
      </c>
      <c r="C649" s="117" t="s">
        <v>111</v>
      </c>
      <c r="D649" s="117" t="s">
        <v>168</v>
      </c>
      <c r="E649" s="201" t="n">
        <v>1965</v>
      </c>
      <c r="F649" s="201" t="n">
        <v>2005</v>
      </c>
      <c r="G649" s="201" t="s">
        <v>68</v>
      </c>
      <c r="H649" s="201" t="n">
        <v>4</v>
      </c>
      <c r="I649" s="201" t="n">
        <v>4</v>
      </c>
      <c r="J649" s="114" t="n">
        <v>2661.8</v>
      </c>
      <c r="K649" s="114" t="n">
        <v>2220.4</v>
      </c>
      <c r="L649" s="114" t="n">
        <v>229.71</v>
      </c>
      <c r="M649" s="202" t="n">
        <v>111</v>
      </c>
      <c r="N649" s="108" t="n">
        <f aca="false" ca="false" dt2D="false" dtr="false" t="normal">SUM(P649:T649)</f>
        <v>20658989.54</v>
      </c>
      <c r="O649" s="114" t="n"/>
      <c r="P649" s="113" t="n">
        <v>12610907.53</v>
      </c>
      <c r="Q649" s="114" t="n"/>
      <c r="R649" s="113" t="n">
        <v>258323.82</v>
      </c>
      <c r="S649" s="113" t="n">
        <v>397947.35</v>
      </c>
      <c r="T649" s="113" t="n">
        <v>7391810.84</v>
      </c>
      <c r="U649" s="114" t="n">
        <v>12180.3300759663</v>
      </c>
      <c r="V649" s="114" t="n">
        <v>1309.283020064</v>
      </c>
      <c r="W649" s="110" t="n">
        <v>2024</v>
      </c>
      <c r="X649" s="9" t="e">
        <f aca="false" ca="false" dt2D="false" dtr="false" t="normal">+#REF!-'[9]Приложение №1'!$P1671</f>
        <v>#REF!</v>
      </c>
      <c r="Z649" s="113" t="n">
        <f aca="false" ca="false" dt2D="false" dtr="false" t="normal">SUM(AA649:AO649)</f>
        <v>26489548.39</v>
      </c>
      <c r="AA649" s="106" t="n">
        <v>5804794.20581424</v>
      </c>
      <c r="AB649" s="106" t="n">
        <v>2068486.81690812</v>
      </c>
      <c r="AC649" s="106" t="n">
        <v>2161108.47229536</v>
      </c>
      <c r="AD649" s="106" t="n">
        <v>1352990.547006</v>
      </c>
      <c r="AE649" s="106" t="n">
        <v>827809.00358814</v>
      </c>
      <c r="AF649" s="106" t="n"/>
      <c r="AG649" s="106" t="n">
        <v>222745.84764852</v>
      </c>
      <c r="AH649" s="106" t="n">
        <v>0</v>
      </c>
      <c r="AI649" s="106" t="n">
        <v>10612047.0314502</v>
      </c>
      <c r="AJ649" s="106" t="n">
        <v>0</v>
      </c>
      <c r="AK649" s="106" t="n">
        <v>0</v>
      </c>
      <c r="AL649" s="106" t="n">
        <v>0</v>
      </c>
      <c r="AM649" s="106" t="n">
        <v>2670614.5608</v>
      </c>
      <c r="AN649" s="114" t="n">
        <v>264895.4839</v>
      </c>
      <c r="AO649" s="115" t="n">
        <v>504056.42058942</v>
      </c>
      <c r="AP649" s="112" t="n">
        <f aca="false" ca="false" dt2D="false" dtr="false" t="normal">+N649-'Приложение №2'!E649</f>
        <v>0</v>
      </c>
      <c r="AQ649" s="9" t="n">
        <f aca="false" ca="false" dt2D="false" dtr="false" t="normal">1589432.29-R106</f>
        <v>-4518.899999999907</v>
      </c>
      <c r="AR649" s="3" t="n">
        <f aca="false" ca="false" dt2D="false" dtr="false" t="normal">+(K649*10.5+L649*21)*12*0.85</f>
        <v>287008.722</v>
      </c>
      <c r="AS649" s="3" t="n">
        <f aca="false" ca="false" dt2D="false" dtr="false" t="normal">+(K649*10.5+L649*21)*12*30-S421</f>
        <v>2086879.5481374199</v>
      </c>
      <c r="AT649" s="9" t="n">
        <f aca="false" ca="false" dt2D="false" dtr="false" t="normal">+S649-AS649</f>
        <v>-1688932.1981374198</v>
      </c>
      <c r="AU649" s="9" t="e">
        <f aca="false" ca="false" dt2D="false" dtr="false" t="normal">+P649-'[5]Приложение №1'!$P592</f>
        <v>#REF!</v>
      </c>
      <c r="AV649" s="9" t="e">
        <f aca="false" ca="false" dt2D="false" dtr="false" t="normal">+Q649-'[5]Приложение №1'!$Q592</f>
        <v>#REF!</v>
      </c>
      <c r="AW649" s="186" t="n">
        <f aca="false" ca="true" dt2D="false" dtr="false" t="normal">SUBTOTAL(9, AX649:BL649)</f>
        <v>27045204.900675505</v>
      </c>
      <c r="AX649" s="106" t="n"/>
      <c r="AY649" s="106" t="n">
        <v>2813313.38755975</v>
      </c>
      <c r="AZ649" s="106" t="n"/>
      <c r="BA649" s="106" t="n">
        <v>2267584.45228333</v>
      </c>
      <c r="BB649" s="106" t="n"/>
      <c r="BC649" s="106" t="n"/>
      <c r="BD649" s="106" t="n"/>
      <c r="BE649" s="106" t="n">
        <v>0</v>
      </c>
      <c r="BF649" s="106" t="n"/>
      <c r="BG649" s="106" t="n">
        <v>0</v>
      </c>
      <c r="BH649" s="106" t="n">
        <v>16812725.450546</v>
      </c>
      <c r="BI649" s="106" t="n"/>
      <c r="BJ649" s="106" t="n">
        <v>3718496.5709544</v>
      </c>
      <c r="BK649" s="114" t="n">
        <v>411105.061469444</v>
      </c>
      <c r="BL649" s="115" t="n">
        <v>1021979.97786258</v>
      </c>
      <c r="BM649" s="186" t="n">
        <f aca="false" ca="true" dt2D="false" dtr="false" t="normal">SUBTOTAL(9, BN649:CB649)</f>
        <v>27045204.900675505</v>
      </c>
      <c r="BN649" s="106" t="n"/>
      <c r="BO649" s="106" t="n">
        <v>2813313.38755975</v>
      </c>
      <c r="BP649" s="106" t="n"/>
      <c r="BQ649" s="106" t="n">
        <v>2267584.45228333</v>
      </c>
      <c r="BR649" s="106" t="n"/>
      <c r="BS649" s="106" t="n"/>
      <c r="BT649" s="106" t="n"/>
      <c r="BU649" s="106" t="n">
        <v>0</v>
      </c>
      <c r="BV649" s="106" t="n"/>
      <c r="BW649" s="106" t="n">
        <v>0</v>
      </c>
      <c r="BX649" s="106" t="n">
        <v>16812725.450546</v>
      </c>
      <c r="BY649" s="106" t="n"/>
      <c r="BZ649" s="106" t="n">
        <v>3718496.5709544</v>
      </c>
      <c r="CA649" s="114" t="n">
        <v>411105.061469444</v>
      </c>
      <c r="CB649" s="115" t="n">
        <v>1021979.97786258</v>
      </c>
      <c r="CD649" s="116" t="e">
        <f aca="false" ca="false" dt2D="false" dtr="false" t="normal">+CD648+1</f>
        <v>#REF!</v>
      </c>
      <c r="CE649" s="117" t="e">
        <f aca="false" ca="false" dt2D="false" dtr="false" t="normal">+CE648+1</f>
        <v>#REF!</v>
      </c>
      <c r="CF649" s="104" t="s">
        <v>111</v>
      </c>
      <c r="CG649" s="117" t="s">
        <v>168</v>
      </c>
      <c r="CH649" s="108" t="n">
        <f aca="false" ca="true" dt2D="false" dtr="false" t="normal">SUBTOTAL(9, CI649:CW649)</f>
        <v>20658989.54</v>
      </c>
      <c r="CI649" s="106" t="n"/>
      <c r="CJ649" s="114" t="n">
        <v>2813313.39</v>
      </c>
      <c r="CK649" s="114" t="n"/>
      <c r="CL649" s="243" t="n">
        <v>1803922.55</v>
      </c>
      <c r="CM649" s="114" t="n"/>
      <c r="CN649" s="114" t="n"/>
      <c r="CO649" s="106" t="n"/>
      <c r="CP649" s="114" t="n">
        <v>0</v>
      </c>
      <c r="CQ649" s="114" t="n"/>
      <c r="CR649" s="114" t="n">
        <v>0</v>
      </c>
      <c r="CS649" s="243" t="n">
        <v>16041753.6</v>
      </c>
      <c r="CT649" s="114" t="n"/>
      <c r="CU649" s="114" t="n"/>
      <c r="CV649" s="114" t="n"/>
      <c r="CW649" s="115" t="n"/>
      <c r="CX649" s="3" t="n">
        <f aca="false" ca="false" dt2D="false" dtr="false" t="normal">+N649-CH649</f>
        <v>0</v>
      </c>
      <c r="CZ649" s="117" t="s">
        <v>168</v>
      </c>
      <c r="DA649" s="113" t="n">
        <f aca="false" ca="true" dt2D="false" dtr="false" t="normal">SUBTOTAL(9, DB649:DP649)</f>
        <v>20658989.54</v>
      </c>
      <c r="DB649" s="106" t="n"/>
      <c r="DC649" s="114" t="n">
        <v>2813313.39</v>
      </c>
      <c r="DD649" s="114" t="n"/>
      <c r="DE649" s="243" t="n">
        <v>1803922.55</v>
      </c>
      <c r="DF649" s="114" t="n"/>
      <c r="DG649" s="114" t="n"/>
      <c r="DH649" s="106" t="n"/>
      <c r="DI649" s="114" t="n">
        <v>0</v>
      </c>
      <c r="DJ649" s="114" t="n"/>
      <c r="DK649" s="114" t="n">
        <v>0</v>
      </c>
      <c r="DL649" s="243" t="n">
        <v>16041753.6</v>
      </c>
      <c r="DM649" s="114" t="n"/>
      <c r="DN649" s="241" t="n"/>
      <c r="DO649" s="241" t="n"/>
      <c r="DP649" s="240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</row>
    <row customFormat="true" hidden="false" ht="15" outlineLevel="0" r="650" s="1">
      <c r="A650" s="183" t="n">
        <f aca="false" ca="false" dt2D="false" dtr="false" t="normal">+A649+1</f>
        <v>628</v>
      </c>
      <c r="B650" s="117" t="n">
        <f aca="false" ca="false" dt2D="false" dtr="false" t="normal">+B649+1</f>
        <v>168</v>
      </c>
      <c r="C650" s="104" t="s">
        <v>111</v>
      </c>
      <c r="D650" s="104" t="s">
        <v>628</v>
      </c>
      <c r="E650" s="105" t="n">
        <v>1972</v>
      </c>
      <c r="F650" s="105" t="n">
        <v>2013</v>
      </c>
      <c r="G650" s="105" t="s">
        <v>68</v>
      </c>
      <c r="H650" s="105" t="n">
        <v>4</v>
      </c>
      <c r="I650" s="105" t="n">
        <v>4</v>
      </c>
      <c r="J650" s="106" t="n">
        <v>4697.36</v>
      </c>
      <c r="K650" s="106" t="n">
        <v>3448.5</v>
      </c>
      <c r="L650" s="106" t="n">
        <v>0</v>
      </c>
      <c r="M650" s="107" t="n">
        <v>140</v>
      </c>
      <c r="N650" s="108" t="n">
        <f aca="false" ca="false" dt2D="false" dtr="false" t="normal">SUM(P650:T650)</f>
        <v>1356649.13</v>
      </c>
      <c r="O650" s="106" t="n"/>
      <c r="P650" s="114" t="n"/>
      <c r="Q650" s="114" t="n"/>
      <c r="R650" s="113" t="n">
        <v>1356649.13</v>
      </c>
      <c r="S650" s="114" t="n"/>
      <c r="T650" s="114" t="n"/>
      <c r="U650" s="106" t="n">
        <v>445.166563465072</v>
      </c>
      <c r="V650" s="106" t="n">
        <v>445.166563465072</v>
      </c>
      <c r="W650" s="110" t="n">
        <v>2024</v>
      </c>
      <c r="X650" s="9" t="e">
        <f aca="false" ca="false" dt2D="false" dtr="false" t="normal">+#REF!-'[9]Приложение №1'!$P682</f>
        <v>#REF!</v>
      </c>
      <c r="Y650" s="1" t="s">
        <v>629</v>
      </c>
      <c r="Z650" s="113" t="n">
        <f aca="false" ca="false" dt2D="false" dtr="false" t="normal">SUM(AA650:AO650)</f>
        <v>10605893.634176001</v>
      </c>
      <c r="AA650" s="106" t="n">
        <v>0</v>
      </c>
      <c r="AB650" s="106" t="n">
        <v>0</v>
      </c>
      <c r="AC650" s="106" t="n">
        <v>0</v>
      </c>
      <c r="AD650" s="106" t="n">
        <v>0</v>
      </c>
      <c r="AE650" s="106" t="n">
        <v>1356649.13</v>
      </c>
      <c r="AF650" s="106" t="n"/>
      <c r="AG650" s="106" t="n">
        <v>0</v>
      </c>
      <c r="AH650" s="106" t="n">
        <v>0</v>
      </c>
      <c r="AI650" s="106" t="n">
        <v>0</v>
      </c>
      <c r="AJ650" s="106" t="n">
        <v>0</v>
      </c>
      <c r="AK650" s="106" t="n">
        <v>0</v>
      </c>
      <c r="AL650" s="106" t="n">
        <v>7865518.9895667</v>
      </c>
      <c r="AM650" s="106" t="n">
        <v>1112408.515</v>
      </c>
      <c r="AN650" s="114" t="n">
        <v>92809.2355</v>
      </c>
      <c r="AO650" s="115" t="n">
        <v>178507.7641093</v>
      </c>
      <c r="AP650" s="112" t="n">
        <f aca="false" ca="false" dt2D="false" dtr="false" t="normal">+N650-'Приложение №2'!E650</f>
        <v>0</v>
      </c>
      <c r="AQ650" s="1" t="n">
        <v>1644538</v>
      </c>
      <c r="AR650" s="3" t="n">
        <f aca="false" ca="false" dt2D="false" dtr="false" t="normal">+(K650*10+L650*20)*12*0.85</f>
        <v>351747</v>
      </c>
      <c r="AS650" s="3" t="n">
        <f aca="false" ca="false" dt2D="false" dtr="false" t="normal">+(K650*10+L650*20)*12*30</f>
        <v>12414600</v>
      </c>
      <c r="AT650" s="9" t="n">
        <f aca="false" ca="false" dt2D="false" dtr="false" t="normal">+S650-AS650</f>
        <v>-12414600</v>
      </c>
      <c r="AU650" s="9" t="e">
        <f aca="false" ca="false" dt2D="false" dtr="false" t="normal">+P650-'[5]Приложение №1'!$P301</f>
        <v>#REF!</v>
      </c>
      <c r="AV650" s="9" t="e">
        <f aca="false" ca="false" dt2D="false" dtr="false" t="normal">+Q650-'[5]Приложение №1'!$Q301</f>
        <v>#REF!</v>
      </c>
      <c r="AW650" s="113" t="n">
        <f aca="false" ca="true" dt2D="false" dtr="false" t="normal">SUBTOTAL(9, AX650:BL650)</f>
        <v>1535156.8941092999</v>
      </c>
      <c r="AX650" s="106" t="n">
        <v>0</v>
      </c>
      <c r="AY650" s="106" t="n">
        <v>0</v>
      </c>
      <c r="AZ650" s="106" t="n">
        <v>0</v>
      </c>
      <c r="BA650" s="106" t="n">
        <v>0</v>
      </c>
      <c r="BB650" s="106" t="n">
        <v>1356649.13</v>
      </c>
      <c r="BC650" s="106" t="n"/>
      <c r="BD650" s="106" t="n"/>
      <c r="BE650" s="106" t="n">
        <v>0</v>
      </c>
      <c r="BF650" s="106" t="n">
        <v>0</v>
      </c>
      <c r="BG650" s="106" t="n">
        <v>0</v>
      </c>
      <c r="BH650" s="106" t="n">
        <v>0</v>
      </c>
      <c r="BI650" s="106" t="n"/>
      <c r="BJ650" s="106" t="n"/>
      <c r="BK650" s="114" t="n"/>
      <c r="BL650" s="187" t="n">
        <v>178507.7641093</v>
      </c>
      <c r="BM650" s="113" t="n">
        <f aca="false" ca="true" dt2D="false" dtr="false" t="normal">SUBTOTAL(9, BN650:CB650)</f>
        <v>1535156.8941092999</v>
      </c>
      <c r="BN650" s="106" t="n">
        <v>0</v>
      </c>
      <c r="BO650" s="106" t="n">
        <v>0</v>
      </c>
      <c r="BP650" s="106" t="n">
        <v>0</v>
      </c>
      <c r="BQ650" s="106" t="n">
        <v>0</v>
      </c>
      <c r="BR650" s="106" t="n">
        <v>1356649.13</v>
      </c>
      <c r="BS650" s="106" t="n"/>
      <c r="BT650" s="106" t="n"/>
      <c r="BU650" s="106" t="n">
        <v>0</v>
      </c>
      <c r="BV650" s="106" t="n">
        <v>0</v>
      </c>
      <c r="BW650" s="106" t="n">
        <v>0</v>
      </c>
      <c r="BX650" s="106" t="n">
        <v>0</v>
      </c>
      <c r="BY650" s="106" t="n"/>
      <c r="BZ650" s="106" t="n"/>
      <c r="CA650" s="114" t="n"/>
      <c r="CB650" s="115" t="n">
        <v>178507.7641093</v>
      </c>
      <c r="CD650" s="116" t="e">
        <f aca="false" ca="false" dt2D="false" dtr="false" t="normal">+#REF!+1</f>
        <v>#REF!</v>
      </c>
      <c r="CE650" s="117" t="e">
        <f aca="false" ca="false" dt2D="false" dtr="false" t="normal">+#REF!+1</f>
        <v>#REF!</v>
      </c>
      <c r="CF650" s="104" t="s">
        <v>111</v>
      </c>
      <c r="CG650" s="117" t="s">
        <v>628</v>
      </c>
      <c r="CH650" s="108" t="n">
        <f aca="false" ca="true" dt2D="false" dtr="false" t="normal">SUBTOTAL(9, CI650:CW650)</f>
        <v>1535156.89</v>
      </c>
      <c r="CI650" s="106" t="n">
        <v>0</v>
      </c>
      <c r="CJ650" s="114" t="n">
        <v>0</v>
      </c>
      <c r="CK650" s="114" t="n">
        <v>0</v>
      </c>
      <c r="CL650" s="114" t="n">
        <v>0</v>
      </c>
      <c r="CM650" s="114" t="n">
        <v>1356649.13</v>
      </c>
      <c r="CN650" s="114" t="n"/>
      <c r="CO650" s="106" t="n"/>
      <c r="CP650" s="114" t="n">
        <v>0</v>
      </c>
      <c r="CQ650" s="114" t="n">
        <v>0</v>
      </c>
      <c r="CR650" s="114" t="n">
        <v>0</v>
      </c>
      <c r="CS650" s="114" t="n">
        <v>0</v>
      </c>
      <c r="CT650" s="114" t="n"/>
      <c r="CU650" s="114" t="n"/>
      <c r="CV650" s="114" t="n"/>
      <c r="CW650" s="115" t="n">
        <v>178507.76</v>
      </c>
      <c r="CX650" s="3" t="n">
        <f aca="false" ca="false" dt2D="false" dtr="false" t="normal">+N650-CH650</f>
        <v>-178507.76</v>
      </c>
      <c r="CZ650" s="117" t="s">
        <v>628</v>
      </c>
      <c r="DA650" s="113" t="n">
        <f aca="false" ca="true" dt2D="false" dtr="false" t="normal">SUBTOTAL(9, DB650:DP650)</f>
        <v>1356649.13</v>
      </c>
      <c r="DB650" s="106" t="n">
        <v>0</v>
      </c>
      <c r="DC650" s="114" t="n">
        <v>0</v>
      </c>
      <c r="DD650" s="114" t="n">
        <v>0</v>
      </c>
      <c r="DE650" s="114" t="n">
        <v>0</v>
      </c>
      <c r="DF650" s="114" t="n">
        <v>1356649.13</v>
      </c>
      <c r="DG650" s="114" t="n"/>
      <c r="DH650" s="106" t="n"/>
      <c r="DI650" s="114" t="n">
        <v>0</v>
      </c>
      <c r="DJ650" s="114" t="n">
        <v>0</v>
      </c>
      <c r="DK650" s="114" t="n">
        <v>0</v>
      </c>
      <c r="DL650" s="114" t="n">
        <v>0</v>
      </c>
      <c r="DM650" s="114" t="n"/>
      <c r="DN650" s="114" t="n"/>
      <c r="DO650" s="114" t="n"/>
      <c r="DP650" s="240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</row>
    <row customFormat="true" hidden="false" ht="15" outlineLevel="0" r="651" s="1">
      <c r="A651" s="183" t="n">
        <f aca="false" ca="false" dt2D="false" dtr="false" t="normal">+A650+1</f>
        <v>629</v>
      </c>
      <c r="B651" s="117" t="n">
        <f aca="false" ca="false" dt2D="false" dtr="false" t="normal">+B650+1</f>
        <v>169</v>
      </c>
      <c r="C651" s="117" t="s">
        <v>111</v>
      </c>
      <c r="D651" s="117" t="s">
        <v>371</v>
      </c>
      <c r="E651" s="201" t="n">
        <v>1972</v>
      </c>
      <c r="F651" s="201" t="n">
        <v>2013</v>
      </c>
      <c r="G651" s="201" t="s">
        <v>68</v>
      </c>
      <c r="H651" s="201" t="n">
        <v>4</v>
      </c>
      <c r="I651" s="201" t="n">
        <v>4</v>
      </c>
      <c r="J651" s="114" t="n">
        <v>4681.66</v>
      </c>
      <c r="K651" s="114" t="n">
        <v>3441.2</v>
      </c>
      <c r="L651" s="114" t="n">
        <v>0</v>
      </c>
      <c r="M651" s="202" t="n">
        <v>142</v>
      </c>
      <c r="N651" s="108" t="n">
        <f aca="false" ca="false" dt2D="false" dtr="false" t="normal">SUM(P651:T651)</f>
        <v>10852758.63</v>
      </c>
      <c r="O651" s="114" t="n"/>
      <c r="P651" s="114" t="n"/>
      <c r="Q651" s="114" t="n"/>
      <c r="R651" s="113" t="n">
        <v>955930.54</v>
      </c>
      <c r="S651" s="113" t="n">
        <v>7051414.12</v>
      </c>
      <c r="T651" s="113" t="n">
        <v>2845413.97</v>
      </c>
      <c r="U651" s="114" t="n">
        <v>2326.90476059979</v>
      </c>
      <c r="V651" s="114" t="n">
        <v>1312.283020064</v>
      </c>
      <c r="W651" s="110" t="n">
        <v>2024</v>
      </c>
      <c r="X651" s="9" t="e">
        <f aca="false" ca="false" dt2D="false" dtr="false" t="normal">+#REF!-'[9]Приложение №1'!$P1166</f>
        <v>#REF!</v>
      </c>
      <c r="Z651" s="113" t="n">
        <f aca="false" ca="false" dt2D="false" dtr="false" t="normal">SUM(AA651:AO651)</f>
        <v>10554632.254175998</v>
      </c>
      <c r="AA651" s="106" t="n">
        <v>0</v>
      </c>
      <c r="AB651" s="106" t="n">
        <v>0</v>
      </c>
      <c r="AC651" s="106" t="n">
        <v>0</v>
      </c>
      <c r="AD651" s="106" t="n">
        <v>0</v>
      </c>
      <c r="AE651" s="106" t="n">
        <v>1346569.54</v>
      </c>
      <c r="AF651" s="106" t="n"/>
      <c r="AG651" s="106" t="n">
        <v>0</v>
      </c>
      <c r="AH651" s="106" t="n">
        <v>0</v>
      </c>
      <c r="AI651" s="106" t="n">
        <v>0</v>
      </c>
      <c r="AJ651" s="106" t="n">
        <v>0</v>
      </c>
      <c r="AK651" s="106" t="n">
        <v>0</v>
      </c>
      <c r="AL651" s="106" t="n">
        <v>7829891.4404088</v>
      </c>
      <c r="AM651" s="106" t="n">
        <v>1108317.88</v>
      </c>
      <c r="AN651" s="114" t="n">
        <v>92400.172</v>
      </c>
      <c r="AO651" s="115" t="n">
        <v>177453.2217672</v>
      </c>
      <c r="AP651" s="112" t="n">
        <f aca="false" ca="false" dt2D="false" dtr="false" t="normal">+N651-'Приложение №2'!E651</f>
        <v>0</v>
      </c>
      <c r="AQ651" s="9" t="n">
        <f aca="false" ca="false" dt2D="false" dtr="false" t="normal">2007272.49-R289</f>
        <v>593607.3699999999</v>
      </c>
      <c r="AR651" s="3" t="n">
        <f aca="false" ca="false" dt2D="false" dtr="false" t="normal">+(K651*10.5+L651*21)*12*0.85</f>
        <v>368552.51999999996</v>
      </c>
      <c r="AS651" s="3" t="n">
        <f aca="false" ca="false" dt2D="false" dtr="false" t="normal">+(K651*10.5+L651*21)*12*30-S289</f>
        <v>13007735.999999998</v>
      </c>
      <c r="AT651" s="9" t="n">
        <f aca="false" ca="false" dt2D="false" dtr="false" t="normal">+S651-AS651</f>
        <v>-5956321.879999998</v>
      </c>
      <c r="AU651" s="9" t="e">
        <f aca="false" ca="false" dt2D="false" dtr="false" t="normal">+P651-'[5]Приложение №1'!$P595</f>
        <v>#REF!</v>
      </c>
      <c r="AV651" s="9" t="e">
        <f aca="false" ca="false" dt2D="false" dtr="false" t="normal">+Q651-'[5]Приложение №1'!$Q595</f>
        <v>#REF!</v>
      </c>
      <c r="AW651" s="186" t="n">
        <f aca="false" ca="true" dt2D="false" dtr="false" t="normal">SUBTOTAL(9, AX651:BL651)</f>
        <v>8007344.662176</v>
      </c>
      <c r="AX651" s="106" t="n">
        <v>0</v>
      </c>
      <c r="AY651" s="106" t="n">
        <v>0</v>
      </c>
      <c r="AZ651" s="106" t="n">
        <v>0</v>
      </c>
      <c r="BA651" s="106" t="n">
        <v>0</v>
      </c>
      <c r="BB651" s="106" t="n"/>
      <c r="BC651" s="106" t="n"/>
      <c r="BD651" s="106" t="n"/>
      <c r="BE651" s="106" t="n">
        <v>0</v>
      </c>
      <c r="BF651" s="106" t="n">
        <v>0</v>
      </c>
      <c r="BG651" s="106" t="n">
        <v>0</v>
      </c>
      <c r="BH651" s="106" t="n">
        <v>0</v>
      </c>
      <c r="BI651" s="106" t="n">
        <v>7829891.4404088</v>
      </c>
      <c r="BJ651" s="106" t="n"/>
      <c r="BK651" s="114" t="n"/>
      <c r="BL651" s="115" t="n">
        <v>177453.2217672</v>
      </c>
      <c r="BM651" s="186" t="n">
        <f aca="false" ca="true" dt2D="false" dtr="false" t="normal">SUBTOTAL(9, BN651:CB651)</f>
        <v>8007344.662176</v>
      </c>
      <c r="BN651" s="106" t="n">
        <v>0</v>
      </c>
      <c r="BO651" s="106" t="n">
        <v>0</v>
      </c>
      <c r="BP651" s="106" t="n">
        <v>0</v>
      </c>
      <c r="BQ651" s="106" t="n">
        <v>0</v>
      </c>
      <c r="BR651" s="106" t="n"/>
      <c r="BS651" s="106" t="n"/>
      <c r="BT651" s="106" t="n"/>
      <c r="BU651" s="106" t="n">
        <v>0</v>
      </c>
      <c r="BV651" s="106" t="n">
        <v>0</v>
      </c>
      <c r="BW651" s="106" t="n">
        <v>0</v>
      </c>
      <c r="BX651" s="106" t="n">
        <v>0</v>
      </c>
      <c r="BY651" s="106" t="n">
        <v>7829891.4404088</v>
      </c>
      <c r="BZ651" s="106" t="n"/>
      <c r="CA651" s="114" t="n"/>
      <c r="CB651" s="115" t="n">
        <v>177453.2217672</v>
      </c>
      <c r="CD651" s="116" t="e">
        <f aca="false" ca="false" dt2D="false" dtr="false" t="normal">+CD650+1</f>
        <v>#REF!</v>
      </c>
      <c r="CE651" s="117" t="e">
        <f aca="false" ca="false" dt2D="false" dtr="false" t="normal">+CE650+1</f>
        <v>#REF!</v>
      </c>
      <c r="CF651" s="104" t="s">
        <v>111</v>
      </c>
      <c r="CG651" s="117" t="s">
        <v>371</v>
      </c>
      <c r="CH651" s="108" t="n">
        <f aca="false" ca="true" dt2D="false" dtr="false" t="normal">SUBTOTAL(9, CI651:CW651)</f>
        <v>11030211.850000001</v>
      </c>
      <c r="CI651" s="106" t="n">
        <v>0</v>
      </c>
      <c r="CJ651" s="114" t="n">
        <v>0</v>
      </c>
      <c r="CK651" s="114" t="n">
        <v>0</v>
      </c>
      <c r="CL651" s="114" t="n">
        <v>0</v>
      </c>
      <c r="CM651" s="114" t="n"/>
      <c r="CN651" s="114" t="n"/>
      <c r="CO651" s="106" t="n"/>
      <c r="CP651" s="114" t="n">
        <v>0</v>
      </c>
      <c r="CQ651" s="114" t="n">
        <v>0</v>
      </c>
      <c r="CR651" s="114" t="n">
        <v>0</v>
      </c>
      <c r="CS651" s="114" t="n">
        <v>0</v>
      </c>
      <c r="CT651" s="114" t="n">
        <v>10852758.63</v>
      </c>
      <c r="CU651" s="114" t="n"/>
      <c r="CV651" s="114" t="n"/>
      <c r="CW651" s="115" t="n">
        <v>177453.22</v>
      </c>
      <c r="CX651" s="3" t="n">
        <f aca="false" ca="false" dt2D="false" dtr="false" t="normal">+N651-CH651</f>
        <v>-177453.22000000067</v>
      </c>
      <c r="CZ651" s="117" t="s">
        <v>371</v>
      </c>
      <c r="DA651" s="113" t="n">
        <f aca="false" ca="true" dt2D="false" dtr="false" t="normal">SUBTOTAL(9, DB651:DP651)</f>
        <v>10852758.63</v>
      </c>
      <c r="DB651" s="106" t="n">
        <v>0</v>
      </c>
      <c r="DC651" s="114" t="n">
        <v>0</v>
      </c>
      <c r="DD651" s="114" t="n">
        <v>0</v>
      </c>
      <c r="DE651" s="114" t="n">
        <v>0</v>
      </c>
      <c r="DF651" s="114" t="n"/>
      <c r="DG651" s="114" t="n"/>
      <c r="DH651" s="106" t="n"/>
      <c r="DI651" s="114" t="n">
        <v>0</v>
      </c>
      <c r="DJ651" s="114" t="n">
        <v>0</v>
      </c>
      <c r="DK651" s="114" t="n">
        <v>0</v>
      </c>
      <c r="DL651" s="114" t="n">
        <v>0</v>
      </c>
      <c r="DM651" s="114" t="n">
        <v>10852758.63</v>
      </c>
      <c r="DN651" s="114" t="n"/>
      <c r="DO651" s="114" t="n"/>
      <c r="DP651" s="240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</row>
    <row customFormat="true" hidden="false" ht="15" outlineLevel="0" r="652" s="1">
      <c r="A652" s="183" t="n">
        <f aca="false" ca="false" dt2D="false" dtr="false" t="normal">+A651+1</f>
        <v>630</v>
      </c>
      <c r="B652" s="117" t="n">
        <f aca="false" ca="false" dt2D="false" dtr="false" t="normal">+B651+1</f>
        <v>170</v>
      </c>
      <c r="C652" s="117" t="s">
        <v>111</v>
      </c>
      <c r="D652" s="117" t="s">
        <v>630</v>
      </c>
      <c r="E652" s="201" t="n">
        <v>1988</v>
      </c>
      <c r="F652" s="201" t="n">
        <v>1988</v>
      </c>
      <c r="G652" s="201" t="s">
        <v>68</v>
      </c>
      <c r="H652" s="201" t="n">
        <v>4</v>
      </c>
      <c r="I652" s="201" t="n">
        <v>3</v>
      </c>
      <c r="J652" s="114" t="n">
        <v>2941.3</v>
      </c>
      <c r="K652" s="114" t="n">
        <v>2307</v>
      </c>
      <c r="L652" s="114" t="n">
        <v>634.3</v>
      </c>
      <c r="M652" s="202" t="n">
        <v>71</v>
      </c>
      <c r="N652" s="108" t="n">
        <f aca="false" ca="false" dt2D="false" dtr="false" t="normal">SUM(P652:T652)</f>
        <v>12838297.58</v>
      </c>
      <c r="O652" s="114" t="n"/>
      <c r="P652" s="114" t="n"/>
      <c r="Q652" s="114" t="n"/>
      <c r="R652" s="113" t="n">
        <v>2015663.23</v>
      </c>
      <c r="S652" s="113" t="n">
        <v>10822634.35</v>
      </c>
      <c r="T652" s="113" t="n">
        <v>0</v>
      </c>
      <c r="U652" s="114" t="n">
        <v>10044.9793563069</v>
      </c>
      <c r="V652" s="114" t="n">
        <v>1313.283020064</v>
      </c>
      <c r="W652" s="110" t="n">
        <v>2024</v>
      </c>
      <c r="X652" s="9" t="e">
        <f aca="false" ca="false" dt2D="false" dtr="false" t="normal">+#REF!-'[9]Приложение №1'!$P1092</f>
        <v>#REF!</v>
      </c>
      <c r="Z652" s="113" t="n">
        <f aca="false" ca="false" dt2D="false" dtr="false" t="normal">SUM(AA652:AO652)</f>
        <v>5881515.590000003</v>
      </c>
      <c r="AA652" s="106" t="n">
        <v>0</v>
      </c>
      <c r="AB652" s="106" t="n">
        <v>0</v>
      </c>
      <c r="AC652" s="106" t="n">
        <v>0</v>
      </c>
      <c r="AD652" s="106" t="n">
        <v>0</v>
      </c>
      <c r="AE652" s="106" t="n">
        <v>0</v>
      </c>
      <c r="AF652" s="106" t="n"/>
      <c r="AG652" s="106" t="n">
        <v>0</v>
      </c>
      <c r="AH652" s="106" t="n">
        <v>0</v>
      </c>
      <c r="AI652" s="106" t="n">
        <v>0</v>
      </c>
      <c r="AJ652" s="106" t="n">
        <v>0</v>
      </c>
      <c r="AK652" s="106" t="n">
        <v>5547799.15859067</v>
      </c>
      <c r="AL652" s="106" t="n">
        <v>0</v>
      </c>
      <c r="AM652" s="106" t="n">
        <v>176500.300003406</v>
      </c>
      <c r="AN652" s="106" t="n">
        <v>35897</v>
      </c>
      <c r="AO652" s="115" t="n">
        <v>121319.131405927</v>
      </c>
      <c r="AP652" s="112" t="n">
        <f aca="false" ca="false" dt2D="false" dtr="false" t="normal">+N652-'Приложение №2'!E652</f>
        <v>0</v>
      </c>
      <c r="AQ652" s="121" t="n">
        <v>2124089.79</v>
      </c>
      <c r="AR652" s="3" t="n">
        <f aca="false" ca="false" dt2D="false" dtr="false" t="normal">+(K652*10.5+L652*21)*12*0.85</f>
        <v>382946.76</v>
      </c>
      <c r="AS652" s="3" t="n">
        <f aca="false" ca="false" dt2D="false" dtr="false" t="normal">+(K652*10.5+L652*21)*12*30</f>
        <v>13515768.000000002</v>
      </c>
      <c r="AT652" s="9" t="n">
        <f aca="false" ca="false" dt2D="false" dtr="false" t="normal">+S652-AS652</f>
        <v>-2693133.6500000022</v>
      </c>
      <c r="AU652" s="9" t="e">
        <f aca="false" ca="false" dt2D="false" dtr="false" t="normal">+P652-'[5]Приложение №1'!$P596</f>
        <v>#REF!</v>
      </c>
      <c r="AV652" s="9" t="e">
        <f aca="false" ca="false" dt2D="false" dtr="false" t="normal">+Q652-'[5]Приложение №1'!$Q596</f>
        <v>#REF!</v>
      </c>
      <c r="AW652" s="186" t="n">
        <f aca="false" ca="true" dt2D="false" dtr="false" t="normal">SUBTOTAL(9, AX652:BL652)</f>
        <v>23173767.37500003</v>
      </c>
      <c r="AX652" s="106" t="n">
        <v>0</v>
      </c>
      <c r="AY652" s="106" t="n">
        <v>0</v>
      </c>
      <c r="AZ652" s="106" t="n">
        <v>0</v>
      </c>
      <c r="BA652" s="106" t="n">
        <v>0</v>
      </c>
      <c r="BB652" s="106" t="n">
        <v>0</v>
      </c>
      <c r="BC652" s="106" t="n"/>
      <c r="BD652" s="106" t="n"/>
      <c r="BE652" s="106" t="n">
        <v>0</v>
      </c>
      <c r="BF652" s="106" t="n">
        <v>0</v>
      </c>
      <c r="BG652" s="106" t="n">
        <v>0</v>
      </c>
      <c r="BH652" s="106" t="n">
        <v>22469996.7553917</v>
      </c>
      <c r="BI652" s="106" t="n">
        <v>0</v>
      </c>
      <c r="BJ652" s="106" t="n">
        <v>176500.300003406</v>
      </c>
      <c r="BK652" s="106" t="n">
        <v>35897</v>
      </c>
      <c r="BL652" s="115" t="n">
        <v>491373.319604927</v>
      </c>
      <c r="BM652" s="186" t="n">
        <f aca="false" ca="true" dt2D="false" dtr="false" t="normal">SUBTOTAL(9, BN652:CB652)</f>
        <v>23173767.37500003</v>
      </c>
      <c r="BN652" s="106" t="n">
        <v>0</v>
      </c>
      <c r="BO652" s="106" t="n">
        <v>0</v>
      </c>
      <c r="BP652" s="106" t="n">
        <v>0</v>
      </c>
      <c r="BQ652" s="106" t="n">
        <v>0</v>
      </c>
      <c r="BR652" s="106" t="n">
        <v>0</v>
      </c>
      <c r="BS652" s="106" t="n"/>
      <c r="BT652" s="106" t="n"/>
      <c r="BU652" s="106" t="n">
        <v>0</v>
      </c>
      <c r="BV652" s="106" t="n">
        <v>0</v>
      </c>
      <c r="BW652" s="106" t="n">
        <v>0</v>
      </c>
      <c r="BX652" s="106" t="n">
        <v>22469996.7553917</v>
      </c>
      <c r="BY652" s="106" t="n">
        <v>0</v>
      </c>
      <c r="BZ652" s="106" t="n">
        <v>176500.300003406</v>
      </c>
      <c r="CA652" s="106" t="n">
        <v>35897</v>
      </c>
      <c r="CB652" s="115" t="n">
        <v>491373.319604927</v>
      </c>
      <c r="CD652" s="116" t="e">
        <f aca="false" ca="false" dt2D="false" dtr="false" t="normal">+CD651+1</f>
        <v>#REF!</v>
      </c>
      <c r="CE652" s="117" t="e">
        <f aca="false" ca="false" dt2D="false" dtr="false" t="normal">+CE651+1</f>
        <v>#REF!</v>
      </c>
      <c r="CF652" s="104" t="s">
        <v>111</v>
      </c>
      <c r="CG652" s="117" t="s">
        <v>630</v>
      </c>
      <c r="CH652" s="108" t="n">
        <f aca="false" ca="true" dt2D="false" dtr="false" t="normal">SUBTOTAL(9, CI652:CW652)</f>
        <v>12838297.58</v>
      </c>
      <c r="CI652" s="106" t="n">
        <v>0</v>
      </c>
      <c r="CJ652" s="114" t="n">
        <v>0</v>
      </c>
      <c r="CK652" s="114" t="n">
        <v>0</v>
      </c>
      <c r="CL652" s="114" t="n">
        <v>0</v>
      </c>
      <c r="CM652" s="114" t="n">
        <v>0</v>
      </c>
      <c r="CN652" s="114" t="n"/>
      <c r="CO652" s="106" t="n"/>
      <c r="CP652" s="114" t="n">
        <v>0</v>
      </c>
      <c r="CQ652" s="114" t="n">
        <v>0</v>
      </c>
      <c r="CR652" s="114" t="n">
        <v>0</v>
      </c>
      <c r="CS652" s="114" t="n">
        <v>12838297.58</v>
      </c>
      <c r="CT652" s="114" t="n">
        <v>0</v>
      </c>
      <c r="CU652" s="114" t="n"/>
      <c r="CV652" s="114" t="n"/>
      <c r="CW652" s="115" t="n"/>
      <c r="CX652" s="3" t="n">
        <f aca="false" ca="false" dt2D="false" dtr="false" t="normal">+N652-CH652</f>
        <v>0</v>
      </c>
      <c r="CZ652" s="117" t="s">
        <v>630</v>
      </c>
      <c r="DA652" s="113" t="n">
        <f aca="false" ca="true" dt2D="false" dtr="false" t="normal">SUBTOTAL(9, DB652:DP652)</f>
        <v>12838297.58</v>
      </c>
      <c r="DB652" s="106" t="n">
        <v>0</v>
      </c>
      <c r="DC652" s="114" t="n">
        <v>0</v>
      </c>
      <c r="DD652" s="114" t="n">
        <v>0</v>
      </c>
      <c r="DE652" s="114" t="n">
        <v>0</v>
      </c>
      <c r="DF652" s="114" t="n">
        <v>0</v>
      </c>
      <c r="DG652" s="114" t="n"/>
      <c r="DH652" s="106" t="n"/>
      <c r="DI652" s="114" t="n">
        <v>0</v>
      </c>
      <c r="DJ652" s="114" t="n">
        <v>0</v>
      </c>
      <c r="DK652" s="114" t="n">
        <v>0</v>
      </c>
      <c r="DL652" s="114" t="n">
        <v>12838297.58</v>
      </c>
      <c r="DM652" s="114" t="n">
        <v>0</v>
      </c>
      <c r="DN652" s="241" t="n"/>
      <c r="DO652" s="241" t="n"/>
      <c r="DP652" s="240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</row>
    <row customFormat="true" hidden="false" ht="15" outlineLevel="0" r="653" s="129">
      <c r="A653" s="183" t="n">
        <f aca="false" ca="false" dt2D="false" dtr="false" t="normal">+A652+1</f>
        <v>631</v>
      </c>
      <c r="B653" s="117" t="n">
        <f aca="false" ca="false" dt2D="false" dtr="false" t="normal">+B652+1</f>
        <v>171</v>
      </c>
      <c r="C653" s="117" t="s">
        <v>111</v>
      </c>
      <c r="D653" s="117" t="s">
        <v>376</v>
      </c>
      <c r="E653" s="201" t="s">
        <v>377</v>
      </c>
      <c r="F653" s="201" t="n"/>
      <c r="G653" s="201" t="s">
        <v>68</v>
      </c>
      <c r="H653" s="201" t="s">
        <v>104</v>
      </c>
      <c r="I653" s="201" t="s">
        <v>128</v>
      </c>
      <c r="J653" s="114" t="n">
        <v>7651.5</v>
      </c>
      <c r="K653" s="114" t="n">
        <v>6138</v>
      </c>
      <c r="L653" s="114" t="n">
        <v>119</v>
      </c>
      <c r="M653" s="202" t="n">
        <v>293</v>
      </c>
      <c r="N653" s="108" t="n">
        <f aca="false" ca="false" dt2D="false" dtr="false" t="normal">SUM(P653:T653)</f>
        <v>30571568.119999997</v>
      </c>
      <c r="O653" s="114" t="n">
        <v>0</v>
      </c>
      <c r="P653" s="113" t="n">
        <v>3000647.5</v>
      </c>
      <c r="Q653" s="114" t="n"/>
      <c r="R653" s="113" t="n">
        <v>1118133.39</v>
      </c>
      <c r="S653" s="113" t="n">
        <v>10780820.42</v>
      </c>
      <c r="T653" s="113" t="n">
        <v>15671966.81</v>
      </c>
      <c r="U653" s="114" t="n">
        <v>5118.14134739371</v>
      </c>
      <c r="V653" s="114" t="n">
        <v>5118.14134739371</v>
      </c>
      <c r="W653" s="110" t="n">
        <v>2024</v>
      </c>
      <c r="X653" s="129" t="n">
        <v>2205585.94</v>
      </c>
      <c r="Y653" s="129" t="n">
        <f aca="false" ca="false" dt2D="false" dtr="false" t="normal">+(K653*9.1+L653*18.19)*12</f>
        <v>696244.9199999999</v>
      </c>
      <c r="AA653" s="130" t="e">
        <f aca="false" ca="false" dt2D="false" dtr="false" t="normal">+N653-'[8]Приложение № 2'!E651</f>
        <v>#REF!</v>
      </c>
      <c r="AD653" s="130" t="e">
        <f aca="false" ca="false" dt2D="false" dtr="false" t="normal">+N653-'[8]Приложение № 2'!E651</f>
        <v>#REF!</v>
      </c>
      <c r="AP653" s="112" t="n">
        <f aca="false" ca="false" dt2D="false" dtr="false" t="normal">+N653-'Приложение №2'!E653</f>
        <v>0</v>
      </c>
      <c r="AQ653" s="132" t="n">
        <f aca="false" ca="false" dt2D="false" dtr="false" t="normal">2725811.3-R298</f>
        <v>2466030.787142857</v>
      </c>
      <c r="AR653" s="3" t="n">
        <f aca="false" ca="false" dt2D="false" dtr="false" t="normal">+(K653*10+L653*20)*12*0.85</f>
        <v>650352</v>
      </c>
      <c r="AS653" s="3" t="n">
        <f aca="false" ca="false" dt2D="false" dtr="false" t="normal">+(K653*10+L653*20)*12*30-S298</f>
        <v>19789439.232857138</v>
      </c>
      <c r="AT653" s="9" t="n">
        <f aca="false" ca="false" dt2D="false" dtr="false" t="normal">+S653-AS653</f>
        <v>-9008618.812857138</v>
      </c>
      <c r="AU653" s="9" t="e">
        <f aca="false" ca="false" dt2D="false" dtr="false" t="normal">+P653-'[5]Приложение №1'!$P666</f>
        <v>#REF!</v>
      </c>
      <c r="AV653" s="9" t="e">
        <f aca="false" ca="false" dt2D="false" dtr="false" t="normal">+Q653-'[5]Приложение №1'!$Q666</f>
        <v>#REF!</v>
      </c>
      <c r="AW653" s="113" t="n">
        <f aca="false" ca="true" dt2D="false" dtr="false" t="normal">SUBTOTAL(9, AX653:BL653)</f>
        <v>32024210.410642475</v>
      </c>
      <c r="AX653" s="106" t="n">
        <v>16034044.1521801</v>
      </c>
      <c r="AY653" s="106" t="n">
        <v>5691851.83891928</v>
      </c>
      <c r="AZ653" s="106" t="n"/>
      <c r="BA653" s="106" t="n">
        <v>5790873.0293484</v>
      </c>
      <c r="BB653" s="106" t="n">
        <v>2792950.72349449</v>
      </c>
      <c r="BC653" s="106" t="n"/>
      <c r="BD653" s="106" t="n">
        <v>582245.949293125</v>
      </c>
      <c r="BE653" s="106" t="n"/>
      <c r="BF653" s="106" t="n"/>
      <c r="BG653" s="106" t="n"/>
      <c r="BH653" s="13" t="n"/>
      <c r="BI653" s="106" t="n"/>
      <c r="BJ653" s="106" t="n"/>
      <c r="BK653" s="114" t="n"/>
      <c r="BL653" s="115" t="n">
        <v>1132244.71740708</v>
      </c>
      <c r="BM653" s="113" t="n">
        <f aca="false" ca="true" dt2D="false" dtr="false" t="normal">SUBTOTAL(9, BN653:CB653)</f>
        <v>32024210.410642475</v>
      </c>
      <c r="BN653" s="106" t="n">
        <v>16034044.1521801</v>
      </c>
      <c r="BO653" s="106" t="n">
        <v>5691851.83891928</v>
      </c>
      <c r="BP653" s="106" t="n"/>
      <c r="BQ653" s="106" t="n">
        <v>5790873.0293484</v>
      </c>
      <c r="BR653" s="106" t="n">
        <v>2792950.72349449</v>
      </c>
      <c r="BS653" s="106" t="n"/>
      <c r="BT653" s="106" t="n">
        <v>582245.949293125</v>
      </c>
      <c r="BU653" s="106" t="n"/>
      <c r="BV653" s="106" t="n"/>
      <c r="BW653" s="106" t="n"/>
      <c r="BX653" s="13" t="n"/>
      <c r="BY653" s="106" t="n"/>
      <c r="BZ653" s="106" t="n"/>
      <c r="CA653" s="114" t="n"/>
      <c r="CB653" s="115" t="n">
        <v>1132244.71740708</v>
      </c>
      <c r="CD653" s="116" t="e">
        <f aca="false" ca="false" dt2D="false" dtr="false" t="normal">+CD652+1</f>
        <v>#REF!</v>
      </c>
      <c r="CE653" s="117" t="e">
        <f aca="false" ca="false" dt2D="false" dtr="false" t="normal">+CE652+1</f>
        <v>#REF!</v>
      </c>
      <c r="CF653" s="104" t="s">
        <v>111</v>
      </c>
      <c r="CG653" s="117" t="s">
        <v>376</v>
      </c>
      <c r="CH653" s="108" t="n">
        <f aca="false" ca="true" dt2D="false" dtr="false" t="normal">SUBTOTAL(9, CI653:CW653)</f>
        <v>31703812.84</v>
      </c>
      <c r="CI653" s="106" t="n">
        <v>16034044.15</v>
      </c>
      <c r="CJ653" s="114" t="n">
        <v>5691851.84</v>
      </c>
      <c r="CK653" s="114" t="n"/>
      <c r="CL653" s="114" t="n">
        <v>6518414.93</v>
      </c>
      <c r="CM653" s="114" t="n">
        <v>2327257.2</v>
      </c>
      <c r="CN653" s="114" t="n"/>
      <c r="CO653" s="106" t="n"/>
      <c r="CP653" s="114" t="n"/>
      <c r="CQ653" s="114" t="n"/>
      <c r="CR653" s="114" t="n"/>
      <c r="CS653" s="114" t="n"/>
      <c r="CT653" s="114" t="n"/>
      <c r="CU653" s="114" t="n"/>
      <c r="CV653" s="114" t="n"/>
      <c r="CW653" s="115" t="n">
        <v>1132244.72</v>
      </c>
      <c r="CX653" s="3" t="n">
        <f aca="false" ca="false" dt2D="false" dtr="false" t="normal">+N653-CH653</f>
        <v>-1132244.7200000025</v>
      </c>
      <c r="CZ653" s="117" t="s">
        <v>376</v>
      </c>
      <c r="DA653" s="113" t="n">
        <f aca="false" ca="true" dt2D="false" dtr="false" t="normal">SUBTOTAL(9, DB653:DP653)</f>
        <v>30571568.12</v>
      </c>
      <c r="DB653" s="106" t="n">
        <v>16034044.15</v>
      </c>
      <c r="DC653" s="114" t="n">
        <v>5691851.84</v>
      </c>
      <c r="DD653" s="114" t="n"/>
      <c r="DE653" s="114" t="n">
        <v>6518414.93</v>
      </c>
      <c r="DF653" s="114" t="n">
        <v>2327257.2</v>
      </c>
      <c r="DG653" s="114" t="n"/>
      <c r="DH653" s="106" t="n"/>
      <c r="DI653" s="114" t="n"/>
      <c r="DJ653" s="114" t="n"/>
      <c r="DK653" s="114" t="n"/>
      <c r="DL653" s="114" t="n"/>
      <c r="DM653" s="114" t="n"/>
      <c r="DN653" s="114" t="n"/>
      <c r="DO653" s="114" t="n"/>
      <c r="DP653" s="240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</row>
    <row customFormat="true" hidden="false" ht="15" outlineLevel="0" r="654" s="1">
      <c r="A654" s="183" t="n">
        <f aca="false" ca="false" dt2D="false" dtr="false" t="normal">+A653+1</f>
        <v>632</v>
      </c>
      <c r="B654" s="117" t="n">
        <f aca="false" ca="false" dt2D="false" dtr="false" t="normal">+B653+1</f>
        <v>172</v>
      </c>
      <c r="C654" s="117" t="s">
        <v>111</v>
      </c>
      <c r="D654" s="117" t="s">
        <v>179</v>
      </c>
      <c r="E654" s="105" t="n">
        <v>1975</v>
      </c>
      <c r="F654" s="105" t="n">
        <v>2013</v>
      </c>
      <c r="G654" s="105" t="s">
        <v>68</v>
      </c>
      <c r="H654" s="105" t="n">
        <v>4</v>
      </c>
      <c r="I654" s="105" t="n">
        <v>4</v>
      </c>
      <c r="J654" s="106" t="n">
        <v>2912.6</v>
      </c>
      <c r="K654" s="106" t="n">
        <v>2004.3</v>
      </c>
      <c r="L654" s="106" t="n">
        <v>902.2</v>
      </c>
      <c r="M654" s="107" t="n">
        <v>104</v>
      </c>
      <c r="N654" s="108" t="n">
        <f aca="false" ca="false" dt2D="false" dtr="false" t="normal">SUM(P654:T654)</f>
        <v>13267683.440000001</v>
      </c>
      <c r="O654" s="114" t="n"/>
      <c r="P654" s="113" t="n">
        <v>1207773.04</v>
      </c>
      <c r="Q654" s="114" t="n"/>
      <c r="R654" s="113" t="n">
        <v>1920435.6</v>
      </c>
      <c r="S654" s="113" t="n">
        <v>8481924.63</v>
      </c>
      <c r="T654" s="114" t="n">
        <v>1657550.17</v>
      </c>
      <c r="U654" s="106" t="n">
        <v>7493.7221680114</v>
      </c>
      <c r="V654" s="106" t="n">
        <v>7493.7221680114</v>
      </c>
      <c r="W654" s="110" t="n">
        <v>2024</v>
      </c>
      <c r="X654" s="9" t="e">
        <f aca="false" ca="false" dt2D="false" dtr="false" t="normal">+#REF!-'[9]Приложение №1'!$P1310</f>
        <v>#REF!</v>
      </c>
      <c r="Z654" s="113" t="n">
        <f aca="false" ca="false" dt2D="false" dtr="false" t="normal">SUM(AA654:AO654)</f>
        <v>33480583.039704</v>
      </c>
      <c r="AA654" s="106" t="n">
        <v>4910426.6191344</v>
      </c>
      <c r="AB654" s="106" t="n">
        <v>1749786.87633204</v>
      </c>
      <c r="AC654" s="106" t="n">
        <v>1828137.95042928</v>
      </c>
      <c r="AD654" s="106" t="n">
        <v>1144529.94457704</v>
      </c>
      <c r="AE654" s="106" t="n">
        <v>818458.35</v>
      </c>
      <c r="AF654" s="106" t="n"/>
      <c r="AG654" s="106" t="n">
        <v>188426.5127934</v>
      </c>
      <c r="AH654" s="106" t="n">
        <v>0</v>
      </c>
      <c r="AI654" s="106" t="n">
        <v>8977006.9994346</v>
      </c>
      <c r="AJ654" s="106" t="n">
        <v>0</v>
      </c>
      <c r="AK654" s="106" t="n">
        <v>4660903.59852558</v>
      </c>
      <c r="AL654" s="106" t="n">
        <v>5027330.10252228</v>
      </c>
      <c r="AM654" s="106" t="n">
        <v>3221989.0268</v>
      </c>
      <c r="AN654" s="114" t="n">
        <v>327170.5365</v>
      </c>
      <c r="AO654" s="115" t="n">
        <v>626416.52265538</v>
      </c>
      <c r="AP654" s="112" t="n">
        <f aca="false" ca="false" dt2D="false" dtr="false" t="normal">+N654-'Приложение №2'!E653</f>
        <v>-17303884.68</v>
      </c>
      <c r="AQ654" s="1" t="n">
        <v>1936703.42</v>
      </c>
      <c r="AR654" s="3" t="n">
        <f aca="false" ca="false" dt2D="false" dtr="false" t="normal">+(K654*10+L654*20)*12*0.85</f>
        <v>388487.39999999997</v>
      </c>
      <c r="AS654" s="3" t="n">
        <f aca="false" ca="false" dt2D="false" dtr="false" t="normal">+(K654*10+L654*20)*12*30</f>
        <v>13711320</v>
      </c>
      <c r="AT654" s="9" t="n">
        <f aca="false" ca="false" dt2D="false" dtr="false" t="normal">+S654-AS654</f>
        <v>-5229395.369999999</v>
      </c>
      <c r="AU654" s="9" t="e">
        <f aca="false" ca="false" dt2D="false" dtr="false" t="normal">+P654-'[5]Приложение №1'!$P610</f>
        <v>#REF!</v>
      </c>
      <c r="AV654" s="9" t="e">
        <f aca="false" ca="false" dt2D="false" dtr="false" t="normal">+Q654-'[5]Приложение №1'!$Q610</f>
        <v>#REF!</v>
      </c>
      <c r="AW654" s="113" t="n">
        <f aca="false" ca="true" dt2D="false" dtr="false" t="normal">SUBTOTAL(9, AX654:BL654)</f>
        <v>21780503.481325135</v>
      </c>
      <c r="AX654" s="106" t="n">
        <v>6939356.64374314</v>
      </c>
      <c r="AY654" s="106" t="n">
        <v>0</v>
      </c>
      <c r="AZ654" s="106" t="n">
        <v>0</v>
      </c>
      <c r="BA654" s="106" t="n">
        <v>0</v>
      </c>
      <c r="BB654" s="106" t="n">
        <v>818458.35</v>
      </c>
      <c r="BC654" s="106" t="n"/>
      <c r="BD654" s="106" t="n">
        <v>266268.265969023</v>
      </c>
      <c r="BE654" s="106" t="n">
        <v>0</v>
      </c>
      <c r="BF654" s="106" t="n">
        <v>6490827.11</v>
      </c>
      <c r="BG654" s="106" t="n">
        <v>0</v>
      </c>
      <c r="BH654" s="106" t="n">
        <v>0</v>
      </c>
      <c r="BI654" s="106" t="n">
        <v>7104547.28899068</v>
      </c>
      <c r="BJ654" s="106" t="n"/>
      <c r="BK654" s="114" t="n"/>
      <c r="BL654" s="187" t="n">
        <v>161045.822622292</v>
      </c>
      <c r="BM654" s="113" t="n">
        <f aca="false" ca="true" dt2D="false" dtr="false" t="normal">SUBTOTAL(9, BN654:CB654)</f>
        <v>22658967.491325133</v>
      </c>
      <c r="BN654" s="106" t="n">
        <v>6939356.64374314</v>
      </c>
      <c r="BO654" s="106" t="n">
        <v>0</v>
      </c>
      <c r="BP654" s="106" t="n">
        <v>0</v>
      </c>
      <c r="BQ654" s="106" t="n">
        <v>0</v>
      </c>
      <c r="BR654" s="106" t="n">
        <v>818458.35</v>
      </c>
      <c r="BS654" s="106" t="n"/>
      <c r="BT654" s="106" t="n">
        <v>266268.265969023</v>
      </c>
      <c r="BU654" s="106" t="n">
        <v>0</v>
      </c>
      <c r="BV654" s="106" t="n">
        <v>7369291.12</v>
      </c>
      <c r="BW654" s="106" t="n">
        <v>0</v>
      </c>
      <c r="BX654" s="106" t="n">
        <v>0</v>
      </c>
      <c r="BY654" s="106" t="n">
        <v>7104547.28899068</v>
      </c>
      <c r="BZ654" s="106" t="n"/>
      <c r="CA654" s="114" t="n"/>
      <c r="CB654" s="115" t="n">
        <v>161045.822622292</v>
      </c>
      <c r="CD654" s="116" t="e">
        <f aca="false" ca="false" dt2D="false" dtr="false" t="normal">+CD653+1</f>
        <v>#REF!</v>
      </c>
      <c r="CE654" s="117" t="e">
        <f aca="false" ca="false" dt2D="false" dtr="false" t="normal">+CE653+1</f>
        <v>#REF!</v>
      </c>
      <c r="CF654" s="104" t="s">
        <v>111</v>
      </c>
      <c r="CG654" s="117" t="s">
        <v>179</v>
      </c>
      <c r="CH654" s="108" t="n">
        <f aca="false" ca="true" dt2D="false" dtr="false" t="normal">SUBTOTAL(9, CI654:CW654)</f>
        <v>13267683.44</v>
      </c>
      <c r="CI654" s="106" t="n">
        <v>6939356.64</v>
      </c>
      <c r="CJ654" s="114" t="n">
        <v>0</v>
      </c>
      <c r="CK654" s="114" t="n">
        <v>0</v>
      </c>
      <c r="CL654" s="114" t="n">
        <v>0</v>
      </c>
      <c r="CM654" s="243" t="n">
        <v>586245.68</v>
      </c>
      <c r="CN654" s="114" t="n"/>
      <c r="CO654" s="106" t="n"/>
      <c r="CP654" s="114" t="n">
        <v>0</v>
      </c>
      <c r="CQ654" s="114" t="n"/>
      <c r="CR654" s="114" t="n">
        <v>0</v>
      </c>
      <c r="CS654" s="114" t="n">
        <v>0</v>
      </c>
      <c r="CT654" s="114" t="n">
        <v>5742081.12</v>
      </c>
      <c r="CU654" s="114" t="n"/>
      <c r="CV654" s="114" t="n"/>
      <c r="CW654" s="115" t="n"/>
      <c r="CX654" s="3" t="n">
        <f aca="false" ca="false" dt2D="false" dtr="false" t="normal">+N654-CH654</f>
        <v>0</v>
      </c>
      <c r="CZ654" s="117" t="s">
        <v>179</v>
      </c>
      <c r="DA654" s="113" t="n">
        <f aca="false" ca="true" dt2D="false" dtr="false" t="normal">SUBTOTAL(9, DB654:DP654)</f>
        <v>13267683.44</v>
      </c>
      <c r="DB654" s="106" t="n">
        <v>6939356.64</v>
      </c>
      <c r="DC654" s="114" t="n">
        <v>0</v>
      </c>
      <c r="DD654" s="114" t="n">
        <v>0</v>
      </c>
      <c r="DE654" s="114" t="n">
        <v>0</v>
      </c>
      <c r="DF654" s="243" t="n">
        <v>586245.68</v>
      </c>
      <c r="DG654" s="114" t="n"/>
      <c r="DH654" s="106" t="n"/>
      <c r="DI654" s="114" t="n">
        <v>0</v>
      </c>
      <c r="DJ654" s="114" t="n"/>
      <c r="DK654" s="114" t="n">
        <v>0</v>
      </c>
      <c r="DL654" s="114" t="n">
        <v>0</v>
      </c>
      <c r="DM654" s="114" t="n">
        <v>5742081.12</v>
      </c>
      <c r="DN654" s="114" t="n"/>
      <c r="DO654" s="114" t="n"/>
      <c r="DP654" s="240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</row>
    <row customFormat="true" hidden="false" ht="15" outlineLevel="0" r="655" s="1">
      <c r="A655" s="183" t="n">
        <f aca="false" ca="false" dt2D="false" dtr="false" t="normal">+A654+1</f>
        <v>633</v>
      </c>
      <c r="B655" s="117" t="n">
        <f aca="false" ca="false" dt2D="false" dtr="false" t="normal">+B654+1</f>
        <v>173</v>
      </c>
      <c r="C655" s="117" t="s">
        <v>111</v>
      </c>
      <c r="D655" s="117" t="s">
        <v>180</v>
      </c>
      <c r="E655" s="201" t="n">
        <v>1993</v>
      </c>
      <c r="F655" s="201" t="n">
        <v>2013</v>
      </c>
      <c r="G655" s="201" t="s">
        <v>68</v>
      </c>
      <c r="H655" s="201" t="n">
        <v>5</v>
      </c>
      <c r="I655" s="201" t="n">
        <v>2</v>
      </c>
      <c r="J655" s="114" t="n">
        <v>2382.7</v>
      </c>
      <c r="K655" s="114" t="n">
        <v>2177.75</v>
      </c>
      <c r="L655" s="114" t="n">
        <v>0</v>
      </c>
      <c r="M655" s="202" t="n">
        <v>103</v>
      </c>
      <c r="N655" s="108" t="n">
        <f aca="false" ca="false" dt2D="false" dtr="false" t="normal">SUM(P655:T655)</f>
        <v>1166577.07</v>
      </c>
      <c r="O655" s="114" t="n"/>
      <c r="P655" s="114" t="n"/>
      <c r="Q655" s="114" t="n"/>
      <c r="R655" s="113" t="n">
        <v>685437.15</v>
      </c>
      <c r="S655" s="113" t="n">
        <v>334852.16</v>
      </c>
      <c r="T655" s="113" t="n">
        <v>146287.76</v>
      </c>
      <c r="U655" s="114" t="n">
        <v>828.97747675353</v>
      </c>
      <c r="V655" s="114" t="n">
        <v>1316.283020064</v>
      </c>
      <c r="W655" s="110" t="n">
        <v>2024</v>
      </c>
      <c r="X655" s="9" t="e">
        <f aca="false" ca="false" dt2D="false" dtr="false" t="normal">+#REF!-'[9]Приложение №1'!$P1484</f>
        <v>#REF!</v>
      </c>
      <c r="Z655" s="113" t="n">
        <f aca="false" ca="false" dt2D="false" dtr="false" t="normal">SUM(AA655:AO655)</f>
        <v>1112857.6800000002</v>
      </c>
      <c r="AA655" s="106" t="n">
        <v>0</v>
      </c>
      <c r="AB655" s="106" t="n">
        <v>0</v>
      </c>
      <c r="AC655" s="106" t="n">
        <v>0</v>
      </c>
      <c r="AD655" s="106" t="n">
        <v>0</v>
      </c>
      <c r="AE655" s="106" t="n">
        <v>974016.82476</v>
      </c>
      <c r="AF655" s="106" t="n"/>
      <c r="AG655" s="106" t="n">
        <v>0</v>
      </c>
      <c r="AH655" s="106" t="n">
        <v>0</v>
      </c>
      <c r="AI655" s="106" t="n">
        <v>0</v>
      </c>
      <c r="AJ655" s="106" t="n">
        <v>0</v>
      </c>
      <c r="AK655" s="106" t="n">
        <v>0</v>
      </c>
      <c r="AL655" s="106" t="n">
        <v>0</v>
      </c>
      <c r="AM655" s="106" t="n">
        <v>89216.27</v>
      </c>
      <c r="AN655" s="106" t="n">
        <v>28324.81</v>
      </c>
      <c r="AO655" s="115" t="n">
        <v>21299.77524</v>
      </c>
      <c r="AP655" s="112" t="n">
        <f aca="false" ca="false" dt2D="false" dtr="false" t="normal">+N655-'Приложение №2'!E655</f>
        <v>0</v>
      </c>
      <c r="AQ655" s="121" t="n">
        <f aca="false" ca="false" dt2D="false" dtr="false" t="normal">1276512.2-R118</f>
        <v>524922.96</v>
      </c>
      <c r="AR655" s="3" t="n">
        <f aca="false" ca="false" dt2D="false" dtr="false" t="normal">+(K655*10.5+L655*21)*12*0.85</f>
        <v>233237.025</v>
      </c>
      <c r="AS655" s="3" t="n">
        <f aca="false" ca="false" dt2D="false" dtr="false" t="normal">+(K655*10.5+L655*21)*12*30-S118</f>
        <v>975163.7805000003</v>
      </c>
      <c r="AT655" s="9" t="n">
        <f aca="false" ca="false" dt2D="false" dtr="false" t="normal">+S655-AS655</f>
        <v>-640311.6205000004</v>
      </c>
      <c r="AU655" s="9" t="e">
        <f aca="false" ca="false" dt2D="false" dtr="false" t="normal">+P655-'[5]Приложение №1'!$P599</f>
        <v>#REF!</v>
      </c>
      <c r="AV655" s="9" t="e">
        <f aca="false" ca="false" dt2D="false" dtr="false" t="normal">+Q655-'[5]Приложение №1'!$Q599</f>
        <v>#REF!</v>
      </c>
      <c r="AW655" s="186" t="n">
        <f aca="false" ca="true" dt2D="false" dtr="false" t="normal">SUBTOTAL(9, AX655:BL655)</f>
        <v>5091660.759999999</v>
      </c>
      <c r="AX655" s="106" t="n">
        <v>3286355.06</v>
      </c>
      <c r="AY655" s="106" t="n">
        <v>0</v>
      </c>
      <c r="AZ655" s="106" t="n">
        <v>0</v>
      </c>
      <c r="BA655" s="106" t="n">
        <v>0</v>
      </c>
      <c r="BB655" s="106" t="n">
        <v>974016.82476</v>
      </c>
      <c r="BC655" s="106" t="n"/>
      <c r="BD655" s="106" t="n"/>
      <c r="BE655" s="106" t="n">
        <v>0</v>
      </c>
      <c r="BF655" s="106" t="n">
        <v>0</v>
      </c>
      <c r="BG655" s="106" t="n">
        <v>0</v>
      </c>
      <c r="BH655" s="106" t="n">
        <v>0</v>
      </c>
      <c r="BI655" s="106" t="n">
        <v>0</v>
      </c>
      <c r="BJ655" s="106" t="n">
        <f aca="false" ca="false" dt2D="false" dtr="false" t="normal">113216.27+157569.7</f>
        <v>270785.97000000003</v>
      </c>
      <c r="BK655" s="106" t="n">
        <f aca="false" ca="false" dt2D="false" dtr="false" t="normal">28324.81+24000</f>
        <v>52324.81</v>
      </c>
      <c r="BL655" s="115" t="n">
        <f aca="false" ca="false" dt2D="false" dtr="false" t="normal">21299.77524+486878.32</f>
        <v>508178.09524</v>
      </c>
      <c r="BM655" s="186" t="n">
        <f aca="false" ca="true" dt2D="false" dtr="false" t="normal">SUBTOTAL(9, BN655:CB655)</f>
        <v>1805305.7</v>
      </c>
      <c r="BN655" s="106" t="n"/>
      <c r="BO655" s="106" t="n">
        <v>0</v>
      </c>
      <c r="BP655" s="106" t="n">
        <v>0</v>
      </c>
      <c r="BQ655" s="106" t="n">
        <v>0</v>
      </c>
      <c r="BR655" s="106" t="n">
        <v>974016.82476</v>
      </c>
      <c r="BS655" s="106" t="n"/>
      <c r="BT655" s="106" t="n"/>
      <c r="BU655" s="106" t="n">
        <v>0</v>
      </c>
      <c r="BV655" s="106" t="n">
        <v>0</v>
      </c>
      <c r="BW655" s="106" t="n">
        <v>0</v>
      </c>
      <c r="BX655" s="106" t="n">
        <v>0</v>
      </c>
      <c r="BY655" s="106" t="n">
        <v>0</v>
      </c>
      <c r="BZ655" s="106" t="n">
        <f aca="false" ca="false" dt2D="false" dtr="false" t="normal">113216.27+157569.7</f>
        <v>270785.97000000003</v>
      </c>
      <c r="CA655" s="106" t="n">
        <f aca="false" ca="false" dt2D="false" dtr="false" t="normal">28324.81+24000</f>
        <v>52324.81</v>
      </c>
      <c r="CB655" s="115" t="n">
        <f aca="false" ca="false" dt2D="false" dtr="false" t="normal">21299.77524+486878.32</f>
        <v>508178.09524</v>
      </c>
      <c r="CD655" s="116" t="e">
        <f aca="false" ca="false" dt2D="false" dtr="false" t="normal">+CD654+1</f>
        <v>#REF!</v>
      </c>
      <c r="CE655" s="117" t="e">
        <f aca="false" ca="false" dt2D="false" dtr="false" t="normal">+CE654+1</f>
        <v>#REF!</v>
      </c>
      <c r="CF655" s="104" t="s">
        <v>111</v>
      </c>
      <c r="CG655" s="117" t="s">
        <v>180</v>
      </c>
      <c r="CH655" s="108" t="n">
        <f aca="false" ca="true" dt2D="false" dtr="false" t="normal">SUBTOTAL(9, CI655:CW655)</f>
        <v>1674755.17</v>
      </c>
      <c r="CI655" s="106" t="n"/>
      <c r="CJ655" s="114" t="n">
        <v>0</v>
      </c>
      <c r="CK655" s="114" t="n">
        <v>0</v>
      </c>
      <c r="CL655" s="114" t="n">
        <v>0</v>
      </c>
      <c r="CM655" s="114" t="n">
        <v>1166577.07</v>
      </c>
      <c r="CN655" s="114" t="n"/>
      <c r="CO655" s="106" t="n"/>
      <c r="CP655" s="114" t="n">
        <v>0</v>
      </c>
      <c r="CQ655" s="114" t="n">
        <v>0</v>
      </c>
      <c r="CR655" s="114" t="n">
        <v>0</v>
      </c>
      <c r="CS655" s="114" t="n">
        <v>0</v>
      </c>
      <c r="CT655" s="114" t="n">
        <v>0</v>
      </c>
      <c r="CU655" s="114" t="n"/>
      <c r="CV655" s="114" t="n"/>
      <c r="CW655" s="115" t="n">
        <v>508178.1</v>
      </c>
      <c r="CX655" s="3" t="n">
        <f aca="false" ca="false" dt2D="false" dtr="false" t="normal">+N655-CH655</f>
        <v>-508178.09999999986</v>
      </c>
      <c r="CZ655" s="117" t="s">
        <v>180</v>
      </c>
      <c r="DA655" s="113" t="n">
        <f aca="false" ca="true" dt2D="false" dtr="false" t="normal">SUBTOTAL(9, DB655:DP655)</f>
        <v>1166577.07</v>
      </c>
      <c r="DB655" s="106" t="n"/>
      <c r="DC655" s="114" t="n">
        <v>0</v>
      </c>
      <c r="DD655" s="114" t="n">
        <v>0</v>
      </c>
      <c r="DE655" s="114" t="n">
        <v>0</v>
      </c>
      <c r="DF655" s="114" t="n">
        <v>1166577.07</v>
      </c>
      <c r="DG655" s="114" t="n"/>
      <c r="DH655" s="106" t="n"/>
      <c r="DI655" s="114" t="n">
        <v>0</v>
      </c>
      <c r="DJ655" s="114" t="n">
        <v>0</v>
      </c>
      <c r="DK655" s="114" t="n">
        <v>0</v>
      </c>
      <c r="DL655" s="114" t="n">
        <v>0</v>
      </c>
      <c r="DM655" s="114" t="n">
        <v>0</v>
      </c>
      <c r="DN655" s="241" t="n"/>
      <c r="DO655" s="241" t="n"/>
      <c r="DP655" s="240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</row>
    <row customFormat="true" hidden="false" ht="15" outlineLevel="0" r="656" s="1">
      <c r="A656" s="183" t="n">
        <f aca="false" ca="false" dt2D="false" dtr="false" t="normal">+A655+1</f>
        <v>634</v>
      </c>
      <c r="B656" s="117" t="n">
        <f aca="false" ca="false" dt2D="false" dtr="false" t="normal">+B655+1</f>
        <v>174</v>
      </c>
      <c r="C656" s="117" t="s">
        <v>111</v>
      </c>
      <c r="D656" s="117" t="s">
        <v>631</v>
      </c>
      <c r="E656" s="201" t="n">
        <v>1968</v>
      </c>
      <c r="F656" s="201" t="n">
        <v>2013</v>
      </c>
      <c r="G656" s="201" t="s">
        <v>68</v>
      </c>
      <c r="H656" s="201" t="n">
        <v>4</v>
      </c>
      <c r="I656" s="201" t="n">
        <v>4</v>
      </c>
      <c r="J656" s="114" t="n">
        <v>2661.8</v>
      </c>
      <c r="K656" s="114" t="n">
        <v>2457.2</v>
      </c>
      <c r="L656" s="114" t="n">
        <v>0</v>
      </c>
      <c r="M656" s="202" t="n">
        <v>113</v>
      </c>
      <c r="N656" s="108" t="n">
        <f aca="false" ca="false" dt2D="false" dtr="false" t="normal">SUM(P656:T656)</f>
        <v>2230881.52</v>
      </c>
      <c r="O656" s="114" t="n"/>
      <c r="P656" s="114" t="n"/>
      <c r="Q656" s="114" t="n"/>
      <c r="R656" s="113" t="n">
        <v>1515531.92</v>
      </c>
      <c r="S656" s="113" t="n">
        <v>715349.6</v>
      </c>
      <c r="T656" s="114" t="n"/>
      <c r="U656" s="114" t="n">
        <v>1032.45380680035</v>
      </c>
      <c r="V656" s="114" t="n">
        <v>1317.283020064</v>
      </c>
      <c r="W656" s="110" t="n">
        <v>2024</v>
      </c>
      <c r="X656" s="9" t="e">
        <f aca="false" ca="false" dt2D="false" dtr="false" t="normal">+#REF!-'[9]Приложение №1'!$P1098</f>
        <v>#REF!</v>
      </c>
      <c r="Z656" s="113" t="n">
        <f aca="false" ca="false" dt2D="false" dtr="false" t="normal">SUM(AA656:AO656)</f>
        <v>3827984.7964527896</v>
      </c>
      <c r="AA656" s="106" t="n">
        <v>0</v>
      </c>
      <c r="AB656" s="106" t="n">
        <v>2230881.51592079</v>
      </c>
      <c r="AC656" s="106" t="n">
        <v>0</v>
      </c>
      <c r="AD656" s="106" t="n">
        <v>0</v>
      </c>
      <c r="AE656" s="106" t="n">
        <v>1122695.992488</v>
      </c>
      <c r="AF656" s="106" t="n"/>
      <c r="AG656" s="106" t="n">
        <v>226983.177624</v>
      </c>
      <c r="AH656" s="106" t="n">
        <v>0</v>
      </c>
      <c r="AI656" s="106" t="n">
        <v>0</v>
      </c>
      <c r="AJ656" s="106" t="n">
        <v>0</v>
      </c>
      <c r="AK656" s="106" t="n">
        <v>0</v>
      </c>
      <c r="AL656" s="106" t="n">
        <v>0</v>
      </c>
      <c r="AM656" s="106" t="n">
        <v>128061.95</v>
      </c>
      <c r="AN656" s="106" t="n">
        <v>41062.55</v>
      </c>
      <c r="AO656" s="115" t="n">
        <v>78299.61042</v>
      </c>
      <c r="AP656" s="112" t="n">
        <f aca="false" ca="false" dt2D="false" dtr="false" t="normal">+N656-'Приложение №2'!E656</f>
        <v>0</v>
      </c>
      <c r="AQ656" s="1" t="n">
        <v>1433476.7</v>
      </c>
      <c r="AR656" s="3" t="n">
        <f aca="false" ca="false" dt2D="false" dtr="false" t="normal">+(K656*10.5+L656*21)*12*0.85</f>
        <v>263166.11999999994</v>
      </c>
      <c r="AS656" s="3" t="n">
        <f aca="false" ca="false" dt2D="false" dtr="false" t="normal">+(K656*10.5+L656*21)*12*30</f>
        <v>9288215.999999998</v>
      </c>
      <c r="AT656" s="9" t="n">
        <f aca="false" ca="false" dt2D="false" dtr="false" t="normal">+S656-AS656</f>
        <v>-8572866.399999999</v>
      </c>
      <c r="AU656" s="9" t="e">
        <f aca="false" ca="false" dt2D="false" dtr="false" t="normal">+P656-'[5]Приложение №1'!$P600</f>
        <v>#REF!</v>
      </c>
      <c r="AV656" s="9" t="e">
        <f aca="false" ca="false" dt2D="false" dtr="false" t="normal">+Q656-'[5]Приложение №1'!$Q600</f>
        <v>#REF!</v>
      </c>
      <c r="AW656" s="186" t="n">
        <f aca="false" ca="true" dt2D="false" dtr="false" t="normal">SUBTOTAL(9, AX656:BL656)</f>
        <v>2536945.4940698296</v>
      </c>
      <c r="AX656" s="106" t="n">
        <v>0</v>
      </c>
      <c r="AY656" s="106" t="n">
        <v>2230881.51592079</v>
      </c>
      <c r="AZ656" s="106" t="n">
        <v>0</v>
      </c>
      <c r="BA656" s="106" t="n">
        <v>0</v>
      </c>
      <c r="BB656" s="106" t="n"/>
      <c r="BC656" s="106" t="n"/>
      <c r="BD656" s="106" t="n"/>
      <c r="BE656" s="106" t="n">
        <v>0</v>
      </c>
      <c r="BF656" s="106" t="n">
        <v>0</v>
      </c>
      <c r="BG656" s="106" t="n">
        <v>0</v>
      </c>
      <c r="BH656" s="106" t="n">
        <v>0</v>
      </c>
      <c r="BI656" s="106" t="n">
        <v>0</v>
      </c>
      <c r="BJ656" s="106" t="n">
        <v>237174.324</v>
      </c>
      <c r="BK656" s="106" t="n">
        <v>23717.4324</v>
      </c>
      <c r="BL656" s="115" t="n">
        <v>45172.22174904</v>
      </c>
      <c r="BM656" s="186" t="n">
        <f aca="false" ca="true" dt2D="false" dtr="false" t="normal">SUBTOTAL(9, BN656:CB656)</f>
        <v>2536945.4940698296</v>
      </c>
      <c r="BN656" s="106" t="n">
        <v>0</v>
      </c>
      <c r="BO656" s="106" t="n">
        <v>2230881.51592079</v>
      </c>
      <c r="BP656" s="106" t="n">
        <v>0</v>
      </c>
      <c r="BQ656" s="106" t="n">
        <v>0</v>
      </c>
      <c r="BR656" s="106" t="n"/>
      <c r="BS656" s="106" t="n"/>
      <c r="BT656" s="106" t="n"/>
      <c r="BU656" s="106" t="n">
        <v>0</v>
      </c>
      <c r="BV656" s="106" t="n">
        <v>0</v>
      </c>
      <c r="BW656" s="106" t="n">
        <v>0</v>
      </c>
      <c r="BX656" s="106" t="n">
        <v>0</v>
      </c>
      <c r="BY656" s="106" t="n">
        <v>0</v>
      </c>
      <c r="BZ656" s="106" t="n">
        <v>237174.324</v>
      </c>
      <c r="CA656" s="106" t="n">
        <v>23717.4324</v>
      </c>
      <c r="CB656" s="115" t="n">
        <v>45172.22174904</v>
      </c>
      <c r="CD656" s="116" t="e">
        <f aca="false" ca="false" dt2D="false" dtr="false" t="normal">+CD655+1</f>
        <v>#REF!</v>
      </c>
      <c r="CE656" s="117" t="e">
        <f aca="false" ca="false" dt2D="false" dtr="false" t="normal">+CE655+1</f>
        <v>#REF!</v>
      </c>
      <c r="CF656" s="104" t="s">
        <v>111</v>
      </c>
      <c r="CG656" s="117" t="s">
        <v>631</v>
      </c>
      <c r="CH656" s="108" t="n">
        <f aca="false" ca="true" dt2D="false" dtr="false" t="normal">SUBTOTAL(9, CI656:CW656)</f>
        <v>2276053.74</v>
      </c>
      <c r="CI656" s="106" t="n">
        <v>0</v>
      </c>
      <c r="CJ656" s="114" t="n">
        <v>2230881.52</v>
      </c>
      <c r="CK656" s="114" t="n">
        <v>0</v>
      </c>
      <c r="CL656" s="114" t="n">
        <v>0</v>
      </c>
      <c r="CM656" s="114" t="n"/>
      <c r="CN656" s="114" t="n"/>
      <c r="CO656" s="106" t="n"/>
      <c r="CP656" s="114" t="n">
        <v>0</v>
      </c>
      <c r="CQ656" s="114" t="n">
        <v>0</v>
      </c>
      <c r="CR656" s="114" t="n">
        <v>0</v>
      </c>
      <c r="CS656" s="114" t="n">
        <v>0</v>
      </c>
      <c r="CT656" s="114" t="n">
        <v>0</v>
      </c>
      <c r="CU656" s="114" t="n"/>
      <c r="CV656" s="114" t="n"/>
      <c r="CW656" s="115" t="n">
        <v>45172.22</v>
      </c>
      <c r="CX656" s="3" t="n">
        <f aca="false" ca="false" dt2D="false" dtr="false" t="normal">+N656-CH656</f>
        <v>-45172.220000000205</v>
      </c>
      <c r="CZ656" s="117" t="s">
        <v>631</v>
      </c>
      <c r="DA656" s="113" t="n">
        <f aca="false" ca="true" dt2D="false" dtr="false" t="normal">SUBTOTAL(9, DB656:DP656)</f>
        <v>2230881.52</v>
      </c>
      <c r="DB656" s="106" t="n">
        <v>0</v>
      </c>
      <c r="DC656" s="114" t="n">
        <v>2230881.52</v>
      </c>
      <c r="DD656" s="114" t="n">
        <v>0</v>
      </c>
      <c r="DE656" s="114" t="n">
        <v>0</v>
      </c>
      <c r="DF656" s="114" t="n"/>
      <c r="DG656" s="114" t="n"/>
      <c r="DH656" s="106" t="n"/>
      <c r="DI656" s="114" t="n">
        <v>0</v>
      </c>
      <c r="DJ656" s="114" t="n">
        <v>0</v>
      </c>
      <c r="DK656" s="114" t="n">
        <v>0</v>
      </c>
      <c r="DL656" s="114" t="n">
        <v>0</v>
      </c>
      <c r="DM656" s="114" t="n">
        <v>0</v>
      </c>
      <c r="DN656" s="241" t="n"/>
      <c r="DO656" s="241" t="n"/>
      <c r="DP656" s="240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</row>
    <row customFormat="true" hidden="false" ht="15" outlineLevel="0" r="657" s="1">
      <c r="A657" s="183" t="n">
        <f aca="false" ca="false" dt2D="false" dtr="false" t="normal">+A656+1</f>
        <v>635</v>
      </c>
      <c r="B657" s="117" t="n">
        <f aca="false" ca="false" dt2D="false" dtr="false" t="normal">+B656+1</f>
        <v>175</v>
      </c>
      <c r="C657" s="104" t="s">
        <v>111</v>
      </c>
      <c r="D657" s="104" t="s">
        <v>632</v>
      </c>
      <c r="E657" s="105" t="n">
        <v>1984</v>
      </c>
      <c r="F657" s="105" t="n">
        <v>1984</v>
      </c>
      <c r="G657" s="105" t="s">
        <v>68</v>
      </c>
      <c r="H657" s="105" t="n">
        <v>5</v>
      </c>
      <c r="I657" s="105" t="n">
        <v>6</v>
      </c>
      <c r="J657" s="106" t="n">
        <v>7096.75</v>
      </c>
      <c r="K657" s="106" t="n">
        <v>6228.7</v>
      </c>
      <c r="L657" s="106" t="n">
        <v>0</v>
      </c>
      <c r="M657" s="107" t="n">
        <v>298</v>
      </c>
      <c r="N657" s="108" t="n">
        <f aca="false" ca="false" dt2D="false" dtr="false" t="normal">SUM(P657:T657)</f>
        <v>15672884.18</v>
      </c>
      <c r="O657" s="106" t="n"/>
      <c r="P657" s="114" t="n"/>
      <c r="Q657" s="114" t="n"/>
      <c r="R657" s="113" t="n">
        <v>3618454.07</v>
      </c>
      <c r="S657" s="113" t="n">
        <v>12054430.11</v>
      </c>
      <c r="T657" s="114" t="n"/>
      <c r="U657" s="106" t="n">
        <v>2571.26180583428</v>
      </c>
      <c r="V657" s="106" t="n">
        <v>2571.26180583428</v>
      </c>
      <c r="W657" s="110" t="n">
        <v>2024</v>
      </c>
      <c r="X657" s="9" t="e">
        <f aca="false" ca="false" dt2D="false" dtr="false" t="normal">+#REF!-'[9]Приложение №1'!$P1099</f>
        <v>#REF!</v>
      </c>
      <c r="Z657" s="113" t="n">
        <f aca="false" ca="false" dt2D="false" dtr="false" t="normal">SUM(AA657:AO657)</f>
        <v>16247767.72999998</v>
      </c>
      <c r="AA657" s="106" t="n">
        <v>0</v>
      </c>
      <c r="AB657" s="106" t="n">
        <v>0</v>
      </c>
      <c r="AC657" s="106" t="n">
        <v>0</v>
      </c>
      <c r="AD657" s="106" t="n">
        <v>0</v>
      </c>
      <c r="AE657" s="106" t="n">
        <v>0</v>
      </c>
      <c r="AF657" s="106" t="n"/>
      <c r="AG657" s="106" t="n">
        <v>0</v>
      </c>
      <c r="AH657" s="106" t="n">
        <v>0</v>
      </c>
      <c r="AI657" s="106" t="n">
        <v>0</v>
      </c>
      <c r="AJ657" s="106" t="n">
        <v>0</v>
      </c>
      <c r="AK657" s="106" t="n">
        <v>0</v>
      </c>
      <c r="AL657" s="106" t="n">
        <v>14151058.2955144</v>
      </c>
      <c r="AM657" s="106" t="n">
        <v>1624776.773</v>
      </c>
      <c r="AN657" s="114" t="n">
        <v>162477.6773</v>
      </c>
      <c r="AO657" s="115" t="n">
        <v>309454.98418558</v>
      </c>
      <c r="AP657" s="112" t="n">
        <f aca="false" ca="false" dt2D="false" dtr="false" t="normal">+N657-'Приложение №2'!E657</f>
        <v>0</v>
      </c>
      <c r="AQ657" s="1" t="n">
        <v>2983126.67</v>
      </c>
      <c r="AR657" s="3" t="n">
        <f aca="false" ca="false" dt2D="false" dtr="false" t="normal">+(K657*10+L657*20)*12*0.85</f>
        <v>635327.4</v>
      </c>
      <c r="AS657" s="3" t="n">
        <f aca="false" ca="false" dt2D="false" dtr="false" t="normal">+(K657*10+L657*20)*12*30</f>
        <v>22423320</v>
      </c>
      <c r="AT657" s="9" t="n">
        <f aca="false" ca="false" dt2D="false" dtr="false" t="normal">+S657-AS657</f>
        <v>-10368889.89</v>
      </c>
      <c r="AU657" s="9" t="e">
        <f aca="false" ca="false" dt2D="false" dtr="false" t="normal">+P657-'[5]Приложение №1'!$P318</f>
        <v>#REF!</v>
      </c>
      <c r="AV657" s="9" t="e">
        <f aca="false" ca="false" dt2D="false" dtr="false" t="normal">+Q657-'[5]Приложение №1'!$Q318</f>
        <v>#REF!</v>
      </c>
      <c r="AW657" s="113" t="n">
        <f aca="false" ca="true" dt2D="false" dtr="false" t="normal">SUBTOTAL(9, AX657:BL657)</f>
        <v>16015618.41</v>
      </c>
      <c r="AX657" s="106" t="n">
        <v>0</v>
      </c>
      <c r="AY657" s="106" t="n">
        <v>0</v>
      </c>
      <c r="AZ657" s="106" t="n">
        <v>0</v>
      </c>
      <c r="BA657" s="106" t="n">
        <v>0</v>
      </c>
      <c r="BB657" s="106" t="n">
        <v>0</v>
      </c>
      <c r="BC657" s="106" t="n"/>
      <c r="BD657" s="106" t="n"/>
      <c r="BE657" s="106" t="n">
        <v>0</v>
      </c>
      <c r="BF657" s="106" t="n">
        <v>0</v>
      </c>
      <c r="BG657" s="106" t="n">
        <v>0</v>
      </c>
      <c r="BH657" s="106" t="n">
        <v>0</v>
      </c>
      <c r="BI657" s="106" t="n">
        <v>15672884.176026</v>
      </c>
      <c r="BJ657" s="106" t="n"/>
      <c r="BK657" s="114" t="n"/>
      <c r="BL657" s="187" t="n">
        <v>342734.233974</v>
      </c>
      <c r="BM657" s="113" t="n">
        <f aca="false" ca="true" dt2D="false" dtr="false" t="normal">SUBTOTAL(9, BN657:CB657)</f>
        <v>16015618.41</v>
      </c>
      <c r="BN657" s="106" t="n">
        <v>0</v>
      </c>
      <c r="BO657" s="106" t="n">
        <v>0</v>
      </c>
      <c r="BP657" s="106" t="n">
        <v>0</v>
      </c>
      <c r="BQ657" s="106" t="n">
        <v>0</v>
      </c>
      <c r="BR657" s="106" t="n">
        <v>0</v>
      </c>
      <c r="BS657" s="106" t="n"/>
      <c r="BT657" s="106" t="n"/>
      <c r="BU657" s="106" t="n">
        <v>0</v>
      </c>
      <c r="BV657" s="106" t="n">
        <v>0</v>
      </c>
      <c r="BW657" s="106" t="n">
        <v>0</v>
      </c>
      <c r="BX657" s="106" t="n">
        <v>0</v>
      </c>
      <c r="BY657" s="106" t="n">
        <v>15672884.176026</v>
      </c>
      <c r="BZ657" s="106" t="n"/>
      <c r="CA657" s="114" t="n"/>
      <c r="CB657" s="115" t="n">
        <v>342734.233974</v>
      </c>
      <c r="CD657" s="116" t="e">
        <f aca="false" ca="false" dt2D="false" dtr="false" t="normal">+CD656+1</f>
        <v>#REF!</v>
      </c>
      <c r="CE657" s="117" t="e">
        <f aca="false" ca="false" dt2D="false" dtr="false" t="normal">+CE656+1</f>
        <v>#REF!</v>
      </c>
      <c r="CF657" s="104" t="s">
        <v>111</v>
      </c>
      <c r="CG657" s="117" t="s">
        <v>632</v>
      </c>
      <c r="CH657" s="108" t="n">
        <f aca="false" ca="true" dt2D="false" dtr="false" t="normal">SUBTOTAL(9, CI657:CW657)</f>
        <v>16015618.41</v>
      </c>
      <c r="CI657" s="106" t="n">
        <v>0</v>
      </c>
      <c r="CJ657" s="114" t="n">
        <v>0</v>
      </c>
      <c r="CK657" s="114" t="n">
        <v>0</v>
      </c>
      <c r="CL657" s="114" t="n">
        <v>0</v>
      </c>
      <c r="CM657" s="114" t="n">
        <v>0</v>
      </c>
      <c r="CN657" s="114" t="n"/>
      <c r="CO657" s="106" t="n"/>
      <c r="CP657" s="114" t="n">
        <v>0</v>
      </c>
      <c r="CQ657" s="114" t="n">
        <v>0</v>
      </c>
      <c r="CR657" s="114" t="n">
        <v>0</v>
      </c>
      <c r="CS657" s="114" t="n">
        <v>0</v>
      </c>
      <c r="CT657" s="114" t="n">
        <v>15672884.18</v>
      </c>
      <c r="CU657" s="114" t="n"/>
      <c r="CV657" s="114" t="n"/>
      <c r="CW657" s="115" t="n">
        <v>342734.23</v>
      </c>
      <c r="CX657" s="3" t="n">
        <f aca="false" ca="false" dt2D="false" dtr="false" t="normal">+N657-CH657</f>
        <v>-342734.23000000045</v>
      </c>
      <c r="CZ657" s="117" t="s">
        <v>632</v>
      </c>
      <c r="DA657" s="113" t="n">
        <f aca="false" ca="true" dt2D="false" dtr="false" t="normal">SUBTOTAL(9, DB657:DP657)</f>
        <v>15672884.18</v>
      </c>
      <c r="DB657" s="106" t="n">
        <v>0</v>
      </c>
      <c r="DC657" s="114" t="n">
        <v>0</v>
      </c>
      <c r="DD657" s="114" t="n">
        <v>0</v>
      </c>
      <c r="DE657" s="114" t="n">
        <v>0</v>
      </c>
      <c r="DF657" s="114" t="n">
        <v>0</v>
      </c>
      <c r="DG657" s="114" t="n"/>
      <c r="DH657" s="106" t="n"/>
      <c r="DI657" s="114" t="n">
        <v>0</v>
      </c>
      <c r="DJ657" s="114" t="n">
        <v>0</v>
      </c>
      <c r="DK657" s="114" t="n">
        <v>0</v>
      </c>
      <c r="DL657" s="114" t="n">
        <v>0</v>
      </c>
      <c r="DM657" s="114" t="n">
        <v>15672884.18</v>
      </c>
      <c r="DN657" s="114" t="n"/>
      <c r="DO657" s="114" t="n"/>
      <c r="DP657" s="240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</row>
    <row customFormat="true" hidden="false" ht="15" outlineLevel="0" r="658" s="1">
      <c r="A658" s="183" t="n">
        <f aca="false" ca="false" dt2D="false" dtr="false" t="normal">+A657+1</f>
        <v>636</v>
      </c>
      <c r="B658" s="117" t="n">
        <f aca="false" ca="false" dt2D="false" dtr="false" t="normal">+B657+1</f>
        <v>176</v>
      </c>
      <c r="C658" s="117" t="s">
        <v>111</v>
      </c>
      <c r="D658" s="117" t="s">
        <v>380</v>
      </c>
      <c r="E658" s="105" t="n">
        <v>1973</v>
      </c>
      <c r="F658" s="105" t="n">
        <v>2011</v>
      </c>
      <c r="G658" s="105" t="s">
        <v>68</v>
      </c>
      <c r="H658" s="105" t="n">
        <v>5</v>
      </c>
      <c r="I658" s="105" t="n">
        <v>4</v>
      </c>
      <c r="J658" s="106" t="n">
        <v>3343.7</v>
      </c>
      <c r="K658" s="106" t="n">
        <v>3061.9</v>
      </c>
      <c r="L658" s="106" t="n">
        <v>0</v>
      </c>
      <c r="M658" s="107" t="n">
        <v>160</v>
      </c>
      <c r="N658" s="108" t="n">
        <f aca="false" ca="false" dt2D="false" dtr="false" t="normal">SUM(P658:T658)</f>
        <v>2606967.97</v>
      </c>
      <c r="O658" s="114" t="n"/>
      <c r="P658" s="114" t="n"/>
      <c r="Q658" s="114" t="n"/>
      <c r="R658" s="113" t="n">
        <v>312313.8</v>
      </c>
      <c r="S658" s="113" t="n">
        <v>1538111.1</v>
      </c>
      <c r="T658" s="113" t="n">
        <v>756543.07</v>
      </c>
      <c r="U658" s="106" t="n">
        <v>5206.53421589557</v>
      </c>
      <c r="V658" s="106" t="n">
        <v>5206.53421589557</v>
      </c>
      <c r="W658" s="110" t="n">
        <v>2024</v>
      </c>
      <c r="X658" s="9" t="e">
        <f aca="false" ca="false" dt2D="false" dtr="false" t="normal">+#REF!-'[9]Приложение №1'!$P1222</f>
        <v>#REF!</v>
      </c>
      <c r="Z658" s="113" t="n">
        <f aca="false" ca="false" dt2D="false" dtr="false" t="normal">SUM(AA658:AO658)</f>
        <v>26291754.259999998</v>
      </c>
      <c r="AA658" s="106" t="n">
        <v>0</v>
      </c>
      <c r="AB658" s="106" t="n">
        <v>0</v>
      </c>
      <c r="AC658" s="106" t="n">
        <v>2724296.20082046</v>
      </c>
      <c r="AD658" s="106" t="n">
        <v>0</v>
      </c>
      <c r="AE658" s="106" t="n">
        <v>0</v>
      </c>
      <c r="AF658" s="106" t="n"/>
      <c r="AG658" s="106" t="n">
        <v>0</v>
      </c>
      <c r="AH658" s="106" t="n">
        <v>0</v>
      </c>
      <c r="AI658" s="106" t="n">
        <v>13377560.5381698</v>
      </c>
      <c r="AJ658" s="106" t="n">
        <v>0</v>
      </c>
      <c r="AK658" s="106" t="n">
        <v>6945691.362309</v>
      </c>
      <c r="AL658" s="106" t="n">
        <v>0</v>
      </c>
      <c r="AM658" s="106" t="n">
        <v>2477285.4183</v>
      </c>
      <c r="AN658" s="114" t="n">
        <v>262917.5426</v>
      </c>
      <c r="AO658" s="115" t="n">
        <v>504003.19780074</v>
      </c>
      <c r="AP658" s="112" t="n">
        <f aca="false" ca="false" dt2D="false" dtr="false" t="normal">+N658-'Приложение №2'!E658</f>
        <v>0</v>
      </c>
      <c r="AQ658" s="1" t="n">
        <v>1384488.01</v>
      </c>
      <c r="AR658" s="3" t="n">
        <f aca="false" ca="false" dt2D="false" dtr="false" t="normal">+(K658*10+L658*20)*12*0.85</f>
        <v>312313.8</v>
      </c>
      <c r="AS658" s="3" t="n">
        <f aca="false" ca="false" dt2D="false" dtr="false" t="normal">+(K658*10+L658*20)*12*30</f>
        <v>11022840</v>
      </c>
      <c r="AT658" s="9" t="n">
        <f aca="false" ca="false" dt2D="false" dtr="false" t="normal">+S658-AS658</f>
        <v>-9484728.9</v>
      </c>
      <c r="AU658" s="9" t="e">
        <f aca="false" ca="false" dt2D="false" dtr="false" t="normal">+P658-'[5]Приложение №1'!$P641</f>
        <v>#REF!</v>
      </c>
      <c r="AV658" s="9" t="e">
        <f aca="false" ca="false" dt2D="false" dtr="false" t="normal">+Q658-'[5]Приложение №1'!$Q641</f>
        <v>#REF!</v>
      </c>
      <c r="AW658" s="113" t="n">
        <f aca="false" ca="true" dt2D="false" dtr="false" t="normal">SUBTOTAL(9, AX658:BL658)</f>
        <v>16196844.68565066</v>
      </c>
      <c r="AX658" s="106" t="n">
        <v>0</v>
      </c>
      <c r="AY658" s="106" t="n">
        <v>0</v>
      </c>
      <c r="AZ658" s="106" t="n">
        <v>2724296.20082046</v>
      </c>
      <c r="BA658" s="106" t="n">
        <v>0</v>
      </c>
      <c r="BB658" s="106" t="n">
        <v>0</v>
      </c>
      <c r="BC658" s="106" t="n"/>
      <c r="BD658" s="106" t="n"/>
      <c r="BE658" s="106" t="n">
        <v>0</v>
      </c>
      <c r="BF658" s="106" t="n">
        <v>13180008.33</v>
      </c>
      <c r="BG658" s="106" t="n">
        <v>0</v>
      </c>
      <c r="BH658" s="106" t="n"/>
      <c r="BI658" s="106" t="n">
        <v>0</v>
      </c>
      <c r="BJ658" s="106" t="n"/>
      <c r="BK658" s="114" t="n"/>
      <c r="BL658" s="187" t="n">
        <v>292540.1548302</v>
      </c>
      <c r="BM658" s="113" t="n">
        <f aca="false" ca="true" dt2D="false" dtr="false" t="normal">SUBTOTAL(9, BN658:CB658)</f>
        <v>15941887.11565066</v>
      </c>
      <c r="BN658" s="106" t="n">
        <v>0</v>
      </c>
      <c r="BO658" s="106" t="n">
        <v>0</v>
      </c>
      <c r="BP658" s="106" t="n">
        <v>2724296.20082046</v>
      </c>
      <c r="BQ658" s="106" t="n">
        <v>0</v>
      </c>
      <c r="BR658" s="106" t="n">
        <v>0</v>
      </c>
      <c r="BS658" s="106" t="n"/>
      <c r="BT658" s="106" t="n"/>
      <c r="BU658" s="106" t="n">
        <v>0</v>
      </c>
      <c r="BV658" s="106" t="n">
        <v>12925050.76</v>
      </c>
      <c r="BW658" s="106" t="n">
        <v>0</v>
      </c>
      <c r="BX658" s="106" t="n"/>
      <c r="BY658" s="106" t="n">
        <v>0</v>
      </c>
      <c r="BZ658" s="106" t="n"/>
      <c r="CA658" s="114" t="n"/>
      <c r="CB658" s="115" t="n">
        <v>292540.1548302</v>
      </c>
      <c r="CD658" s="116" t="e">
        <f aca="false" ca="false" dt2D="false" dtr="false" t="normal">+CD657+1</f>
        <v>#REF!</v>
      </c>
      <c r="CE658" s="117" t="e">
        <f aca="false" ca="false" dt2D="false" dtr="false" t="normal">+CE657+1</f>
        <v>#REF!</v>
      </c>
      <c r="CF658" s="104" t="s">
        <v>111</v>
      </c>
      <c r="CG658" s="117" t="s">
        <v>380</v>
      </c>
      <c r="CH658" s="108" t="n">
        <f aca="false" ca="true" dt2D="false" dtr="false" t="normal">SUBTOTAL(9, CI658:CW658)</f>
        <v>2899508.12</v>
      </c>
      <c r="CI658" s="106" t="n">
        <v>0</v>
      </c>
      <c r="CJ658" s="114" t="n">
        <v>0</v>
      </c>
      <c r="CK658" s="114" t="n">
        <v>2606967.97</v>
      </c>
      <c r="CL658" s="114" t="n">
        <v>0</v>
      </c>
      <c r="CM658" s="114" t="n">
        <v>0</v>
      </c>
      <c r="CN658" s="114" t="n"/>
      <c r="CO658" s="106" t="n"/>
      <c r="CP658" s="114" t="n">
        <v>0</v>
      </c>
      <c r="CQ658" s="114" t="n"/>
      <c r="CR658" s="114" t="n">
        <v>0</v>
      </c>
      <c r="CS658" s="114" t="n"/>
      <c r="CT658" s="114" t="n">
        <v>0</v>
      </c>
      <c r="CU658" s="114" t="n"/>
      <c r="CV658" s="114" t="n"/>
      <c r="CW658" s="115" t="n">
        <v>292540.15</v>
      </c>
      <c r="CX658" s="3" t="n">
        <f aca="false" ca="false" dt2D="false" dtr="false" t="normal">+N658-CH658</f>
        <v>-292540.1499999999</v>
      </c>
      <c r="CZ658" s="117" t="s">
        <v>380</v>
      </c>
      <c r="DA658" s="113" t="n">
        <f aca="false" ca="true" dt2D="false" dtr="false" t="normal">SUBTOTAL(9, DB658:DP658)</f>
        <v>2606967.97</v>
      </c>
      <c r="DB658" s="106" t="n">
        <v>0</v>
      </c>
      <c r="DC658" s="114" t="n">
        <v>0</v>
      </c>
      <c r="DD658" s="114" t="n">
        <v>2606967.97</v>
      </c>
      <c r="DE658" s="114" t="n">
        <v>0</v>
      </c>
      <c r="DF658" s="114" t="n">
        <v>0</v>
      </c>
      <c r="DG658" s="114" t="n"/>
      <c r="DH658" s="106" t="n"/>
      <c r="DI658" s="114" t="n">
        <v>0</v>
      </c>
      <c r="DJ658" s="114" t="n"/>
      <c r="DK658" s="114" t="n">
        <v>0</v>
      </c>
      <c r="DL658" s="114" t="n"/>
      <c r="DM658" s="114" t="n">
        <v>0</v>
      </c>
      <c r="DN658" s="114" t="n"/>
      <c r="DO658" s="114" t="n"/>
      <c r="DP658" s="240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</row>
    <row customFormat="true" hidden="false" ht="15" outlineLevel="0" r="659" s="129">
      <c r="A659" s="183" t="n">
        <f aca="false" ca="false" dt2D="false" dtr="false" t="normal">+A658+1</f>
        <v>637</v>
      </c>
      <c r="B659" s="117" t="n">
        <f aca="false" ca="false" dt2D="false" dtr="false" t="normal">+B658+1</f>
        <v>177</v>
      </c>
      <c r="C659" s="117" t="s">
        <v>184</v>
      </c>
      <c r="D659" s="117" t="s">
        <v>633</v>
      </c>
      <c r="E659" s="201" t="s">
        <v>309</v>
      </c>
      <c r="F659" s="201" t="n"/>
      <c r="G659" s="201" t="s">
        <v>68</v>
      </c>
      <c r="H659" s="201" t="s">
        <v>104</v>
      </c>
      <c r="I659" s="201" t="s">
        <v>187</v>
      </c>
      <c r="J659" s="114" t="n">
        <v>4845.4</v>
      </c>
      <c r="K659" s="114" t="n">
        <v>4280.6</v>
      </c>
      <c r="L659" s="114" t="n">
        <v>0</v>
      </c>
      <c r="M659" s="202" t="n">
        <v>179</v>
      </c>
      <c r="N659" s="108" t="n">
        <f aca="false" ca="false" dt2D="false" dtr="false" t="normal">SUM(P659:T659)</f>
        <v>1690317.6</v>
      </c>
      <c r="O659" s="114" t="n">
        <v>0</v>
      </c>
      <c r="P659" s="114" t="n"/>
      <c r="Q659" s="114" t="n"/>
      <c r="R659" s="113" t="n">
        <v>1690317.6</v>
      </c>
      <c r="S659" s="114" t="n">
        <v>0</v>
      </c>
      <c r="T659" s="114" t="n">
        <v>0</v>
      </c>
      <c r="U659" s="114" t="n">
        <v>460.271076910713</v>
      </c>
      <c r="V659" s="114" t="n">
        <v>1319.283020064</v>
      </c>
      <c r="W659" s="110" t="n">
        <v>2024</v>
      </c>
      <c r="X659" s="129" t="n">
        <v>1666495.72</v>
      </c>
      <c r="Y659" s="129" t="n">
        <f aca="false" ca="false" dt2D="false" dtr="false" t="normal">+(K659*9.1+L659*18.19)*12</f>
        <v>467441.52</v>
      </c>
      <c r="AA659" s="130" t="e">
        <f aca="false" ca="false" dt2D="false" dtr="false" t="normal">+N659-'[8]Приложение № 2'!E567</f>
        <v>#REF!</v>
      </c>
      <c r="AD659" s="130" t="e">
        <f aca="false" ca="false" dt2D="false" dtr="false" t="normal">+N659-'[8]Приложение № 2'!E567</f>
        <v>#REF!</v>
      </c>
      <c r="AP659" s="112" t="n">
        <f aca="false" ca="false" dt2D="false" dtr="false" t="normal">+N659-'Приложение №2'!E659</f>
        <v>0</v>
      </c>
      <c r="AQ659" s="121" t="n">
        <v>2537481.14</v>
      </c>
      <c r="AR659" s="3" t="n">
        <f aca="false" ca="false" dt2D="false" dtr="false" t="normal">+(K659*10.5+L659*21)*12*0.85</f>
        <v>458452.26000000007</v>
      </c>
      <c r="AS659" s="3" t="n">
        <f aca="false" ca="false" dt2D="false" dtr="false" t="normal">+(K659*10.5+L659*21)*12*30</f>
        <v>16180668.000000004</v>
      </c>
      <c r="AT659" s="9" t="n">
        <f aca="false" ca="false" dt2D="false" dtr="false" t="normal">+S659-AS659</f>
        <v>-16180668.000000004</v>
      </c>
      <c r="AU659" s="9" t="e">
        <f aca="false" ca="false" dt2D="false" dtr="false" t="normal">+P659-'[5]Приложение №1'!$P602</f>
        <v>#REF!</v>
      </c>
      <c r="AV659" s="9" t="e">
        <f aca="false" ca="false" dt2D="false" dtr="false" t="normal">+Q659-'[5]Приложение №1'!$Q602</f>
        <v>#REF!</v>
      </c>
      <c r="AW659" s="186" t="n">
        <f aca="false" ca="true" dt2D="false" dtr="false" t="normal">SUBTOTAL(9, AX659:BL659)</f>
        <v>1970236.3718240035</v>
      </c>
      <c r="AX659" s="106" t="n"/>
      <c r="AY659" s="106" t="n"/>
      <c r="AZ659" s="106" t="n"/>
      <c r="BA659" s="106" t="n"/>
      <c r="BB659" s="106" t="n">
        <v>1671863.41503297</v>
      </c>
      <c r="BC659" s="106" t="n"/>
      <c r="BD659" s="106" t="n"/>
      <c r="BE659" s="106" t="n"/>
      <c r="BF659" s="106" t="n"/>
      <c r="BG659" s="106" t="n"/>
      <c r="BH659" s="106" t="n"/>
      <c r="BI659" s="106" t="n"/>
      <c r="BJ659" s="106" t="n">
        <v>261812.69</v>
      </c>
      <c r="BK659" s="114" t="n"/>
      <c r="BL659" s="115" t="n">
        <v>36560.2667910336</v>
      </c>
      <c r="BM659" s="186" t="n">
        <f aca="false" ca="true" dt2D="false" dtr="false" t="normal">SUBTOTAL(9, BN659:CB659)</f>
        <v>1970236.3718240035</v>
      </c>
      <c r="BN659" s="106" t="n"/>
      <c r="BO659" s="106" t="n"/>
      <c r="BP659" s="106" t="n"/>
      <c r="BQ659" s="106" t="n"/>
      <c r="BR659" s="106" t="n">
        <v>1671863.41503297</v>
      </c>
      <c r="BS659" s="106" t="n"/>
      <c r="BT659" s="106" t="n"/>
      <c r="BU659" s="106" t="n"/>
      <c r="BV659" s="106" t="n"/>
      <c r="BW659" s="106" t="n"/>
      <c r="BX659" s="106" t="n"/>
      <c r="BY659" s="106" t="n"/>
      <c r="BZ659" s="106" t="n">
        <v>261812.69</v>
      </c>
      <c r="CA659" s="114" t="n"/>
      <c r="CB659" s="115" t="n">
        <v>36560.2667910336</v>
      </c>
      <c r="CD659" s="116" t="e">
        <f aca="false" ca="false" dt2D="false" dtr="false" t="normal">+CD658+1</f>
        <v>#REF!</v>
      </c>
      <c r="CE659" s="117" t="e">
        <f aca="false" ca="false" dt2D="false" dtr="false" t="normal">+CE658+1</f>
        <v>#REF!</v>
      </c>
      <c r="CF659" s="104" t="s">
        <v>111</v>
      </c>
      <c r="CG659" s="117" t="s">
        <v>633</v>
      </c>
      <c r="CH659" s="108" t="n">
        <f aca="false" ca="true" dt2D="false" dtr="false" t="normal">SUBTOTAL(9, CI659:CW659)</f>
        <v>1690317.6</v>
      </c>
      <c r="CI659" s="106" t="n"/>
      <c r="CJ659" s="114" t="n"/>
      <c r="CK659" s="114" t="n"/>
      <c r="CL659" s="114" t="n"/>
      <c r="CM659" s="243" t="n">
        <v>1690317.6</v>
      </c>
      <c r="CN659" s="114" t="n"/>
      <c r="CO659" s="106" t="n"/>
      <c r="CP659" s="114" t="n"/>
      <c r="CQ659" s="114" t="n"/>
      <c r="CR659" s="114" t="n"/>
      <c r="CS659" s="114" t="n"/>
      <c r="CT659" s="114" t="n"/>
      <c r="CU659" s="114" t="n"/>
      <c r="CV659" s="114" t="n"/>
      <c r="CW659" s="115" t="n"/>
      <c r="CX659" s="3" t="n">
        <f aca="false" ca="false" dt2D="false" dtr="false" t="normal">+N659-CH659</f>
        <v>0</v>
      </c>
      <c r="CZ659" s="117" t="s">
        <v>633</v>
      </c>
      <c r="DA659" s="113" t="n">
        <f aca="false" ca="true" dt2D="false" dtr="false" t="normal">SUBTOTAL(9, DB659:DP659)</f>
        <v>1690317.6</v>
      </c>
      <c r="DB659" s="106" t="n"/>
      <c r="DC659" s="114" t="n"/>
      <c r="DD659" s="114" t="n"/>
      <c r="DE659" s="114" t="n"/>
      <c r="DF659" s="243" t="n">
        <v>1690317.6</v>
      </c>
      <c r="DG659" s="114" t="n"/>
      <c r="DH659" s="106" t="n"/>
      <c r="DI659" s="114" t="n"/>
      <c r="DJ659" s="114" t="n"/>
      <c r="DK659" s="114" t="n"/>
      <c r="DL659" s="114" t="n"/>
      <c r="DM659" s="114" t="n"/>
      <c r="DN659" s="241" t="n"/>
      <c r="DO659" s="241" t="n"/>
      <c r="DP659" s="240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</row>
    <row customFormat="true" hidden="false" ht="15" outlineLevel="0" r="660" s="129">
      <c r="A660" s="183" t="n">
        <f aca="false" ca="false" dt2D="false" dtr="false" t="normal">+A659+1</f>
        <v>638</v>
      </c>
      <c r="B660" s="117" t="n">
        <f aca="false" ca="false" dt2D="false" dtr="false" t="normal">+B659+1</f>
        <v>178</v>
      </c>
      <c r="C660" s="117" t="s">
        <v>184</v>
      </c>
      <c r="D660" s="117" t="s">
        <v>382</v>
      </c>
      <c r="E660" s="201" t="s">
        <v>345</v>
      </c>
      <c r="F660" s="201" t="n"/>
      <c r="G660" s="201" t="s">
        <v>68</v>
      </c>
      <c r="H660" s="201" t="s">
        <v>187</v>
      </c>
      <c r="I660" s="201" t="s">
        <v>148</v>
      </c>
      <c r="J660" s="114" t="n">
        <v>3411.7</v>
      </c>
      <c r="K660" s="114" t="n">
        <v>2190.7</v>
      </c>
      <c r="L660" s="114" t="n">
        <v>1221</v>
      </c>
      <c r="M660" s="202" t="n">
        <v>86</v>
      </c>
      <c r="N660" s="108" t="n">
        <f aca="false" ca="false" dt2D="false" dtr="false" t="normal">SUM(P660:T660)</f>
        <v>986268</v>
      </c>
      <c r="O660" s="114" t="n">
        <v>0</v>
      </c>
      <c r="P660" s="114" t="n"/>
      <c r="Q660" s="114" t="n"/>
      <c r="R660" s="114" t="n">
        <v>986268</v>
      </c>
      <c r="S660" s="113" t="n">
        <v>0</v>
      </c>
      <c r="T660" s="114" t="n"/>
      <c r="U660" s="114" t="n">
        <v>3056.50545620963</v>
      </c>
      <c r="V660" s="114" t="n">
        <v>1322.283020064</v>
      </c>
      <c r="W660" s="110" t="n">
        <v>2024</v>
      </c>
      <c r="X660" s="129" t="n">
        <v>1858783.44</v>
      </c>
      <c r="Y660" s="129" t="n">
        <f aca="false" ca="false" dt2D="false" dtr="false" t="normal">+(K660*9.1+L660*18.19)*12</f>
        <v>505744.32</v>
      </c>
      <c r="AA660" s="130" t="e">
        <f aca="false" ca="false" dt2D="false" dtr="false" t="normal">+N660-'[8]Приложение № 2'!E570</f>
        <v>#REF!</v>
      </c>
      <c r="AD660" s="130" t="e">
        <f aca="false" ca="false" dt2D="false" dtr="false" t="normal">+N660-'[8]Приложение № 2'!E570</f>
        <v>#REF!</v>
      </c>
      <c r="AP660" s="112" t="n">
        <f aca="false" ca="false" dt2D="false" dtr="false" t="normal">+N660-'Приложение №2'!E660</f>
        <v>0</v>
      </c>
      <c r="AQ660" s="121" t="n">
        <v>2892323.62</v>
      </c>
      <c r="AR660" s="3" t="n">
        <f aca="false" ca="false" dt2D="false" dtr="false" t="normal">+(K660*10.5+L660*21)*12*0.85</f>
        <v>496162.1699999999</v>
      </c>
      <c r="AS660" s="3" t="n">
        <f aca="false" ca="false" dt2D="false" dtr="false" t="normal">+(K660*10.5+L660*21)*12*30</f>
        <v>17511606</v>
      </c>
      <c r="AT660" s="9" t="n">
        <f aca="false" ca="false" dt2D="false" dtr="false" t="normal">+S660-AS660</f>
        <v>-17511606</v>
      </c>
      <c r="AU660" s="9" t="e">
        <f aca="false" ca="false" dt2D="false" dtr="false" t="normal">+P660-'[5]Приложение №1'!$P605</f>
        <v>#REF!</v>
      </c>
      <c r="AV660" s="9" t="e">
        <f aca="false" ca="false" dt2D="false" dtr="false" t="normal">+Q660-'[5]Приложение №1'!$Q605</f>
        <v>#REF!</v>
      </c>
      <c r="AW660" s="186" t="n">
        <f aca="false" ca="true" dt2D="false" dtr="false" t="normal">SUBTOTAL(9, AX660:BL660)</f>
        <v>6695886.502918423</v>
      </c>
      <c r="AX660" s="106" t="n"/>
      <c r="AY660" s="106" t="n">
        <v>2902577.05613987</v>
      </c>
      <c r="AZ660" s="106" t="n"/>
      <c r="BA660" s="106" t="n">
        <v>1898584.08557156</v>
      </c>
      <c r="BB660" s="106" t="n">
        <v>1161613.02606813</v>
      </c>
      <c r="BC660" s="106" t="n"/>
      <c r="BD660" s="106" t="n"/>
      <c r="BE660" s="106" t="n">
        <v>0</v>
      </c>
      <c r="BF660" s="106" t="n">
        <v>0</v>
      </c>
      <c r="BG660" s="106" t="n">
        <v>0</v>
      </c>
      <c r="BH660" s="106" t="n"/>
      <c r="BI660" s="106" t="n"/>
      <c r="BJ660" s="106" t="n"/>
      <c r="BK660" s="114" t="n"/>
      <c r="BL660" s="115" t="n">
        <v>733112.335138862</v>
      </c>
      <c r="BM660" s="186" t="n">
        <f aca="false" ca="true" dt2D="false" dtr="false" t="normal">SUBTOTAL(9, BN660:CB660)</f>
        <v>6695886.502918423</v>
      </c>
      <c r="BN660" s="106" t="n"/>
      <c r="BO660" s="106" t="n">
        <v>2902577.05613987</v>
      </c>
      <c r="BP660" s="106" t="n"/>
      <c r="BQ660" s="106" t="n">
        <v>1898584.08557156</v>
      </c>
      <c r="BR660" s="106" t="n">
        <v>1161613.02606813</v>
      </c>
      <c r="BS660" s="106" t="n"/>
      <c r="BT660" s="106" t="n"/>
      <c r="BU660" s="106" t="n">
        <v>0</v>
      </c>
      <c r="BV660" s="106" t="n">
        <v>0</v>
      </c>
      <c r="BW660" s="106" t="n">
        <v>0</v>
      </c>
      <c r="BX660" s="106" t="n"/>
      <c r="BY660" s="106" t="n"/>
      <c r="BZ660" s="106" t="n"/>
      <c r="CA660" s="114" t="n"/>
      <c r="CB660" s="115" t="n">
        <v>733112.335138862</v>
      </c>
      <c r="CD660" s="116" t="e">
        <f aca="false" ca="false" dt2D="false" dtr="false" t="normal">+#REF!+1</f>
        <v>#REF!</v>
      </c>
      <c r="CE660" s="117" t="e">
        <f aca="false" ca="false" dt2D="false" dtr="false" t="normal">+#REF!+1</f>
        <v>#REF!</v>
      </c>
      <c r="CF660" s="104" t="s">
        <v>111</v>
      </c>
      <c r="CG660" s="117" t="s">
        <v>382</v>
      </c>
      <c r="CH660" s="108" t="n">
        <f aca="false" ca="true" dt2D="false" dtr="false" t="normal">SUBTOTAL(9, CI660:CW660)</f>
        <v>986268</v>
      </c>
      <c r="CI660" s="106" t="n"/>
      <c r="CJ660" s="114" t="n"/>
      <c r="CK660" s="114" t="n"/>
      <c r="CL660" s="114" t="n"/>
      <c r="CM660" s="114" t="n">
        <v>986268</v>
      </c>
      <c r="CN660" s="114" t="n"/>
      <c r="CO660" s="106" t="n"/>
      <c r="CP660" s="114" t="n">
        <v>0</v>
      </c>
      <c r="CQ660" s="114" t="n">
        <v>0</v>
      </c>
      <c r="CR660" s="114" t="n">
        <v>0</v>
      </c>
      <c r="CS660" s="114" t="n"/>
      <c r="CT660" s="114" t="n"/>
      <c r="CU660" s="114" t="n"/>
      <c r="CV660" s="114" t="n"/>
      <c r="CW660" s="115" t="n"/>
      <c r="CX660" s="3" t="n">
        <f aca="false" ca="false" dt2D="false" dtr="false" t="normal">+N660-CH660</f>
        <v>0</v>
      </c>
      <c r="CZ660" s="117" t="s">
        <v>382</v>
      </c>
      <c r="DA660" s="113" t="n">
        <f aca="false" ca="true" dt2D="false" dtr="false" t="normal">SUBTOTAL(9, DB660:DP660)</f>
        <v>986268</v>
      </c>
      <c r="DB660" s="106" t="n"/>
      <c r="DC660" s="114" t="n"/>
      <c r="DD660" s="114" t="n"/>
      <c r="DE660" s="114" t="n"/>
      <c r="DF660" s="114" t="n">
        <v>986268</v>
      </c>
      <c r="DG660" s="114" t="n"/>
      <c r="DH660" s="106" t="n"/>
      <c r="DI660" s="114" t="n">
        <v>0</v>
      </c>
      <c r="DJ660" s="114" t="n">
        <v>0</v>
      </c>
      <c r="DK660" s="114" t="n">
        <v>0</v>
      </c>
      <c r="DL660" s="114" t="n"/>
      <c r="DM660" s="114" t="n"/>
      <c r="DN660" s="114" t="n"/>
      <c r="DO660" s="114" t="n"/>
      <c r="DP660" s="240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</row>
    <row customFormat="true" hidden="false" ht="15" outlineLevel="0" r="661" s="129">
      <c r="A661" s="183" t="n">
        <f aca="false" ca="false" dt2D="false" dtr="false" t="normal">+A660+1</f>
        <v>639</v>
      </c>
      <c r="B661" s="117" t="n">
        <f aca="false" ca="false" dt2D="false" dtr="false" t="normal">+B660+1</f>
        <v>179</v>
      </c>
      <c r="C661" s="117" t="s">
        <v>184</v>
      </c>
      <c r="D661" s="117" t="s">
        <v>383</v>
      </c>
      <c r="E661" s="201" t="s">
        <v>384</v>
      </c>
      <c r="F661" s="201" t="n"/>
      <c r="G661" s="201" t="s">
        <v>68</v>
      </c>
      <c r="H661" s="201" t="s">
        <v>187</v>
      </c>
      <c r="I661" s="201" t="s">
        <v>128</v>
      </c>
      <c r="J661" s="114" t="n">
        <v>5051.19</v>
      </c>
      <c r="K661" s="114" t="n">
        <v>4630.8</v>
      </c>
      <c r="L661" s="114" t="n">
        <v>0</v>
      </c>
      <c r="M661" s="202" t="n">
        <v>233</v>
      </c>
      <c r="N661" s="108" t="n">
        <f aca="false" ca="false" dt2D="false" dtr="false" t="normal">SUM(P661:T661)</f>
        <v>69639079.99</v>
      </c>
      <c r="O661" s="114" t="n">
        <v>0</v>
      </c>
      <c r="P661" s="113" t="n">
        <v>23980503.87</v>
      </c>
      <c r="Q661" s="114" t="n"/>
      <c r="R661" s="113" t="n">
        <v>495958.68</v>
      </c>
      <c r="S661" s="114" t="n">
        <v>0</v>
      </c>
      <c r="T661" s="113" t="n">
        <v>45162617.44</v>
      </c>
      <c r="U661" s="114" t="n">
        <v>13629.8191357263</v>
      </c>
      <c r="V661" s="114" t="n">
        <v>1323.283020064</v>
      </c>
      <c r="W661" s="110" t="n">
        <v>2024</v>
      </c>
      <c r="X661" s="129" t="n">
        <v>1795085.95</v>
      </c>
      <c r="Y661" s="129" t="n">
        <f aca="false" ca="false" dt2D="false" dtr="false" t="normal">+(K661*9.1+L661*18.19)*12</f>
        <v>505683.36</v>
      </c>
      <c r="AA661" s="130" t="e">
        <f aca="false" ca="false" dt2D="false" dtr="false" t="normal">+N661-'[8]Приложение № 2'!E571</f>
        <v>#REF!</v>
      </c>
      <c r="AD661" s="130" t="e">
        <f aca="false" ca="false" dt2D="false" dtr="false" t="normal">+N661-'[8]Приложение № 2'!E571</f>
        <v>#REF!</v>
      </c>
      <c r="AP661" s="112" t="n">
        <f aca="false" ca="false" dt2D="false" dtr="false" t="normal">+N661-'Приложение №2'!E661</f>
        <v>0</v>
      </c>
      <c r="AQ661" s="121" t="n">
        <f aca="false" ca="false" dt2D="false" dtr="false" t="normal">2825636.52-R306</f>
        <v>1539069.56</v>
      </c>
      <c r="AR661" s="3" t="n">
        <f aca="false" ca="false" dt2D="false" dtr="false" t="normal">+(K661*10.5+L661*21)*12*0.85</f>
        <v>495958.68000000005</v>
      </c>
      <c r="AS661" s="3" t="n">
        <f aca="false" ca="false" dt2D="false" dtr="false" t="normal">+(K661*10.5+L661*21)*12*30-S306</f>
        <v>9383585.469999999</v>
      </c>
      <c r="AT661" s="9" t="n">
        <f aca="false" ca="false" dt2D="false" dtr="false" t="normal">+S661-AS661</f>
        <v>-9383585.469999999</v>
      </c>
      <c r="AU661" s="9" t="e">
        <f aca="false" ca="false" dt2D="false" dtr="false" t="normal">+P661-'[5]Приложение №1'!$P606</f>
        <v>#REF!</v>
      </c>
      <c r="AV661" s="9" t="e">
        <f aca="false" ca="false" dt2D="false" dtr="false" t="normal">+Q661-'[5]Приложение №1'!$Q606</f>
        <v>#REF!</v>
      </c>
      <c r="AW661" s="186" t="n">
        <f aca="false" ca="true" dt2D="false" dtr="false" t="normal">SUBTOTAL(9, AX661:BL661)</f>
        <v>63116966.453721315</v>
      </c>
      <c r="AX661" s="106" t="n">
        <v>13148633.556307</v>
      </c>
      <c r="AY661" s="106" t="n">
        <v>4192746.70655053</v>
      </c>
      <c r="AZ661" s="106" t="n"/>
      <c r="BA661" s="106" t="n">
        <v>4285819.85365296</v>
      </c>
      <c r="BB661" s="106" t="n">
        <v>2055716.94206696</v>
      </c>
      <c r="BC661" s="106" t="n"/>
      <c r="BD661" s="106" t="n">
        <v>504522.830665677</v>
      </c>
      <c r="BE661" s="106" t="n"/>
      <c r="BF661" s="106" t="n"/>
      <c r="BG661" s="106" t="n"/>
      <c r="BH661" s="106" t="n">
        <v>31776683.094387</v>
      </c>
      <c r="BI661" s="106" t="n"/>
      <c r="BJ661" s="106" t="n">
        <v>5496977.66361253</v>
      </c>
      <c r="BK661" s="114" t="n">
        <v>568685.028051038</v>
      </c>
      <c r="BL661" s="115" t="n">
        <v>1087180.77842762</v>
      </c>
      <c r="BM661" s="186" t="n">
        <f aca="false" ca="true" dt2D="false" dtr="false" t="normal">SUBTOTAL(9, BN661:CB661)</f>
        <v>63116966.453721315</v>
      </c>
      <c r="BN661" s="106" t="n">
        <v>13148633.556307</v>
      </c>
      <c r="BO661" s="106" t="n">
        <v>4192746.70655053</v>
      </c>
      <c r="BP661" s="106" t="n"/>
      <c r="BQ661" s="106" t="n">
        <v>4285819.85365296</v>
      </c>
      <c r="BR661" s="106" t="n">
        <v>2055716.94206696</v>
      </c>
      <c r="BS661" s="106" t="n"/>
      <c r="BT661" s="106" t="n">
        <v>504522.830665677</v>
      </c>
      <c r="BU661" s="106" t="n"/>
      <c r="BV661" s="106" t="n"/>
      <c r="BW661" s="106" t="n"/>
      <c r="BX661" s="106" t="n">
        <v>31776683.094387</v>
      </c>
      <c r="BY661" s="106" t="n"/>
      <c r="BZ661" s="106" t="n">
        <v>5496977.66361253</v>
      </c>
      <c r="CA661" s="114" t="n">
        <v>568685.028051038</v>
      </c>
      <c r="CB661" s="115" t="n">
        <v>1087180.77842762</v>
      </c>
      <c r="CD661" s="116" t="e">
        <f aca="false" ca="false" dt2D="false" dtr="false" t="normal">+CD660+1</f>
        <v>#REF!</v>
      </c>
      <c r="CE661" s="117" t="e">
        <f aca="false" ca="false" dt2D="false" dtr="false" t="normal">+CE660+1</f>
        <v>#REF!</v>
      </c>
      <c r="CF661" s="104" t="s">
        <v>111</v>
      </c>
      <c r="CG661" s="117" t="s">
        <v>383</v>
      </c>
      <c r="CH661" s="108" t="n">
        <f aca="false" ca="true" dt2D="false" dtr="false" t="normal">SUBTOTAL(9, CI661:CW661)</f>
        <v>70726260.77</v>
      </c>
      <c r="CI661" s="106" t="n">
        <v>14217900.13</v>
      </c>
      <c r="CJ661" s="114" t="n">
        <v>5818121.78</v>
      </c>
      <c r="CK661" s="114" t="n">
        <v>6306393.86</v>
      </c>
      <c r="CL661" s="114" t="n">
        <v>4285819.85</v>
      </c>
      <c r="CM661" s="114" t="n">
        <v>2311917.12</v>
      </c>
      <c r="CN661" s="114" t="n"/>
      <c r="CO661" s="106" t="n"/>
      <c r="CP661" s="114" t="n"/>
      <c r="CQ661" s="114" t="n"/>
      <c r="CR661" s="114" t="n"/>
      <c r="CS661" s="243" t="n">
        <v>36698927.25</v>
      </c>
      <c r="CT661" s="114" t="n"/>
      <c r="CU661" s="114" t="n"/>
      <c r="CV661" s="114" t="n"/>
      <c r="CW661" s="115" t="n">
        <v>1087180.78</v>
      </c>
      <c r="CX661" s="3" t="n">
        <f aca="false" ca="false" dt2D="false" dtr="false" t="normal">+N661-CH661</f>
        <v>-1087180.7800000012</v>
      </c>
      <c r="CZ661" s="117" t="s">
        <v>383</v>
      </c>
      <c r="DA661" s="113" t="n">
        <f aca="false" ca="true" dt2D="false" dtr="false" t="normal">SUBTOTAL(9, DB661:DP661)</f>
        <v>69639079.99</v>
      </c>
      <c r="DB661" s="106" t="n">
        <v>14217900.13</v>
      </c>
      <c r="DC661" s="114" t="n">
        <v>5818121.78</v>
      </c>
      <c r="DD661" s="114" t="n">
        <v>6306393.86</v>
      </c>
      <c r="DE661" s="114" t="n">
        <v>4285819.85</v>
      </c>
      <c r="DF661" s="114" t="n">
        <v>2311917.12</v>
      </c>
      <c r="DG661" s="114" t="n"/>
      <c r="DH661" s="106" t="n"/>
      <c r="DI661" s="114" t="n"/>
      <c r="DJ661" s="114" t="n"/>
      <c r="DK661" s="114" t="n"/>
      <c r="DL661" s="243" t="n">
        <v>36698927.25</v>
      </c>
      <c r="DM661" s="114" t="n"/>
      <c r="DN661" s="241" t="n"/>
      <c r="DO661" s="241" t="n"/>
      <c r="DP661" s="240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</row>
    <row customFormat="true" hidden="false" ht="15" outlineLevel="0" r="662" s="1">
      <c r="A662" s="183" t="n">
        <f aca="false" ca="false" dt2D="false" dtr="false" t="normal">+A661+1</f>
        <v>640</v>
      </c>
      <c r="B662" s="117" t="n">
        <f aca="false" ca="false" dt2D="false" dtr="false" t="normal">+B661+1</f>
        <v>180</v>
      </c>
      <c r="C662" s="117" t="s">
        <v>111</v>
      </c>
      <c r="D662" s="117" t="s">
        <v>181</v>
      </c>
      <c r="E662" s="201" t="n">
        <v>1966</v>
      </c>
      <c r="F662" s="201" t="n">
        <v>2013</v>
      </c>
      <c r="G662" s="201" t="s">
        <v>68</v>
      </c>
      <c r="H662" s="201" t="n">
        <v>4</v>
      </c>
      <c r="I662" s="201" t="n">
        <v>6</v>
      </c>
      <c r="J662" s="114" t="n">
        <v>2829.5</v>
      </c>
      <c r="K662" s="114" t="n">
        <v>2537.8</v>
      </c>
      <c r="L662" s="114" t="n">
        <v>230.6</v>
      </c>
      <c r="M662" s="202" t="n">
        <v>144</v>
      </c>
      <c r="N662" s="108" t="n">
        <f aca="false" ca="false" dt2D="false" dtr="false" t="normal">SUM(P662:T662)</f>
        <v>23520618.79</v>
      </c>
      <c r="O662" s="114" t="n"/>
      <c r="P662" s="113" t="n">
        <v>12709042.96</v>
      </c>
      <c r="Q662" s="114" t="n"/>
      <c r="R662" s="113" t="n">
        <v>46977.83</v>
      </c>
      <c r="S662" s="113" t="n">
        <v>2599998.92</v>
      </c>
      <c r="T662" s="113" t="n">
        <v>8164599.08</v>
      </c>
      <c r="U662" s="114" t="n">
        <v>10013.2315696325</v>
      </c>
      <c r="V662" s="114" t="n">
        <v>1324.283020064</v>
      </c>
      <c r="W662" s="110" t="n">
        <v>2024</v>
      </c>
      <c r="X662" s="9" t="e">
        <f aca="false" ca="false" dt2D="false" dtr="false" t="normal">+#REF!-'[9]Приложение №1'!$P1905</f>
        <v>#REF!</v>
      </c>
      <c r="Z662" s="113" t="n">
        <f aca="false" ca="false" dt2D="false" dtr="false" t="normal">SUM(AA662:AO662)</f>
        <v>15087934.029999997</v>
      </c>
      <c r="AA662" s="106" t="n">
        <v>6065034.64028826</v>
      </c>
      <c r="AB662" s="106" t="n">
        <v>2161221.1824525</v>
      </c>
      <c r="AC662" s="106" t="n">
        <v>2257995.25038738</v>
      </c>
      <c r="AD662" s="106" t="n">
        <v>1413647.79602172</v>
      </c>
      <c r="AE662" s="106" t="n">
        <v>864921.32273358</v>
      </c>
      <c r="AF662" s="106" t="n"/>
      <c r="AG662" s="106" t="n">
        <v>232731.98563608</v>
      </c>
      <c r="AH662" s="106" t="n">
        <v>0</v>
      </c>
      <c r="AI662" s="106" t="n">
        <v>0</v>
      </c>
      <c r="AJ662" s="106" t="n">
        <v>0</v>
      </c>
      <c r="AK662" s="106" t="n">
        <v>0</v>
      </c>
      <c r="AL662" s="106" t="n">
        <v>0</v>
      </c>
      <c r="AM662" s="106" t="n">
        <v>1657316.1065</v>
      </c>
      <c r="AN662" s="114" t="n">
        <v>150879.3403</v>
      </c>
      <c r="AO662" s="115" t="n">
        <v>284186.40568048</v>
      </c>
      <c r="AP662" s="112" t="n">
        <f aca="false" ca="false" dt2D="false" dtr="false" t="normal">+N662-'Приложение №2'!E662</f>
        <v>0</v>
      </c>
      <c r="AQ662" s="135" t="n">
        <f aca="false" ca="false" dt2D="false" dtr="false" t="normal">1632407.51-R307</f>
        <v>1123134.31</v>
      </c>
      <c r="AR662" s="3" t="n">
        <f aca="false" ca="false" dt2D="false" dtr="false" t="normal">+(K662*10.5+L662*21)*12*0.85</f>
        <v>321192.89999999997</v>
      </c>
      <c r="AS662" s="3" t="n">
        <f aca="false" ca="false" dt2D="false" dtr="false" t="normal">+(K662*10.5+L662*21)*12*30-S307</f>
        <v>2651281.49</v>
      </c>
      <c r="AT662" s="9" t="n">
        <f aca="false" ca="false" dt2D="false" dtr="false" t="normal">+S662-AS662</f>
        <v>-51282.5700000003</v>
      </c>
      <c r="AU662" s="9" t="n"/>
      <c r="AV662" s="9" t="n"/>
      <c r="AW662" s="186" t="n">
        <f aca="false" ca="true" dt2D="false" dtr="false" t="normal">SUBTOTAL(9, AX662:BL662)</f>
        <v>25411579.077413462</v>
      </c>
      <c r="AX662" s="106" t="n"/>
      <c r="AY662" s="106" t="n">
        <v>1245773.46</v>
      </c>
      <c r="AZ662" s="106" t="n">
        <v>1202952.82</v>
      </c>
      <c r="BA662" s="106" t="n"/>
      <c r="BB662" s="106" t="n"/>
      <c r="BC662" s="106" t="n"/>
      <c r="BD662" s="106" t="n"/>
      <c r="BE662" s="106" t="n"/>
      <c r="BF662" s="106" t="n"/>
      <c r="BG662" s="106" t="n">
        <v>0</v>
      </c>
      <c r="BH662" s="106" t="n">
        <v>18996840.606051</v>
      </c>
      <c r="BI662" s="106" t="n"/>
      <c r="BJ662" s="106" t="n">
        <v>2732058.44006605</v>
      </c>
      <c r="BK662" s="114" t="n">
        <v>286925.447518385</v>
      </c>
      <c r="BL662" s="115" t="n">
        <v>947028.303778021</v>
      </c>
      <c r="BM662" s="186" t="n">
        <f aca="false" ca="true" dt2D="false" dtr="false" t="normal">SUBTOTAL(9, BN662:CB662)</f>
        <v>25411579.077413462</v>
      </c>
      <c r="BN662" s="106" t="n"/>
      <c r="BO662" s="106" t="n">
        <v>1245773.46</v>
      </c>
      <c r="BP662" s="106" t="n">
        <v>1202952.82</v>
      </c>
      <c r="BQ662" s="106" t="n"/>
      <c r="BR662" s="106" t="n"/>
      <c r="BS662" s="106" t="n"/>
      <c r="BT662" s="106" t="n"/>
      <c r="BU662" s="106" t="n"/>
      <c r="BV662" s="106" t="n"/>
      <c r="BW662" s="106" t="n">
        <v>0</v>
      </c>
      <c r="BX662" s="106" t="n">
        <v>18996840.606051</v>
      </c>
      <c r="BY662" s="106" t="n"/>
      <c r="BZ662" s="106" t="n">
        <v>2732058.44006605</v>
      </c>
      <c r="CA662" s="114" t="n">
        <v>286925.447518385</v>
      </c>
      <c r="CB662" s="115" t="n">
        <v>947028.303778021</v>
      </c>
      <c r="CD662" s="116" t="e">
        <f aca="false" ca="false" dt2D="false" dtr="false" t="normal">+CD661+1</f>
        <v>#REF!</v>
      </c>
      <c r="CE662" s="117" t="e">
        <f aca="false" ca="false" dt2D="false" dtr="false" t="normal">+CE661+1</f>
        <v>#REF!</v>
      </c>
      <c r="CF662" s="104" t="s">
        <v>111</v>
      </c>
      <c r="CG662" s="117" t="s">
        <v>181</v>
      </c>
      <c r="CH662" s="108" t="n">
        <f aca="false" ca="true" dt2D="false" dtr="false" t="normal">SUBTOTAL(9, CI662:CW662)</f>
        <v>24457492.92</v>
      </c>
      <c r="CI662" s="106" t="n"/>
      <c r="CJ662" s="114" t="n">
        <v>1245773.46</v>
      </c>
      <c r="CK662" s="114" t="n">
        <v>1202952.82</v>
      </c>
      <c r="CL662" s="114" t="n"/>
      <c r="CM662" s="114" t="n"/>
      <c r="CN662" s="114" t="n"/>
      <c r="CO662" s="106" t="n"/>
      <c r="CP662" s="114" t="n"/>
      <c r="CQ662" s="114" t="n"/>
      <c r="CR662" s="114" t="n">
        <v>0</v>
      </c>
      <c r="CS662" s="114" t="n">
        <v>21061738.34</v>
      </c>
      <c r="CT662" s="114" t="n"/>
      <c r="CU662" s="114" t="n"/>
      <c r="CV662" s="114" t="n"/>
      <c r="CW662" s="115" t="n">
        <v>947028.3</v>
      </c>
      <c r="CX662" s="3" t="n">
        <f aca="false" ca="false" dt2D="false" dtr="false" t="normal">+N662-CH662</f>
        <v>-936874.1300000027</v>
      </c>
      <c r="CZ662" s="117" t="s">
        <v>181</v>
      </c>
      <c r="DA662" s="113" t="n">
        <f aca="false" ca="true" dt2D="false" dtr="false" t="normal">SUBTOTAL(9, DB662:DP662)</f>
        <v>23520618.7865</v>
      </c>
      <c r="DB662" s="106" t="n"/>
      <c r="DC662" s="114" t="n">
        <v>1245773.46</v>
      </c>
      <c r="DD662" s="114" t="n">
        <v>1202952.82</v>
      </c>
      <c r="DE662" s="114" t="n"/>
      <c r="DF662" s="114" t="n"/>
      <c r="DG662" s="114" t="n"/>
      <c r="DH662" s="106" t="n"/>
      <c r="DI662" s="114" t="n"/>
      <c r="DJ662" s="114" t="n"/>
      <c r="DK662" s="114" t="n">
        <v>0</v>
      </c>
      <c r="DL662" s="114" t="n">
        <v>21061738.34</v>
      </c>
      <c r="DM662" s="114" t="n"/>
      <c r="DN662" s="241" t="n"/>
      <c r="DO662" s="241" t="n"/>
      <c r="DP662" s="115" t="n">
        <f aca="false" ca="false" dt2D="false" dtr="false" t="normal">8829.71*1.15</f>
        <v>10154.166499999998</v>
      </c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</row>
    <row customFormat="true" hidden="false" ht="15" outlineLevel="0" r="663" s="129">
      <c r="A663" s="183" t="n">
        <f aca="false" ca="false" dt2D="false" dtr="false" t="normal">+A662+1</f>
        <v>641</v>
      </c>
      <c r="B663" s="117" t="n">
        <f aca="false" ca="false" dt2D="false" dtr="false" t="normal">+B662+1</f>
        <v>181</v>
      </c>
      <c r="C663" s="117" t="s">
        <v>184</v>
      </c>
      <c r="D663" s="117" t="s">
        <v>634</v>
      </c>
      <c r="E663" s="201" t="s">
        <v>440</v>
      </c>
      <c r="F663" s="201" t="n"/>
      <c r="G663" s="201" t="s">
        <v>68</v>
      </c>
      <c r="H663" s="201" t="s">
        <v>104</v>
      </c>
      <c r="I663" s="201" t="s">
        <v>187</v>
      </c>
      <c r="J663" s="114" t="n">
        <v>4290.1</v>
      </c>
      <c r="K663" s="114" t="n">
        <v>4045.8</v>
      </c>
      <c r="L663" s="114" t="n">
        <v>0</v>
      </c>
      <c r="M663" s="202" t="n">
        <v>160</v>
      </c>
      <c r="N663" s="108" t="n">
        <f aca="false" ca="false" dt2D="false" dtr="false" t="normal">SUM(P663:T663)</f>
        <v>1551166.55</v>
      </c>
      <c r="O663" s="114" t="n">
        <v>0</v>
      </c>
      <c r="P663" s="114" t="n"/>
      <c r="Q663" s="114" t="n"/>
      <c r="R663" s="113" t="n">
        <v>1551166.55</v>
      </c>
      <c r="S663" s="114" t="n"/>
      <c r="T663" s="114" t="n"/>
      <c r="U663" s="114" t="n">
        <v>504.215072420782</v>
      </c>
      <c r="V663" s="114" t="n">
        <v>1325.283020064</v>
      </c>
      <c r="W663" s="110" t="n">
        <v>2024</v>
      </c>
      <c r="X663" s="129" t="n">
        <v>1474610.12</v>
      </c>
      <c r="Y663" s="129" t="n">
        <f aca="false" ca="false" dt2D="false" dtr="false" t="normal">+(K663*9.1+L663*18.19)*12</f>
        <v>441801.36</v>
      </c>
      <c r="AA663" s="130" t="e">
        <f aca="false" ca="false" dt2D="false" dtr="false" t="normal">+N663-'[8]Приложение № 2'!E572</f>
        <v>#REF!</v>
      </c>
      <c r="AD663" s="130" t="e">
        <f aca="false" ca="false" dt2D="false" dtr="false" t="normal">+N663-'[8]Приложение № 2'!E572</f>
        <v>#REF!</v>
      </c>
      <c r="AP663" s="112" t="n">
        <f aca="false" ca="false" dt2D="false" dtr="false" t="normal">+N663-'Приложение №2'!E663</f>
        <v>0</v>
      </c>
      <c r="AQ663" s="121" t="n">
        <v>2307200.55</v>
      </c>
      <c r="AR663" s="3" t="n">
        <f aca="false" ca="false" dt2D="false" dtr="false" t="normal">+(K663*10.5+L663*21)*12*0.85</f>
        <v>433305.18000000005</v>
      </c>
      <c r="AS663" s="3" t="n">
        <f aca="false" ca="false" dt2D="false" dtr="false" t="normal">+(K663*10.5+L663*21)*12*30</f>
        <v>15293124.000000002</v>
      </c>
      <c r="AT663" s="9" t="n">
        <f aca="false" ca="false" dt2D="false" dtr="false" t="normal">+S663-AS663</f>
        <v>-15293124.000000002</v>
      </c>
      <c r="AU663" s="9" t="e">
        <f aca="false" ca="false" dt2D="false" dtr="false" t="normal">+P663-'[5]Приложение №1'!$P607</f>
        <v>#REF!</v>
      </c>
      <c r="AV663" s="9" t="e">
        <f aca="false" ca="false" dt2D="false" dtr="false" t="normal">+Q663-'[5]Приложение №1'!$Q607</f>
        <v>#REF!</v>
      </c>
      <c r="AW663" s="186" t="n">
        <f aca="false" ca="true" dt2D="false" dtr="false" t="normal">SUBTOTAL(9, AX663:BL663)</f>
        <v>2039953.3399999973</v>
      </c>
      <c r="AX663" s="106" t="n"/>
      <c r="AY663" s="106" t="n"/>
      <c r="AZ663" s="106" t="n"/>
      <c r="BA663" s="106" t="n"/>
      <c r="BB663" s="106" t="n">
        <v>1732566.24491153</v>
      </c>
      <c r="BC663" s="106" t="n"/>
      <c r="BD663" s="106" t="n"/>
      <c r="BE663" s="106" t="n"/>
      <c r="BF663" s="106" t="n"/>
      <c r="BG663" s="106" t="n"/>
      <c r="BH663" s="106" t="n"/>
      <c r="BI663" s="106" t="n"/>
      <c r="BJ663" s="106" t="n">
        <v>245499.380352</v>
      </c>
      <c r="BK663" s="114" t="n">
        <v>24000</v>
      </c>
      <c r="BL663" s="115" t="n">
        <v>37887.7147364672</v>
      </c>
      <c r="BM663" s="186" t="n">
        <f aca="false" ca="true" dt2D="false" dtr="false" t="normal">SUBTOTAL(9, BN663:CB663)</f>
        <v>2039953.3399999973</v>
      </c>
      <c r="BN663" s="106" t="n"/>
      <c r="BO663" s="106" t="n"/>
      <c r="BP663" s="106" t="n"/>
      <c r="BQ663" s="106" t="n"/>
      <c r="BR663" s="106" t="n">
        <v>1732566.24491153</v>
      </c>
      <c r="BS663" s="106" t="n"/>
      <c r="BT663" s="106" t="n"/>
      <c r="BU663" s="106" t="n"/>
      <c r="BV663" s="106" t="n"/>
      <c r="BW663" s="106" t="n"/>
      <c r="BX663" s="106" t="n"/>
      <c r="BY663" s="106" t="n"/>
      <c r="BZ663" s="106" t="n">
        <v>245499.380352</v>
      </c>
      <c r="CA663" s="114" t="n">
        <v>24000</v>
      </c>
      <c r="CB663" s="115" t="n">
        <v>37887.7147364672</v>
      </c>
      <c r="CD663" s="116" t="e">
        <f aca="false" ca="false" dt2D="false" dtr="false" t="normal">+CD662+1</f>
        <v>#REF!</v>
      </c>
      <c r="CE663" s="117" t="e">
        <f aca="false" ca="false" dt2D="false" dtr="false" t="normal">+CE662+1</f>
        <v>#REF!</v>
      </c>
      <c r="CF663" s="104" t="s">
        <v>111</v>
      </c>
      <c r="CG663" s="117" t="s">
        <v>634</v>
      </c>
      <c r="CH663" s="108" t="n">
        <f aca="false" ca="true" dt2D="false" dtr="false" t="normal">SUBTOTAL(9, CI663:CW663)</f>
        <v>1589054.26</v>
      </c>
      <c r="CI663" s="106" t="n"/>
      <c r="CJ663" s="114" t="n"/>
      <c r="CK663" s="114" t="n"/>
      <c r="CL663" s="114" t="n"/>
      <c r="CM663" s="114" t="n">
        <v>1551166.55</v>
      </c>
      <c r="CN663" s="114" t="n"/>
      <c r="CO663" s="106" t="n"/>
      <c r="CP663" s="114" t="n"/>
      <c r="CQ663" s="114" t="n"/>
      <c r="CR663" s="114" t="n"/>
      <c r="CS663" s="114" t="n"/>
      <c r="CT663" s="114" t="n"/>
      <c r="CU663" s="114" t="n"/>
      <c r="CV663" s="114" t="n"/>
      <c r="CW663" s="115" t="n">
        <v>37887.71</v>
      </c>
      <c r="CX663" s="3" t="n">
        <f aca="false" ca="false" dt2D="false" dtr="false" t="normal">+N663-CH663</f>
        <v>-37887.70999999996</v>
      </c>
      <c r="CZ663" s="117" t="s">
        <v>634</v>
      </c>
      <c r="DA663" s="113" t="n">
        <f aca="false" ca="true" dt2D="false" dtr="false" t="normal">SUBTOTAL(9, DB663:DP663)</f>
        <v>1551166.55</v>
      </c>
      <c r="DB663" s="106" t="n"/>
      <c r="DC663" s="114" t="n"/>
      <c r="DD663" s="114" t="n"/>
      <c r="DE663" s="114" t="n"/>
      <c r="DF663" s="114" t="n">
        <v>1551166.55</v>
      </c>
      <c r="DG663" s="114" t="n"/>
      <c r="DH663" s="106" t="n"/>
      <c r="DI663" s="114" t="n"/>
      <c r="DJ663" s="114" t="n"/>
      <c r="DK663" s="114" t="n"/>
      <c r="DL663" s="114" t="n"/>
      <c r="DM663" s="114" t="n"/>
      <c r="DN663" s="241" t="n"/>
      <c r="DO663" s="241" t="n"/>
      <c r="DP663" s="240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</row>
    <row customFormat="true" hidden="false" ht="15" outlineLevel="0" r="664" s="129">
      <c r="A664" s="183" t="n">
        <f aca="false" ca="false" dt2D="false" dtr="false" t="normal">+A663+1</f>
        <v>642</v>
      </c>
      <c r="B664" s="117" t="n">
        <f aca="false" ca="false" dt2D="false" dtr="false" t="normal">+B663+1</f>
        <v>182</v>
      </c>
      <c r="C664" s="117" t="s">
        <v>184</v>
      </c>
      <c r="D664" s="117" t="s">
        <v>635</v>
      </c>
      <c r="E664" s="201" t="s">
        <v>636</v>
      </c>
      <c r="F664" s="201" t="n"/>
      <c r="G664" s="201" t="s">
        <v>68</v>
      </c>
      <c r="H664" s="201" t="s">
        <v>104</v>
      </c>
      <c r="I664" s="201" t="s">
        <v>187</v>
      </c>
      <c r="J664" s="114" t="n">
        <v>3196.5</v>
      </c>
      <c r="K664" s="114" t="n">
        <v>2451.1</v>
      </c>
      <c r="L664" s="114" t="n">
        <v>745</v>
      </c>
      <c r="M664" s="202" t="n">
        <v>156</v>
      </c>
      <c r="N664" s="108" t="n">
        <f aca="false" ca="false" dt2D="false" dtr="false" t="normal">SUM(P664:T664)</f>
        <v>37130333.99</v>
      </c>
      <c r="O664" s="114" t="n">
        <v>0</v>
      </c>
      <c r="P664" s="113" t="n">
        <v>6756631.41</v>
      </c>
      <c r="Q664" s="114" t="n"/>
      <c r="R664" s="113" t="n">
        <v>2784032.97</v>
      </c>
      <c r="S664" s="113" t="n">
        <v>14452753.97</v>
      </c>
      <c r="T664" s="113" t="n">
        <v>13136915.64</v>
      </c>
      <c r="U664" s="114" t="n">
        <v>17522.5165869268</v>
      </c>
      <c r="V664" s="114" t="n">
        <v>1326.283020064</v>
      </c>
      <c r="W664" s="110" t="n">
        <v>2024</v>
      </c>
      <c r="X664" s="129" t="n">
        <v>1575459.5</v>
      </c>
      <c r="Y664" s="129" t="n">
        <f aca="false" ca="false" dt2D="false" dtr="false" t="normal">+(K664*9.1+L664*18.19)*12</f>
        <v>430278.72</v>
      </c>
      <c r="AA664" s="130" t="e">
        <f aca="false" ca="false" dt2D="false" dtr="false" t="normal">+N664-'[8]Приложение № 2'!E573</f>
        <v>#REF!</v>
      </c>
      <c r="AD664" s="130" t="e">
        <f aca="false" ca="false" dt2D="false" dtr="false" t="normal">+N664-'[8]Приложение № 2'!E573</f>
        <v>#REF!</v>
      </c>
      <c r="AP664" s="112" t="n">
        <f aca="false" ca="false" dt2D="false" dtr="false" t="normal">+N664-'Приложение №2'!E664</f>
        <v>0</v>
      </c>
      <c r="AQ664" s="121" t="n">
        <v>2361941.16</v>
      </c>
      <c r="AR664" s="3" t="n">
        <f aca="false" ca="false" dt2D="false" dtr="false" t="normal">+(K664*10.5+L664*21)*12*0.85</f>
        <v>422091.81</v>
      </c>
      <c r="AS664" s="3" t="n">
        <f aca="false" ca="false" dt2D="false" dtr="false" t="normal">+(K664*10.5+L664*21)*12*30</f>
        <v>14897358.000000002</v>
      </c>
      <c r="AT664" s="9" t="n">
        <f aca="false" ca="false" dt2D="false" dtr="false" t="normal">+S664-AS664</f>
        <v>-444604.0300000012</v>
      </c>
      <c r="AU664" s="9" t="e">
        <f aca="false" ca="false" dt2D="false" dtr="false" t="normal">+P664-'[5]Приложение №1'!$P608</f>
        <v>#REF!</v>
      </c>
      <c r="AV664" s="9" t="e">
        <f aca="false" ca="false" dt2D="false" dtr="false" t="normal">+Q664-'[5]Приложение №1'!$Q608</f>
        <v>#REF!</v>
      </c>
      <c r="AW664" s="186" t="n">
        <f aca="false" ca="true" dt2D="false" dtr="false" t="normal">SUBTOTAL(9, AX664:BL664)</f>
        <v>42949440.40621642</v>
      </c>
      <c r="AX664" s="106" t="n">
        <v>7393681.94</v>
      </c>
      <c r="AY664" s="106" t="n">
        <v>2143637.47618749</v>
      </c>
      <c r="AZ664" s="106" t="n">
        <v>2373820.8287424</v>
      </c>
      <c r="BA664" s="106" t="n">
        <v>1401136.31281149</v>
      </c>
      <c r="BB664" s="106" t="n">
        <v>1294156.24823072</v>
      </c>
      <c r="BC664" s="106" t="n"/>
      <c r="BD664" s="106" t="n">
        <v>230299.609966853</v>
      </c>
      <c r="BE664" s="106" t="n"/>
      <c r="BF664" s="106" t="n">
        <v>16590386.9870087</v>
      </c>
      <c r="BG664" s="106" t="n"/>
      <c r="BH664" s="106" t="n"/>
      <c r="BI664" s="106" t="n">
        <v>9290993.52751443</v>
      </c>
      <c r="BJ664" s="106" t="n">
        <v>1498477.79318372</v>
      </c>
      <c r="BK664" s="114" t="n">
        <v>43476.727368</v>
      </c>
      <c r="BL664" s="115" t="n">
        <v>689372.95520262</v>
      </c>
      <c r="BM664" s="186" t="n">
        <f aca="false" ca="true" dt2D="false" dtr="false" t="normal">SUBTOTAL(9, BN664:CB664)</f>
        <v>42949440.40621642</v>
      </c>
      <c r="BN664" s="106" t="n">
        <v>7393681.94</v>
      </c>
      <c r="BO664" s="106" t="n">
        <v>2143637.47618749</v>
      </c>
      <c r="BP664" s="106" t="n">
        <v>2373820.8287424</v>
      </c>
      <c r="BQ664" s="106" t="n">
        <v>1401136.31281149</v>
      </c>
      <c r="BR664" s="106" t="n">
        <v>1294156.24823072</v>
      </c>
      <c r="BS664" s="106" t="n"/>
      <c r="BT664" s="106" t="n">
        <v>230299.609966853</v>
      </c>
      <c r="BU664" s="106" t="n"/>
      <c r="BV664" s="106" t="n">
        <v>16590386.9870087</v>
      </c>
      <c r="BW664" s="106" t="n"/>
      <c r="BX664" s="106" t="n"/>
      <c r="BY664" s="106" t="n">
        <v>9290993.52751443</v>
      </c>
      <c r="BZ664" s="106" t="n">
        <v>1498477.79318372</v>
      </c>
      <c r="CA664" s="114" t="n">
        <v>43476.727368</v>
      </c>
      <c r="CB664" s="115" t="n">
        <v>689372.95520262</v>
      </c>
      <c r="CD664" s="116" t="e">
        <f aca="false" ca="false" dt2D="false" dtr="false" t="normal">+CD663+1</f>
        <v>#REF!</v>
      </c>
      <c r="CE664" s="117" t="e">
        <f aca="false" ca="false" dt2D="false" dtr="false" t="normal">+CE663+1</f>
        <v>#REF!</v>
      </c>
      <c r="CF664" s="104" t="s">
        <v>111</v>
      </c>
      <c r="CG664" s="117" t="s">
        <v>635</v>
      </c>
      <c r="CH664" s="108" t="n">
        <f aca="false" ca="true" dt2D="false" dtr="false" t="normal">SUBTOTAL(9, CI664:CW664)</f>
        <v>37819706.9530096</v>
      </c>
      <c r="CI664" s="106" t="n">
        <v>7393681.94</v>
      </c>
      <c r="CJ664" s="114" t="n">
        <v>2143637.48</v>
      </c>
      <c r="CK664" s="114" t="n">
        <v>2373820.83</v>
      </c>
      <c r="CL664" s="114" t="n">
        <v>2716386.3</v>
      </c>
      <c r="CM664" s="114" t="n">
        <v>1652698.1</v>
      </c>
      <c r="CN664" s="114" t="n"/>
      <c r="CO664" s="106" t="n"/>
      <c r="CP664" s="114" t="n"/>
      <c r="CQ664" s="243" t="n">
        <v>17678518.9430096</v>
      </c>
      <c r="CR664" s="114" t="n"/>
      <c r="CS664" s="114" t="n"/>
      <c r="CT664" s="114" t="n">
        <v>3171590.4</v>
      </c>
      <c r="CU664" s="114" t="n"/>
      <c r="CV664" s="114" t="n"/>
      <c r="CW664" s="115" t="n">
        <v>689372.96</v>
      </c>
      <c r="CX664" s="3" t="n">
        <f aca="false" ca="false" dt2D="false" dtr="false" t="normal">+N664-CH664</f>
        <v>-689372.9630095959</v>
      </c>
      <c r="CZ664" s="117" t="s">
        <v>635</v>
      </c>
      <c r="DA664" s="113" t="n">
        <f aca="false" ca="true" dt2D="false" dtr="false" t="normal">SUBTOTAL(9, DB664:DP664)</f>
        <v>37130333.9930096</v>
      </c>
      <c r="DB664" s="106" t="n">
        <v>7393681.94</v>
      </c>
      <c r="DC664" s="114" t="n">
        <v>2143637.48</v>
      </c>
      <c r="DD664" s="114" t="n">
        <v>2373820.83</v>
      </c>
      <c r="DE664" s="114" t="n">
        <v>2716386.3</v>
      </c>
      <c r="DF664" s="114" t="n">
        <v>1652698.1</v>
      </c>
      <c r="DG664" s="114" t="n"/>
      <c r="DH664" s="106" t="n"/>
      <c r="DI664" s="114" t="n"/>
      <c r="DJ664" s="243" t="n">
        <v>17678518.9430096</v>
      </c>
      <c r="DK664" s="114" t="n"/>
      <c r="DL664" s="114" t="n"/>
      <c r="DM664" s="114" t="n">
        <v>3171590.4</v>
      </c>
      <c r="DN664" s="241" t="n"/>
      <c r="DO664" s="241" t="n"/>
      <c r="DP664" s="240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</row>
    <row customFormat="true" hidden="false" ht="15" outlineLevel="0" r="665" s="129">
      <c r="A665" s="183" t="n">
        <f aca="false" ca="false" dt2D="false" dtr="false" t="normal">+A664+1</f>
        <v>643</v>
      </c>
      <c r="B665" s="117" t="n">
        <f aca="false" ca="false" dt2D="false" dtr="false" t="normal">+B664+1</f>
        <v>183</v>
      </c>
      <c r="C665" s="117" t="s">
        <v>184</v>
      </c>
      <c r="D665" s="117" t="s">
        <v>385</v>
      </c>
      <c r="E665" s="201" t="s">
        <v>186</v>
      </c>
      <c r="F665" s="201" t="n"/>
      <c r="G665" s="201" t="s">
        <v>68</v>
      </c>
      <c r="H665" s="201" t="s">
        <v>187</v>
      </c>
      <c r="I665" s="201" t="s">
        <v>187</v>
      </c>
      <c r="J665" s="114" t="n">
        <v>3950.89</v>
      </c>
      <c r="K665" s="114" t="n">
        <v>3454.6</v>
      </c>
      <c r="L665" s="114" t="n">
        <v>0</v>
      </c>
      <c r="M665" s="202" t="n">
        <v>153</v>
      </c>
      <c r="N665" s="108" t="n">
        <f aca="false" ca="false" dt2D="false" dtr="false" t="normal">SUM(P665:T665)</f>
        <v>29858646.029999997</v>
      </c>
      <c r="O665" s="114" t="n">
        <v>0</v>
      </c>
      <c r="P665" s="113" t="n">
        <v>9180534.44</v>
      </c>
      <c r="Q665" s="114" t="n"/>
      <c r="R665" s="113" t="n">
        <v>369987.66</v>
      </c>
      <c r="S665" s="113" t="n">
        <v>10560204.77</v>
      </c>
      <c r="T665" s="113" t="n">
        <v>9747919.16</v>
      </c>
      <c r="U665" s="114" t="n">
        <v>6210.65562241457</v>
      </c>
      <c r="V665" s="114" t="n">
        <v>1327.283020064</v>
      </c>
      <c r="W665" s="110" t="n">
        <v>2024</v>
      </c>
      <c r="X665" s="129" t="n">
        <v>1263644.15</v>
      </c>
      <c r="Y665" s="129" t="n">
        <f aca="false" ca="false" dt2D="false" dtr="false" t="normal">+(K665*9.1+L665*18.19)*12</f>
        <v>377242.31999999995</v>
      </c>
      <c r="AA665" s="130" t="e">
        <f aca="false" ca="false" dt2D="false" dtr="false" t="normal">+N665-'[8]Приложение № 2'!E574</f>
        <v>#REF!</v>
      </c>
      <c r="AD665" s="130" t="e">
        <f aca="false" ca="false" dt2D="false" dtr="false" t="normal">+N665-'[8]Приложение № 2'!E574</f>
        <v>#REF!</v>
      </c>
      <c r="AP665" s="112" t="n">
        <f aca="false" ca="false" dt2D="false" dtr="false" t="normal">+N665-'Приложение №2'!E665</f>
        <v>0</v>
      </c>
      <c r="AQ665" s="121" t="n">
        <f aca="false" ca="false" dt2D="false" dtr="false" t="normal">2044101.29-R308</f>
        <v>-369987.66000000015</v>
      </c>
      <c r="AR665" s="3" t="n">
        <f aca="false" ca="false" dt2D="false" dtr="false" t="normal">+(K665*10.5+L665*21)*12*0.85</f>
        <v>369987.66</v>
      </c>
      <c r="AS665" s="3" t="n">
        <f aca="false" ca="false" dt2D="false" dtr="false" t="normal">+(K665*10.5+L665*21)*12*30-S308</f>
        <v>6912846.4</v>
      </c>
      <c r="AT665" s="9" t="n">
        <f aca="false" ca="false" dt2D="false" dtr="false" t="normal">+S665-AS665</f>
        <v>3647358.369999999</v>
      </c>
      <c r="AU665" s="9" t="e">
        <f aca="false" ca="false" dt2D="false" dtr="false" t="normal">+P665-'[5]Приложение №1'!$P609</f>
        <v>#REF!</v>
      </c>
      <c r="AV665" s="9" t="e">
        <f aca="false" ca="false" dt2D="false" dtr="false" t="normal">+Q665-'[5]Приложение №1'!$Q609</f>
        <v>#REF!</v>
      </c>
      <c r="AW665" s="186" t="n">
        <f aca="false" ca="true" dt2D="false" dtr="false" t="normal">SUBTOTAL(9, AX665:BL665)</f>
        <v>21455330.913193367</v>
      </c>
      <c r="AX665" s="106" t="n">
        <v>10498865.200444</v>
      </c>
      <c r="AY665" s="106" t="n">
        <v>3966708.60845591</v>
      </c>
      <c r="AZ665" s="106" t="n">
        <v>0</v>
      </c>
      <c r="BA665" s="106" t="n">
        <v>3542622.25021068</v>
      </c>
      <c r="BB665" s="106" t="n">
        <v>1398827.37559459</v>
      </c>
      <c r="BC665" s="106" t="n"/>
      <c r="BD665" s="106" t="n">
        <v>376376.559302421</v>
      </c>
      <c r="BE665" s="106" t="n">
        <v>0</v>
      </c>
      <c r="BF665" s="106" t="n"/>
      <c r="BG665" s="106" t="n">
        <v>0</v>
      </c>
      <c r="BH665" s="106" t="n"/>
      <c r="BI665" s="106" t="n"/>
      <c r="BJ665" s="106" t="n"/>
      <c r="BK665" s="114" t="n"/>
      <c r="BL665" s="115" t="n">
        <v>1671930.91918577</v>
      </c>
      <c r="BM665" s="186" t="n">
        <f aca="false" ca="true" dt2D="false" dtr="false" t="normal">SUBTOTAL(9, BN665:CB665)</f>
        <v>21455330.913193367</v>
      </c>
      <c r="BN665" s="106" t="n">
        <v>10498865.200444</v>
      </c>
      <c r="BO665" s="106" t="n">
        <v>3966708.60845591</v>
      </c>
      <c r="BP665" s="106" t="n">
        <v>0</v>
      </c>
      <c r="BQ665" s="106" t="n">
        <v>3542622.25021068</v>
      </c>
      <c r="BR665" s="106" t="n">
        <v>1398827.37559459</v>
      </c>
      <c r="BS665" s="106" t="n"/>
      <c r="BT665" s="106" t="n">
        <v>376376.559302421</v>
      </c>
      <c r="BU665" s="106" t="n">
        <v>0</v>
      </c>
      <c r="BV665" s="106" t="n"/>
      <c r="BW665" s="106" t="n">
        <v>0</v>
      </c>
      <c r="BX665" s="106" t="n"/>
      <c r="BY665" s="106" t="n"/>
      <c r="BZ665" s="106" t="n"/>
      <c r="CA665" s="114" t="n"/>
      <c r="CB665" s="115" t="n">
        <v>1671930.91918577</v>
      </c>
      <c r="CD665" s="116" t="e">
        <f aca="false" ca="false" dt2D="false" dtr="false" t="normal">+CD664+1</f>
        <v>#REF!</v>
      </c>
      <c r="CE665" s="117" t="e">
        <f aca="false" ca="false" dt2D="false" dtr="false" t="normal">+CE664+1</f>
        <v>#REF!</v>
      </c>
      <c r="CF665" s="104" t="s">
        <v>111</v>
      </c>
      <c r="CG665" s="117" t="s">
        <v>385</v>
      </c>
      <c r="CH665" s="108" t="n">
        <f aca="false" ca="true" dt2D="false" dtr="false" t="normal">SUBTOTAL(9, CI665:CW665)</f>
        <v>31530576.949999996</v>
      </c>
      <c r="CI665" s="106" t="n">
        <v>10498865.2</v>
      </c>
      <c r="CJ665" s="114" t="n">
        <v>4360075.2</v>
      </c>
      <c r="CK665" s="114" t="n">
        <v>0</v>
      </c>
      <c r="CL665" s="114" t="n">
        <v>3542622.25</v>
      </c>
      <c r="CM665" s="114" t="n">
        <v>1398827.38</v>
      </c>
      <c r="CN665" s="114" t="n"/>
      <c r="CO665" s="106" t="n"/>
      <c r="CP665" s="114" t="n">
        <v>0</v>
      </c>
      <c r="CQ665" s="114" t="n"/>
      <c r="CR665" s="114" t="n">
        <v>0</v>
      </c>
      <c r="CS665" s="114" t="n"/>
      <c r="CT665" s="114" t="n">
        <v>10058256</v>
      </c>
      <c r="CU665" s="114" t="n"/>
      <c r="CV665" s="114" t="n"/>
      <c r="CW665" s="115" t="n">
        <v>1671930.92</v>
      </c>
      <c r="CX665" s="3" t="n">
        <f aca="false" ca="false" dt2D="false" dtr="false" t="normal">+N665-CH665</f>
        <v>-1671930.919999998</v>
      </c>
      <c r="CZ665" s="117" t="s">
        <v>385</v>
      </c>
      <c r="DA665" s="113" t="n">
        <f aca="false" ca="true" dt2D="false" dtr="false" t="normal">SUBTOTAL(9, DB665:DP665)</f>
        <v>29858646.029999997</v>
      </c>
      <c r="DB665" s="106" t="n">
        <v>10498865.2</v>
      </c>
      <c r="DC665" s="114" t="n">
        <v>4360075.2</v>
      </c>
      <c r="DD665" s="114" t="n">
        <v>0</v>
      </c>
      <c r="DE665" s="114" t="n">
        <v>3542622.25</v>
      </c>
      <c r="DF665" s="114" t="n">
        <v>1398827.38</v>
      </c>
      <c r="DG665" s="114" t="n"/>
      <c r="DH665" s="106" t="n"/>
      <c r="DI665" s="114" t="n">
        <v>0</v>
      </c>
      <c r="DJ665" s="114" t="n"/>
      <c r="DK665" s="114" t="n">
        <v>0</v>
      </c>
      <c r="DL665" s="114" t="n"/>
      <c r="DM665" s="243" t="n">
        <v>10058256</v>
      </c>
      <c r="DN665" s="114" t="n"/>
      <c r="DO665" s="114" t="n"/>
      <c r="DP665" s="240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</row>
    <row customFormat="true" hidden="false" ht="15" outlineLevel="0" r="666" s="129">
      <c r="A666" s="183" t="n">
        <f aca="false" ca="false" dt2D="false" dtr="false" t="normal">+A665+1</f>
        <v>644</v>
      </c>
      <c r="B666" s="117" t="n">
        <f aca="false" ca="false" dt2D="false" dtr="false" t="normal">+B665+1</f>
        <v>184</v>
      </c>
      <c r="C666" s="104" t="s">
        <v>184</v>
      </c>
      <c r="D666" s="104" t="s">
        <v>637</v>
      </c>
      <c r="E666" s="105" t="s">
        <v>638</v>
      </c>
      <c r="F666" s="105" t="n"/>
      <c r="G666" s="105" t="s">
        <v>68</v>
      </c>
      <c r="H666" s="105" t="s">
        <v>187</v>
      </c>
      <c r="I666" s="105" t="s">
        <v>187</v>
      </c>
      <c r="J666" s="106" t="n">
        <v>3906</v>
      </c>
      <c r="K666" s="106" t="n">
        <v>3421.4</v>
      </c>
      <c r="L666" s="106" t="n">
        <v>0</v>
      </c>
      <c r="M666" s="107" t="n">
        <v>129</v>
      </c>
      <c r="N666" s="108" t="n">
        <f aca="false" ca="false" dt2D="false" dtr="false" t="normal">SUM(P666:T666)</f>
        <v>2811451.2</v>
      </c>
      <c r="O666" s="106" t="n"/>
      <c r="P666" s="114" t="n"/>
      <c r="Q666" s="114" t="n"/>
      <c r="R666" s="113" t="n">
        <v>2007706.06</v>
      </c>
      <c r="S666" s="114" t="n"/>
      <c r="T666" s="113" t="n">
        <v>803745.14</v>
      </c>
      <c r="U666" s="114" t="n">
        <v>2605.498272</v>
      </c>
      <c r="V666" s="114" t="n">
        <v>1328.283020064</v>
      </c>
      <c r="W666" s="110" t="n">
        <v>2024</v>
      </c>
      <c r="AA666" s="130" t="n"/>
      <c r="AD666" s="130" t="n"/>
      <c r="AP666" s="112" t="n">
        <f aca="false" ca="false" dt2D="false" dtr="false" t="normal">+N666-'Приложение №2'!E666</f>
        <v>0</v>
      </c>
      <c r="AQ666" s="135" t="n">
        <v>1883712.58</v>
      </c>
      <c r="AR666" s="3" t="n">
        <f aca="false" ca="false" dt2D="false" dtr="false" t="normal">+(K666*10.5+L666*21)*12*0.85</f>
        <v>366431.94</v>
      </c>
      <c r="AS666" s="3" t="n">
        <f aca="false" ca="false" dt2D="false" dtr="false" t="normal">+(K666*10.5+L666*21)*12*30</f>
        <v>12932892</v>
      </c>
      <c r="AT666" s="9" t="n">
        <f aca="false" ca="false" dt2D="false" dtr="false" t="normal">+S666-AS666</f>
        <v>-12932892</v>
      </c>
      <c r="AU666" s="9" t="n"/>
      <c r="AV666" s="9" t="n"/>
      <c r="AW666" s="186" t="n">
        <f aca="false" ca="true" dt2D="false" dtr="false" t="normal">SUBTOTAL(9, AX666:BL666)</f>
        <v>8914451.787820803</v>
      </c>
      <c r="AX666" s="106" t="n"/>
      <c r="AY666" s="106" t="n"/>
      <c r="AZ666" s="106" t="n"/>
      <c r="BA666" s="106" t="n"/>
      <c r="BB666" s="106" t="n"/>
      <c r="BC666" s="106" t="n"/>
      <c r="BD666" s="106" t="n"/>
      <c r="BE666" s="106" t="n"/>
      <c r="BF666" s="106" t="n"/>
      <c r="BG666" s="106" t="n"/>
      <c r="BH666" s="106" t="n"/>
      <c r="BI666" s="106" t="n">
        <v>7764077.44240968</v>
      </c>
      <c r="BJ666" s="106" t="n">
        <v>891445.17878208</v>
      </c>
      <c r="BK666" s="114" t="n">
        <v>89144.517878208</v>
      </c>
      <c r="BL666" s="187" t="n">
        <v>169784.648750835</v>
      </c>
      <c r="BM666" s="186" t="n">
        <f aca="false" ca="true" dt2D="false" dtr="false" t="normal">SUBTOTAL(9, BN666:CB666)</f>
        <v>8914451.787820803</v>
      </c>
      <c r="BN666" s="106" t="n"/>
      <c r="BO666" s="106" t="n"/>
      <c r="BP666" s="106" t="n"/>
      <c r="BQ666" s="106" t="n"/>
      <c r="BR666" s="106" t="n"/>
      <c r="BS666" s="106" t="n"/>
      <c r="BT666" s="106" t="n"/>
      <c r="BU666" s="106" t="n"/>
      <c r="BV666" s="106" t="n"/>
      <c r="BW666" s="106" t="n"/>
      <c r="BX666" s="106" t="n"/>
      <c r="BY666" s="106" t="n">
        <v>7764077.44240968</v>
      </c>
      <c r="BZ666" s="106" t="n">
        <v>891445.17878208</v>
      </c>
      <c r="CA666" s="114" t="n">
        <v>89144.517878208</v>
      </c>
      <c r="CB666" s="115" t="n">
        <v>169784.648750835</v>
      </c>
      <c r="CD666" s="116" t="e">
        <f aca="false" ca="false" dt2D="false" dtr="false" t="normal">+CD665+1</f>
        <v>#REF!</v>
      </c>
      <c r="CE666" s="117" t="e">
        <f aca="false" ca="false" dt2D="false" dtr="false" t="normal">+CE665+1</f>
        <v>#REF!</v>
      </c>
      <c r="CF666" s="104" t="s">
        <v>111</v>
      </c>
      <c r="CG666" s="117" t="s">
        <v>637</v>
      </c>
      <c r="CH666" s="108" t="n">
        <f aca="false" ca="true" dt2D="false" dtr="false" t="normal">SUBTOTAL(9, CI666:CW666)</f>
        <v>2617587.85</v>
      </c>
      <c r="CI666" s="106" t="n"/>
      <c r="CJ666" s="114" t="n"/>
      <c r="CK666" s="114" t="n"/>
      <c r="CL666" s="114" t="n"/>
      <c r="CM666" s="114" t="n"/>
      <c r="CN666" s="114" t="n"/>
      <c r="CO666" s="106" t="n"/>
      <c r="CP666" s="114" t="n"/>
      <c r="CQ666" s="114" t="n"/>
      <c r="CR666" s="114" t="n"/>
      <c r="CS666" s="114" t="n"/>
      <c r="CT666" s="114" t="n">
        <v>2447803.2</v>
      </c>
      <c r="CU666" s="114" t="n"/>
      <c r="CV666" s="114" t="n"/>
      <c r="CW666" s="115" t="n">
        <v>169784.65</v>
      </c>
      <c r="CX666" s="3" t="n">
        <f aca="false" ca="false" dt2D="false" dtr="false" t="normal">+N666-CH666</f>
        <v>193863.3500000001</v>
      </c>
      <c r="CZ666" s="117" t="s">
        <v>637</v>
      </c>
      <c r="DA666" s="113" t="n">
        <f aca="false" ca="true" dt2D="false" dtr="false" t="normal">SUBTOTAL(9, DB666:DP666)</f>
        <v>2447803.2</v>
      </c>
      <c r="DB666" s="106" t="n"/>
      <c r="DC666" s="114" t="n"/>
      <c r="DD666" s="114" t="n"/>
      <c r="DE666" s="114" t="n"/>
      <c r="DF666" s="114" t="n"/>
      <c r="DG666" s="114" t="n"/>
      <c r="DH666" s="106" t="n"/>
      <c r="DI666" s="114" t="n"/>
      <c r="DJ666" s="114" t="n"/>
      <c r="DK666" s="114" t="n"/>
      <c r="DL666" s="114" t="n"/>
      <c r="DM666" s="114" t="n">
        <v>2447803.2</v>
      </c>
      <c r="DN666" s="241" t="n"/>
      <c r="DO666" s="241" t="n"/>
      <c r="DP666" s="240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</row>
    <row customFormat="true" hidden="false" ht="15" outlineLevel="0" r="667" s="1">
      <c r="A667" s="183" t="n">
        <f aca="false" ca="false" dt2D="false" dtr="false" t="normal">+A666+1</f>
        <v>645</v>
      </c>
      <c r="B667" s="117" t="n">
        <f aca="false" ca="false" dt2D="false" dtr="false" t="normal">+B666+1</f>
        <v>185</v>
      </c>
      <c r="C667" s="104" t="s">
        <v>111</v>
      </c>
      <c r="D667" s="104" t="s">
        <v>386</v>
      </c>
      <c r="E667" s="105" t="n">
        <v>1968</v>
      </c>
      <c r="F667" s="105" t="n">
        <v>2013</v>
      </c>
      <c r="G667" s="105" t="s">
        <v>68</v>
      </c>
      <c r="H667" s="105" t="n">
        <v>5</v>
      </c>
      <c r="I667" s="105" t="n">
        <v>5</v>
      </c>
      <c r="J667" s="106" t="n">
        <v>3261.1</v>
      </c>
      <c r="K667" s="106" t="n">
        <v>2512.5</v>
      </c>
      <c r="L667" s="106" t="n">
        <v>664.8</v>
      </c>
      <c r="M667" s="107" t="n">
        <v>128</v>
      </c>
      <c r="N667" s="108" t="n">
        <f aca="false" ca="false" dt2D="false" dtr="false" t="normal">SUM(P667:T667)</f>
        <v>711714.18</v>
      </c>
      <c r="O667" s="106" t="n"/>
      <c r="P667" s="114" t="n"/>
      <c r="Q667" s="114" t="n"/>
      <c r="R667" s="3" t="n">
        <v>711714.18</v>
      </c>
      <c r="S667" s="114" t="n">
        <v>0</v>
      </c>
      <c r="T667" s="114" t="n"/>
      <c r="U667" s="106" t="n">
        <v>1016.77576941163</v>
      </c>
      <c r="V667" s="106" t="n">
        <v>1016.77576941163</v>
      </c>
      <c r="W667" s="110" t="n">
        <v>2024</v>
      </c>
      <c r="X667" s="9" t="e">
        <f aca="false" ca="false" dt2D="false" dtr="false" t="normal">+#REF!-'[9]Приложение №1'!$P727</f>
        <v>#REF!</v>
      </c>
      <c r="Z667" s="113" t="n">
        <f aca="false" ca="false" dt2D="false" dtr="false" t="normal">SUM(AA667:AO667)</f>
        <v>30275329.63643748</v>
      </c>
      <c r="AA667" s="106" t="n">
        <v>6028027.96854804</v>
      </c>
      <c r="AB667" s="106" t="n">
        <v>0</v>
      </c>
      <c r="AC667" s="106" t="n">
        <v>2244217.77712356</v>
      </c>
      <c r="AD667" s="106" t="n">
        <v>0</v>
      </c>
      <c r="AE667" s="106" t="n">
        <v>1240916.79</v>
      </c>
      <c r="AF667" s="106" t="n"/>
      <c r="AG667" s="106" t="n">
        <v>0</v>
      </c>
      <c r="AH667" s="106" t="n">
        <v>0</v>
      </c>
      <c r="AI667" s="106" t="n">
        <v>11020152.3193566</v>
      </c>
      <c r="AJ667" s="106" t="n">
        <v>0</v>
      </c>
      <c r="AK667" s="106" t="n">
        <v>5721714.1000614</v>
      </c>
      <c r="AL667" s="106" t="n">
        <v>0</v>
      </c>
      <c r="AM667" s="106" t="n">
        <v>3056047.9633</v>
      </c>
      <c r="AN667" s="114" t="n">
        <v>328671.8125</v>
      </c>
      <c r="AO667" s="115" t="n">
        <v>635580.90554788</v>
      </c>
      <c r="AP667" s="112" t="n">
        <f aca="false" ca="false" dt2D="false" dtr="false" t="normal">+N667-'Приложение №2'!E666</f>
        <v>-2099737.02</v>
      </c>
      <c r="AQ667" s="1" t="n">
        <v>1018647.82</v>
      </c>
      <c r="AR667" s="3" t="n">
        <f aca="false" ca="false" dt2D="false" dtr="false" t="normal">+(K667*10+L667*20)*12*0.85</f>
        <v>391894.2</v>
      </c>
      <c r="AS667" s="3" t="n">
        <f aca="false" ca="false" dt2D="false" dtr="false" t="normal">+(K667*10+L667*20)*12*30</f>
        <v>13831560</v>
      </c>
      <c r="AT667" s="9" t="n">
        <f aca="false" ca="false" dt2D="false" dtr="false" t="normal">+S667-AS667</f>
        <v>-13831560</v>
      </c>
      <c r="AU667" s="9" t="e">
        <f aca="false" ca="false" dt2D="false" dtr="false" t="normal">+P667-'[5]Приложение №1'!$P622</f>
        <v>#REF!</v>
      </c>
      <c r="AV667" s="9" t="e">
        <f aca="false" ca="false" dt2D="false" dtr="false" t="normal">+Q667-'[5]Приложение №1'!$Q622</f>
        <v>#REF!</v>
      </c>
      <c r="AW667" s="113" t="n">
        <f aca="false" ca="true" dt2D="false" dtr="false" t="normal">SUBTOTAL(9, AX667:BL667)</f>
        <v>3230601.6521515604</v>
      </c>
      <c r="AX667" s="106" t="n"/>
      <c r="AY667" s="106" t="n"/>
      <c r="AZ667" s="106" t="n">
        <v>2244217.77712356</v>
      </c>
      <c r="BA667" s="106" t="n"/>
      <c r="BB667" s="106" t="n">
        <v>982262</v>
      </c>
      <c r="BC667" s="106" t="n"/>
      <c r="BD667" s="106" t="n"/>
      <c r="BE667" s="106" t="n"/>
      <c r="BF667" s="106" t="n"/>
      <c r="BG667" s="106" t="n"/>
      <c r="BH667" s="106" t="n"/>
      <c r="BI667" s="106" t="n">
        <v>0</v>
      </c>
      <c r="BJ667" s="106" t="n"/>
      <c r="BK667" s="114" t="n"/>
      <c r="BL667" s="187" t="n">
        <v>4121.875028</v>
      </c>
      <c r="BM667" s="113" t="n">
        <f aca="false" ca="true" dt2D="false" dtr="false" t="normal">SUBTOTAL(9, BN667:CB667)</f>
        <v>3230601.6521515604</v>
      </c>
      <c r="BN667" s="106" t="n"/>
      <c r="BO667" s="106" t="n"/>
      <c r="BP667" s="106" t="n">
        <v>2244217.77712356</v>
      </c>
      <c r="BQ667" s="106" t="n"/>
      <c r="BR667" s="106" t="n">
        <v>982262</v>
      </c>
      <c r="BS667" s="106" t="n"/>
      <c r="BT667" s="106" t="n"/>
      <c r="BU667" s="106" t="n"/>
      <c r="BV667" s="106" t="n"/>
      <c r="BW667" s="106" t="n"/>
      <c r="BX667" s="106" t="n"/>
      <c r="BY667" s="106" t="n">
        <v>0</v>
      </c>
      <c r="BZ667" s="106" t="n"/>
      <c r="CA667" s="114" t="n"/>
      <c r="CB667" s="115" t="n">
        <v>4121.875028</v>
      </c>
      <c r="CD667" s="116" t="e">
        <f aca="false" ca="false" dt2D="false" dtr="false" t="normal">+CD666+1</f>
        <v>#REF!</v>
      </c>
      <c r="CE667" s="117" t="e">
        <f aca="false" ca="false" dt2D="false" dtr="false" t="normal">+CE666+1</f>
        <v>#REF!</v>
      </c>
      <c r="CF667" s="104" t="s">
        <v>111</v>
      </c>
      <c r="CG667" s="117" t="s">
        <v>386</v>
      </c>
      <c r="CH667" s="108" t="n">
        <f aca="false" ca="true" dt2D="false" dtr="false" t="normal">SUBTOTAL(9, CI667:CW667)</f>
        <v>709514.6</v>
      </c>
      <c r="CI667" s="106" t="n"/>
      <c r="CJ667" s="114" t="n"/>
      <c r="CK667" s="114" t="n">
        <v>705392.72</v>
      </c>
      <c r="CL667" s="114" t="n"/>
      <c r="CM667" s="114" t="n"/>
      <c r="CN667" s="114" t="n"/>
      <c r="CO667" s="106" t="n"/>
      <c r="CP667" s="114" t="n"/>
      <c r="CQ667" s="114" t="n"/>
      <c r="CR667" s="114" t="n"/>
      <c r="CS667" s="114" t="n"/>
      <c r="CT667" s="114" t="n">
        <v>0</v>
      </c>
      <c r="CU667" s="114" t="n"/>
      <c r="CV667" s="114" t="n"/>
      <c r="CW667" s="115" t="n">
        <v>4121.88</v>
      </c>
      <c r="CX667" s="3" t="n">
        <f aca="false" ca="false" dt2D="false" dtr="false" t="normal">+N667-CH667</f>
        <v>2199.5800000000745</v>
      </c>
      <c r="CZ667" s="117" t="s">
        <v>386</v>
      </c>
      <c r="DA667" s="113" t="n">
        <f aca="false" ca="true" dt2D="false" dtr="false" t="normal">SUBTOTAL(9, DB667:DP667)</f>
        <v>711714.178</v>
      </c>
      <c r="DB667" s="106" t="n"/>
      <c r="DC667" s="114" t="n"/>
      <c r="DD667" s="114" t="n">
        <v>705392.72</v>
      </c>
      <c r="DE667" s="114" t="n"/>
      <c r="DF667" s="114" t="n"/>
      <c r="DG667" s="114" t="n"/>
      <c r="DH667" s="106" t="n"/>
      <c r="DI667" s="114" t="n"/>
      <c r="DJ667" s="114" t="n"/>
      <c r="DK667" s="114" t="n"/>
      <c r="DL667" s="114" t="n"/>
      <c r="DM667" s="114" t="n">
        <v>0</v>
      </c>
      <c r="DN667" s="114" t="n"/>
      <c r="DO667" s="114" t="n"/>
      <c r="DP667" s="115" t="n">
        <f aca="false" ca="false" dt2D="false" dtr="false" t="normal">5496.92*1.15</f>
        <v>6321.458</v>
      </c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</row>
    <row customFormat="true" hidden="false" ht="15" outlineLevel="0" r="668" s="1">
      <c r="A668" s="183" t="n">
        <f aca="false" ca="false" dt2D="false" dtr="false" t="normal">+A667+1</f>
        <v>646</v>
      </c>
      <c r="B668" s="117" t="n">
        <f aca="false" ca="false" dt2D="false" dtr="false" t="normal">+B667+1</f>
        <v>186</v>
      </c>
      <c r="C668" s="117" t="s">
        <v>111</v>
      </c>
      <c r="D668" s="117" t="s">
        <v>639</v>
      </c>
      <c r="E668" s="201" t="n">
        <v>1976</v>
      </c>
      <c r="F668" s="201" t="n">
        <v>2013</v>
      </c>
      <c r="G668" s="201" t="s">
        <v>68</v>
      </c>
      <c r="H668" s="201" t="n">
        <v>4</v>
      </c>
      <c r="I668" s="201" t="n">
        <v>4</v>
      </c>
      <c r="J668" s="114" t="n">
        <v>2850.8</v>
      </c>
      <c r="K668" s="114" t="n">
        <v>2612.3</v>
      </c>
      <c r="L668" s="114" t="n">
        <v>0</v>
      </c>
      <c r="M668" s="202" t="n">
        <v>135</v>
      </c>
      <c r="N668" s="108" t="n">
        <f aca="false" ca="false" dt2D="false" dtr="false" t="normal">SUM(P668:T668)</f>
        <v>989236.26</v>
      </c>
      <c r="O668" s="114" t="n"/>
      <c r="P668" s="114" t="n"/>
      <c r="Q668" s="114" t="n"/>
      <c r="R668" s="113" t="n">
        <v>989236.26</v>
      </c>
      <c r="S668" s="114" t="n">
        <v>0</v>
      </c>
      <c r="T668" s="114" t="n">
        <v>0</v>
      </c>
      <c r="U668" s="114" t="n">
        <v>392.067540981511</v>
      </c>
      <c r="V668" s="114" t="n">
        <v>392.067540981511</v>
      </c>
      <c r="W668" s="110" t="n">
        <v>2024</v>
      </c>
      <c r="X668" s="9" t="e">
        <f aca="false" ca="false" dt2D="false" dtr="false" t="normal">+#REF!-'[9]Приложение №1'!$P704</f>
        <v>#REF!</v>
      </c>
      <c r="Z668" s="113" t="n">
        <f aca="false" ca="false" dt2D="false" dtr="false" t="normal">SUM(AA668:AO668)</f>
        <v>9718452.3328623</v>
      </c>
      <c r="AA668" s="106" t="n">
        <v>0</v>
      </c>
      <c r="AB668" s="106" t="n"/>
      <c r="AC668" s="106" t="n">
        <v>0</v>
      </c>
      <c r="AD668" s="106" t="n"/>
      <c r="AE668" s="106" t="n">
        <v>1013323.25</v>
      </c>
      <c r="AF668" s="106" t="n"/>
      <c r="AG668" s="106" t="n">
        <v>237743.3768598</v>
      </c>
      <c r="AH668" s="106" t="n">
        <v>0</v>
      </c>
      <c r="AI668" s="106" t="n">
        <v>0</v>
      </c>
      <c r="AJ668" s="106" t="n">
        <v>0</v>
      </c>
      <c r="AK668" s="106" t="n">
        <v>5880801.6867474</v>
      </c>
      <c r="AL668" s="106" t="n"/>
      <c r="AM668" s="106" t="n">
        <v>2042532.029</v>
      </c>
      <c r="AN668" s="114" t="n">
        <v>187559.9745</v>
      </c>
      <c r="AO668" s="115" t="n">
        <v>356492.0157551</v>
      </c>
      <c r="AP668" s="112" t="n">
        <f aca="false" ca="false" dt2D="false" dtr="false" t="normal">+N668-'Приложение №2'!E668</f>
        <v>0</v>
      </c>
      <c r="AQ668" s="1" t="n">
        <f aca="false" ca="false" dt2D="false" dtr="false" t="normal">1147783.87-88084.66</f>
        <v>1059699.2100000002</v>
      </c>
      <c r="AR668" s="3" t="n">
        <f aca="false" ca="false" dt2D="false" dtr="false" t="normal">+(K668*10+L668*20)*12*0.85</f>
        <v>266454.6</v>
      </c>
      <c r="AS668" s="3" t="n">
        <f aca="false" ca="false" dt2D="false" dtr="false" t="normal">+(K668*10+L668*20)*12*30-2038331.33</f>
        <v>7365948.67</v>
      </c>
      <c r="AT668" s="9" t="n">
        <f aca="false" ca="false" dt2D="false" dtr="false" t="normal">+S668-AS668</f>
        <v>-7365948.67</v>
      </c>
      <c r="AU668" s="9" t="e">
        <f aca="false" ca="false" dt2D="false" dtr="false" t="normal">+P668-'[5]Приложение №1'!$P324</f>
        <v>#REF!</v>
      </c>
      <c r="AV668" s="9" t="e">
        <f aca="false" ca="false" dt2D="false" dtr="false" t="normal">+Q668-'[5]Приложение №1'!$Q324</f>
        <v>#REF!</v>
      </c>
      <c r="AW668" s="113" t="n">
        <f aca="false" ca="true" dt2D="false" dtr="false" t="normal">SUBTOTAL(9, AX668:BL668)</f>
        <v>1024198.037306</v>
      </c>
      <c r="AX668" s="106" t="n"/>
      <c r="AY668" s="106" t="n"/>
      <c r="AZ668" s="106" t="n"/>
      <c r="BA668" s="106" t="n"/>
      <c r="BB668" s="106" t="n">
        <v>1013323.25</v>
      </c>
      <c r="BC668" s="106" t="n"/>
      <c r="BD668" s="106" t="n"/>
      <c r="BE668" s="106" t="n"/>
      <c r="BF668" s="106" t="n"/>
      <c r="BG668" s="106" t="n"/>
      <c r="BH668" s="106" t="n"/>
      <c r="BI668" s="106" t="n"/>
      <c r="BJ668" s="106" t="n"/>
      <c r="BK668" s="114" t="n"/>
      <c r="BL668" s="115" t="n">
        <v>10874.787306</v>
      </c>
      <c r="BM668" s="113" t="n">
        <f aca="false" ca="true" dt2D="false" dtr="false" t="normal">SUBTOTAL(9, BN668:CB668)</f>
        <v>1024198.037306</v>
      </c>
      <c r="BN668" s="106" t="n"/>
      <c r="BO668" s="106" t="n"/>
      <c r="BP668" s="106" t="n"/>
      <c r="BQ668" s="106" t="n"/>
      <c r="BR668" s="106" t="n">
        <v>1013323.25</v>
      </c>
      <c r="BS668" s="106" t="n"/>
      <c r="BT668" s="106" t="n"/>
      <c r="BU668" s="106" t="n"/>
      <c r="BV668" s="106" t="n"/>
      <c r="BW668" s="106" t="n"/>
      <c r="BX668" s="106" t="n"/>
      <c r="BY668" s="106" t="n"/>
      <c r="BZ668" s="106" t="n"/>
      <c r="CA668" s="114" t="n"/>
      <c r="CB668" s="115" t="n">
        <v>10874.787306</v>
      </c>
      <c r="CD668" s="116" t="e">
        <f aca="false" ca="false" dt2D="false" dtr="false" t="normal">+CD667+1</f>
        <v>#REF!</v>
      </c>
      <c r="CE668" s="117" t="e">
        <f aca="false" ca="false" dt2D="false" dtr="false" t="normal">+CE667+1</f>
        <v>#REF!</v>
      </c>
      <c r="CF668" s="104" t="s">
        <v>111</v>
      </c>
      <c r="CG668" s="117" t="s">
        <v>639</v>
      </c>
      <c r="CH668" s="108" t="n">
        <f aca="false" ca="true" dt2D="false" dtr="false" t="normal">SUBTOTAL(9, CI668:CW668)</f>
        <v>989236.26</v>
      </c>
      <c r="CI668" s="106" t="n"/>
      <c r="CJ668" s="114" t="n"/>
      <c r="CK668" s="114" t="n"/>
      <c r="CL668" s="114" t="n"/>
      <c r="CM668" s="243" t="n">
        <v>989236.26</v>
      </c>
      <c r="CN668" s="114" t="n"/>
      <c r="CO668" s="106" t="n"/>
      <c r="CP668" s="114" t="n"/>
      <c r="CQ668" s="114" t="n"/>
      <c r="CR668" s="114" t="n"/>
      <c r="CS668" s="114" t="n"/>
      <c r="CT668" s="114" t="n"/>
      <c r="CU668" s="114" t="n"/>
      <c r="CV668" s="114" t="n"/>
      <c r="CW668" s="115" t="n"/>
      <c r="CX668" s="3" t="n">
        <f aca="false" ca="false" dt2D="false" dtr="false" t="normal">+N668-CH668</f>
        <v>0</v>
      </c>
      <c r="CZ668" s="117" t="s">
        <v>639</v>
      </c>
      <c r="DA668" s="113" t="n">
        <f aca="false" ca="true" dt2D="false" dtr="false" t="normal">SUBTOTAL(9, DB668:DP668)</f>
        <v>989236.26</v>
      </c>
      <c r="DB668" s="106" t="n"/>
      <c r="DC668" s="114" t="n"/>
      <c r="DD668" s="114" t="n"/>
      <c r="DE668" s="114" t="n"/>
      <c r="DF668" s="243" t="n">
        <v>989236.26</v>
      </c>
      <c r="DG668" s="114" t="n"/>
      <c r="DH668" s="106" t="n"/>
      <c r="DI668" s="114" t="n"/>
      <c r="DJ668" s="114" t="n"/>
      <c r="DK668" s="114" t="n"/>
      <c r="DL668" s="114" t="n"/>
      <c r="DM668" s="114" t="n"/>
      <c r="DN668" s="114" t="n"/>
      <c r="DO668" s="114" t="n"/>
      <c r="DP668" s="240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</row>
    <row customFormat="true" hidden="false" ht="15" outlineLevel="0" r="669" s="1">
      <c r="A669" s="183" t="n">
        <f aca="false" ca="false" dt2D="false" dtr="false" t="normal">+A668+1</f>
        <v>647</v>
      </c>
      <c r="B669" s="117" t="n">
        <f aca="false" ca="false" dt2D="false" dtr="false" t="normal">+B668+1</f>
        <v>187</v>
      </c>
      <c r="C669" s="104" t="s">
        <v>111</v>
      </c>
      <c r="D669" s="104" t="s">
        <v>189</v>
      </c>
      <c r="E669" s="105" t="n">
        <v>1986</v>
      </c>
      <c r="F669" s="105" t="n">
        <v>2013</v>
      </c>
      <c r="G669" s="105" t="s">
        <v>68</v>
      </c>
      <c r="H669" s="105" t="n">
        <v>12</v>
      </c>
      <c r="I669" s="105" t="n">
        <v>1</v>
      </c>
      <c r="J669" s="106" t="n">
        <v>5358.08</v>
      </c>
      <c r="K669" s="106" t="n">
        <v>4351.1</v>
      </c>
      <c r="L669" s="106" t="n">
        <v>75.1</v>
      </c>
      <c r="M669" s="107" t="n">
        <v>175</v>
      </c>
      <c r="N669" s="108" t="n">
        <f aca="false" ca="false" dt2D="false" dtr="false" t="normal">SUM(P669:T669)</f>
        <v>542862</v>
      </c>
      <c r="O669" s="106" t="n"/>
      <c r="P669" s="114" t="n"/>
      <c r="Q669" s="114" t="n"/>
      <c r="R669" s="114" t="n"/>
      <c r="S669" s="114" t="n">
        <v>0</v>
      </c>
      <c r="T669" s="113" t="n">
        <v>542862</v>
      </c>
      <c r="U669" s="114" t="n">
        <v>122.647417649451</v>
      </c>
      <c r="V669" s="114" t="n">
        <v>122.647417649451</v>
      </c>
      <c r="W669" s="110" t="n">
        <v>2024</v>
      </c>
      <c r="X669" s="9" t="e">
        <f aca="false" ca="false" dt2D="false" dtr="false" t="normal">+#REF!-'[9]Приложение №1'!$P1317</f>
        <v>#REF!</v>
      </c>
      <c r="Z669" s="113" t="n">
        <f aca="false" ca="false" dt2D="false" dtr="false" t="normal">SUM(AA669:AO669)</f>
        <v>79559391.95999998</v>
      </c>
      <c r="AA669" s="106" t="n">
        <v>8341354.447335</v>
      </c>
      <c r="AB669" s="106" t="n">
        <v>5553433.12359024</v>
      </c>
      <c r="AC669" s="106" t="n">
        <v>3380551.53059988</v>
      </c>
      <c r="AD669" s="106" t="n">
        <v>3049959.75966864</v>
      </c>
      <c r="AE669" s="106" t="n">
        <v>1113740.92605384</v>
      </c>
      <c r="AF669" s="106" t="n"/>
      <c r="AG669" s="106" t="n">
        <v>465647.1264396</v>
      </c>
      <c r="AH669" s="106" t="n">
        <v>0</v>
      </c>
      <c r="AI669" s="106" t="n">
        <v>3947389.3810512</v>
      </c>
      <c r="AJ669" s="106" t="n">
        <v>0</v>
      </c>
      <c r="AK669" s="106" t="n">
        <v>34269240.7235203</v>
      </c>
      <c r="AL669" s="106" t="n">
        <v>9011986.10993268</v>
      </c>
      <c r="AM669" s="106" t="n">
        <v>8118689.5914</v>
      </c>
      <c r="AN669" s="114" t="n">
        <v>795593.9196</v>
      </c>
      <c r="AO669" s="115" t="n">
        <v>1511805.3208086</v>
      </c>
      <c r="AP669" s="112" t="n">
        <f aca="false" ca="false" dt2D="false" dtr="false" t="normal">+N669-'Приложение №2'!E669</f>
        <v>0</v>
      </c>
      <c r="AQ669" s="1" t="n">
        <v>2642732.98</v>
      </c>
      <c r="AR669" s="3" t="n">
        <f aca="false" ca="false" dt2D="false" dtr="false" t="normal">+(K669*13.29+L669*22.52)*12*0.85</f>
        <v>607077.1842</v>
      </c>
      <c r="AS669" s="3" t="n">
        <f aca="false" ca="false" dt2D="false" dtr="false" t="normal">+(K669*13.29+L669*22.52)*12*30</f>
        <v>21426253.560000002</v>
      </c>
      <c r="AT669" s="9" t="n">
        <f aca="false" ca="false" dt2D="false" dtr="false" t="normal">+S669-AS669</f>
        <v>-21426253.560000002</v>
      </c>
      <c r="AW669" s="108" t="n">
        <f aca="false" ca="true" dt2D="false" dtr="false" t="normal">SUBTOTAL(9, AX669:BL669)</f>
        <v>542862</v>
      </c>
      <c r="AX669" s="106" t="n"/>
      <c r="AY669" s="106" t="n"/>
      <c r="AZ669" s="106" t="n"/>
      <c r="BA669" s="106" t="n"/>
      <c r="BB669" s="106" t="n"/>
      <c r="BC669" s="106" t="n"/>
      <c r="BD669" s="106" t="n"/>
      <c r="BE669" s="106" t="n"/>
      <c r="BF669" s="106" t="n"/>
      <c r="BG669" s="106" t="n"/>
      <c r="BH669" s="106" t="n">
        <v>542862</v>
      </c>
      <c r="BI669" s="106" t="n"/>
      <c r="BJ669" s="106" t="n"/>
      <c r="BK669" s="114" t="n"/>
      <c r="BL669" s="187" t="n"/>
      <c r="BM669" s="108" t="n">
        <f aca="false" ca="true" dt2D="false" dtr="false" t="normal">SUBTOTAL(9, BN669:CB669)</f>
        <v>542862</v>
      </c>
      <c r="BN669" s="106" t="n"/>
      <c r="BO669" s="106" t="n"/>
      <c r="BP669" s="106" t="n"/>
      <c r="BQ669" s="106" t="n"/>
      <c r="BR669" s="106" t="n"/>
      <c r="BS669" s="106" t="n"/>
      <c r="BT669" s="106" t="n"/>
      <c r="BU669" s="106" t="n"/>
      <c r="BV669" s="106" t="n"/>
      <c r="BW669" s="106" t="n"/>
      <c r="BX669" s="106" t="n">
        <v>542862</v>
      </c>
      <c r="BY669" s="106" t="n"/>
      <c r="BZ669" s="106" t="n"/>
      <c r="CA669" s="114" t="n"/>
      <c r="CB669" s="115" t="n"/>
      <c r="CD669" s="116" t="e">
        <f aca="false" ca="false" dt2D="false" dtr="false" t="normal">+CD668+1</f>
        <v>#REF!</v>
      </c>
      <c r="CE669" s="117" t="e">
        <f aca="false" ca="false" dt2D="false" dtr="false" t="normal">+CE668+1</f>
        <v>#REF!</v>
      </c>
      <c r="CF669" s="104" t="s">
        <v>111</v>
      </c>
      <c r="CG669" s="117" t="s">
        <v>189</v>
      </c>
      <c r="CH669" s="108" t="n">
        <f aca="false" ca="true" dt2D="false" dtr="false" t="normal">SUBTOTAL(9, CI669:CW669)</f>
        <v>542862</v>
      </c>
      <c r="CI669" s="106" t="n"/>
      <c r="CJ669" s="114" t="n"/>
      <c r="CK669" s="114" t="n"/>
      <c r="CL669" s="114" t="n"/>
      <c r="CM669" s="114" t="n"/>
      <c r="CN669" s="114" t="n"/>
      <c r="CO669" s="106" t="n"/>
      <c r="CP669" s="114" t="n"/>
      <c r="CQ669" s="114" t="n"/>
      <c r="CR669" s="114" t="n"/>
      <c r="CS669" s="114" t="n">
        <v>542862</v>
      </c>
      <c r="CT669" s="114" t="n"/>
      <c r="CU669" s="114" t="n"/>
      <c r="CV669" s="114" t="n"/>
      <c r="CW669" s="115" t="n"/>
      <c r="CX669" s="3" t="n">
        <f aca="false" ca="false" dt2D="false" dtr="false" t="normal">+N669-CH669</f>
        <v>0</v>
      </c>
      <c r="CZ669" s="117" t="s">
        <v>189</v>
      </c>
      <c r="DA669" s="113" t="n">
        <f aca="false" ca="true" dt2D="false" dtr="false" t="normal">SUBTOTAL(9, DB669:DP669)</f>
        <v>542862</v>
      </c>
      <c r="DB669" s="106" t="n"/>
      <c r="DC669" s="114" t="n"/>
      <c r="DD669" s="114" t="n"/>
      <c r="DE669" s="114" t="n"/>
      <c r="DF669" s="114" t="n"/>
      <c r="DG669" s="114" t="n"/>
      <c r="DH669" s="106" t="n"/>
      <c r="DI669" s="114" t="n"/>
      <c r="DJ669" s="114" t="n"/>
      <c r="DK669" s="114" t="n"/>
      <c r="DL669" s="114" t="n">
        <v>542862</v>
      </c>
      <c r="DM669" s="114" t="n"/>
      <c r="DN669" s="114" t="n"/>
      <c r="DO669" s="114" t="n"/>
      <c r="DP669" s="115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</row>
    <row customFormat="true" hidden="false" ht="15" outlineLevel="0" r="670" s="129">
      <c r="A670" s="183" t="n">
        <f aca="false" ca="false" dt2D="false" dtr="false" t="normal">+A669+1</f>
        <v>648</v>
      </c>
      <c r="B670" s="117" t="n">
        <f aca="false" ca="false" dt2D="false" dtr="false" t="normal">+B669+1</f>
        <v>188</v>
      </c>
      <c r="C670" s="117" t="s">
        <v>111</v>
      </c>
      <c r="D670" s="117" t="s">
        <v>190</v>
      </c>
      <c r="E670" s="201" t="s">
        <v>384</v>
      </c>
      <c r="F670" s="201" t="n"/>
      <c r="G670" s="201" t="s">
        <v>68</v>
      </c>
      <c r="H670" s="201" t="s">
        <v>187</v>
      </c>
      <c r="I670" s="201" t="s">
        <v>188</v>
      </c>
      <c r="J670" s="114" t="n">
        <v>5678.2</v>
      </c>
      <c r="K670" s="114" t="n">
        <v>4923.8</v>
      </c>
      <c r="L670" s="114" t="n">
        <v>69.9</v>
      </c>
      <c r="M670" s="202" t="n">
        <v>205</v>
      </c>
      <c r="N670" s="108" t="n">
        <f aca="false" ca="false" dt2D="false" dtr="false" t="normal">SUM(P670:T670)</f>
        <v>24675371.73</v>
      </c>
      <c r="O670" s="114" t="n">
        <v>0</v>
      </c>
      <c r="P670" s="114" t="n">
        <v>698795.56</v>
      </c>
      <c r="Q670" s="114" t="n"/>
      <c r="R670" s="113" t="n">
        <v>2150683.6</v>
      </c>
      <c r="S670" s="113" t="n">
        <v>15800890.36</v>
      </c>
      <c r="T670" s="113" t="n">
        <v>6025002.21</v>
      </c>
      <c r="U670" s="114" t="n">
        <v>2000.17354200408</v>
      </c>
      <c r="V670" s="114" t="n">
        <v>2000.17354200408</v>
      </c>
      <c r="W670" s="110" t="n">
        <v>2024</v>
      </c>
      <c r="X670" s="129" t="n">
        <v>1831927.01</v>
      </c>
      <c r="Y670" s="129" t="n">
        <f aca="false" ca="false" dt2D="false" dtr="false" t="normal">+(K670*9.1+L670*18.19)*12</f>
        <v>552936.7320000001</v>
      </c>
      <c r="AA670" s="130" t="e">
        <f aca="false" ca="false" dt2D="false" dtr="false" t="normal">+N670-'[8]Приложение № 2'!E652</f>
        <v>#REF!</v>
      </c>
      <c r="AD670" s="130" t="e">
        <f aca="false" ca="false" dt2D="false" dtr="false" t="normal">+N670-'[8]Приложение № 2'!E652</f>
        <v>#REF!</v>
      </c>
      <c r="AP670" s="112" t="n">
        <f aca="false" ca="false" dt2D="false" dtr="false" t="normal">+N670-'Приложение №2'!E670</f>
        <v>0</v>
      </c>
      <c r="AQ670" s="132" t="n">
        <f aca="false" ca="false" dt2D="false" dtr="false" t="normal">2280888.52-R311</f>
        <v>1132071.25</v>
      </c>
      <c r="AR670" s="3" t="n">
        <f aca="false" ca="false" dt2D="false" dtr="false" t="normal">+(K670*10+L670*20)*12*0.85</f>
        <v>516487.2</v>
      </c>
      <c r="AS670" s="3" t="n">
        <f aca="false" ca="false" dt2D="false" dtr="false" t="normal">+(K670*10+L670*20)*12*30-S311</f>
        <v>6174265.4585569</v>
      </c>
      <c r="AT670" s="9" t="n">
        <f aca="false" ca="false" dt2D="false" dtr="false" t="normal">+S670-AS670</f>
        <v>9626624.9014431</v>
      </c>
      <c r="AU670" s="9" t="e">
        <f aca="false" ca="false" dt2D="false" dtr="false" t="normal">+P670-'[5]Приложение №1'!$P672</f>
        <v>#REF!</v>
      </c>
      <c r="AV670" s="9" t="e">
        <f aca="false" ca="false" dt2D="false" dtr="false" t="normal">+Q670-'[5]Приложение №1'!$Q672</f>
        <v>#REF!</v>
      </c>
      <c r="AW670" s="113" t="n">
        <f aca="false" ca="true" dt2D="false" dtr="false" t="normal">SUBTOTAL(9, AX670:BL670)</f>
        <v>9988266.616705772</v>
      </c>
      <c r="AX670" s="106" t="n"/>
      <c r="AY670" s="106" t="n">
        <v>5733964.21526263</v>
      </c>
      <c r="AZ670" s="106" t="n"/>
      <c r="BA670" s="106" t="n"/>
      <c r="BB670" s="106" t="n">
        <v>2716727.83</v>
      </c>
      <c r="BC670" s="106" t="n"/>
      <c r="BD670" s="106" t="n"/>
      <c r="BE670" s="106" t="n"/>
      <c r="BF670" s="106" t="n"/>
      <c r="BG670" s="106" t="n"/>
      <c r="BH670" s="106" t="n"/>
      <c r="BI670" s="106" t="n"/>
      <c r="BJ670" s="106" t="n"/>
      <c r="BK670" s="106" t="n"/>
      <c r="BL670" s="111" t="n">
        <v>1537574.57144314</v>
      </c>
      <c r="BM670" s="113" t="n">
        <f aca="false" ca="true" dt2D="false" dtr="false" t="normal">SUBTOTAL(9, BN670:CB670)</f>
        <v>9988266.616705772</v>
      </c>
      <c r="BN670" s="106" t="n"/>
      <c r="BO670" s="106" t="n">
        <v>5733964.21526263</v>
      </c>
      <c r="BP670" s="106" t="n"/>
      <c r="BQ670" s="106" t="n"/>
      <c r="BR670" s="106" t="n">
        <v>2716727.83</v>
      </c>
      <c r="BS670" s="106" t="n"/>
      <c r="BT670" s="106" t="n"/>
      <c r="BU670" s="106" t="n"/>
      <c r="BV670" s="106" t="n"/>
      <c r="BW670" s="106" t="n"/>
      <c r="BX670" s="106" t="n"/>
      <c r="BY670" s="106" t="n"/>
      <c r="BZ670" s="106" t="n"/>
      <c r="CA670" s="106" t="n"/>
      <c r="CB670" s="111" t="n">
        <v>1537574.57144314</v>
      </c>
      <c r="CD670" s="116" t="e">
        <f aca="false" ca="false" dt2D="false" dtr="false" t="normal">+CD669+1</f>
        <v>#REF!</v>
      </c>
      <c r="CE670" s="117" t="e">
        <f aca="false" ca="false" dt2D="false" dtr="false" t="normal">+CE669+1</f>
        <v>#REF!</v>
      </c>
      <c r="CF670" s="104" t="s">
        <v>111</v>
      </c>
      <c r="CG670" s="117" t="s">
        <v>190</v>
      </c>
      <c r="CH670" s="108" t="n">
        <f aca="false" ca="true" dt2D="false" dtr="false" t="normal">SUBTOTAL(9, CI670:CW670)</f>
        <v>26212946.3</v>
      </c>
      <c r="CI670" s="106" t="n">
        <v>8835258.73</v>
      </c>
      <c r="CJ670" s="114" t="n">
        <v>3166684.8</v>
      </c>
      <c r="CK670" s="114" t="n">
        <v>5569271.41</v>
      </c>
      <c r="CL670" s="114" t="n">
        <v>4295867.36</v>
      </c>
      <c r="CM670" s="243" t="n">
        <v>2808289.43</v>
      </c>
      <c r="CN670" s="114" t="n"/>
      <c r="CO670" s="106" t="n"/>
      <c r="CP670" s="114" t="n"/>
      <c r="CQ670" s="114" t="n"/>
      <c r="CR670" s="114" t="n"/>
      <c r="CS670" s="114" t="n"/>
      <c r="CT670" s="114" t="n"/>
      <c r="CU670" s="114" t="n"/>
      <c r="CV670" s="114" t="n"/>
      <c r="CW670" s="115" t="n">
        <v>1537574.57</v>
      </c>
      <c r="CX670" s="3" t="n">
        <f aca="false" ca="false" dt2D="false" dtr="false" t="normal">+N670-CH670</f>
        <v>-1537574.5700000003</v>
      </c>
      <c r="CZ670" s="117" t="s">
        <v>190</v>
      </c>
      <c r="DA670" s="113" t="n">
        <f aca="false" ca="true" dt2D="false" dtr="false" t="normal">SUBTOTAL(9, DB670:DP670)</f>
        <v>24675371.73</v>
      </c>
      <c r="DB670" s="106" t="n">
        <v>8835258.73</v>
      </c>
      <c r="DC670" s="114" t="n">
        <v>3166684.8</v>
      </c>
      <c r="DD670" s="114" t="n">
        <v>5569271.41</v>
      </c>
      <c r="DE670" s="114" t="n">
        <v>4295867.36</v>
      </c>
      <c r="DF670" s="243" t="n">
        <v>2808289.43</v>
      </c>
      <c r="DG670" s="114" t="n"/>
      <c r="DH670" s="106" t="n"/>
      <c r="DI670" s="114" t="n"/>
      <c r="DJ670" s="114" t="n"/>
      <c r="DK670" s="114" t="n"/>
      <c r="DL670" s="114" t="n"/>
      <c r="DM670" s="114" t="n"/>
      <c r="DN670" s="114" t="n"/>
      <c r="DO670" s="114" t="n"/>
      <c r="DP670" s="240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</row>
    <row customFormat="true" hidden="false" ht="15" outlineLevel="0" r="671" s="129">
      <c r="A671" s="183" t="n">
        <f aca="false" ca="false" dt2D="false" dtr="false" t="normal">+A670+1</f>
        <v>649</v>
      </c>
      <c r="B671" s="117" t="n">
        <f aca="false" ca="false" dt2D="false" dtr="false" t="normal">+B670+1</f>
        <v>189</v>
      </c>
      <c r="C671" s="117" t="s">
        <v>111</v>
      </c>
      <c r="D671" s="117" t="s">
        <v>387</v>
      </c>
      <c r="E671" s="201" t="s">
        <v>384</v>
      </c>
      <c r="F671" s="201" t="n"/>
      <c r="G671" s="201" t="s">
        <v>68</v>
      </c>
      <c r="H671" s="201" t="s">
        <v>187</v>
      </c>
      <c r="I671" s="201" t="s">
        <v>188</v>
      </c>
      <c r="J671" s="114" t="n">
        <v>5563.5</v>
      </c>
      <c r="K671" s="114" t="n">
        <v>4878.9</v>
      </c>
      <c r="L671" s="114" t="n">
        <v>141.3</v>
      </c>
      <c r="M671" s="202" t="n">
        <v>202</v>
      </c>
      <c r="N671" s="108" t="n">
        <f aca="false" ca="false" dt2D="false" dtr="false" t="normal">SUM(P671:T671)</f>
        <v>55388720.01</v>
      </c>
      <c r="O671" s="114" t="n">
        <v>0</v>
      </c>
      <c r="P671" s="113" t="n">
        <v>14444801.29</v>
      </c>
      <c r="Q671" s="114" t="n"/>
      <c r="R671" s="113" t="n">
        <v>2226000.79</v>
      </c>
      <c r="S671" s="113" t="n">
        <v>14363660.66</v>
      </c>
      <c r="T671" s="113" t="n">
        <v>24354257.27</v>
      </c>
      <c r="U671" s="114" t="n">
        <v>10763.8161162197</v>
      </c>
      <c r="V671" s="114" t="n">
        <v>10763.8161162197</v>
      </c>
      <c r="W671" s="110" t="n">
        <v>2024</v>
      </c>
      <c r="X671" s="129" t="n">
        <v>1863663.58</v>
      </c>
      <c r="Y671" s="129" t="n">
        <f aca="false" ca="false" dt2D="false" dtr="false" t="normal">+(K671*9.1+L671*18.19)*12</f>
        <v>563618.844</v>
      </c>
      <c r="AA671" s="130" t="e">
        <f aca="false" ca="false" dt2D="false" dtr="false" t="normal">+N671-'[8]Приложение № 2'!E653</f>
        <v>#REF!</v>
      </c>
      <c r="AD671" s="130" t="e">
        <f aca="false" ca="false" dt2D="false" dtr="false" t="normal">+N671-'[8]Приложение № 2'!E653</f>
        <v>#REF!</v>
      </c>
      <c r="AP671" s="112" t="n">
        <f aca="false" ca="false" dt2D="false" dtr="false" t="normal">+N671-'Приложение №2'!E671</f>
        <v>0</v>
      </c>
      <c r="AQ671" s="132" t="n">
        <f aca="false" ca="false" dt2D="false" dtr="false" t="normal">2384583.81-R312</f>
        <v>696908.04336857</v>
      </c>
      <c r="AR671" s="3" t="n">
        <f aca="false" ca="false" dt2D="false" dtr="false" t="normal">+(K671*10+L671*20)*12*0.85</f>
        <v>526473</v>
      </c>
      <c r="AS671" s="3" t="n">
        <f aca="false" ca="false" dt2D="false" dtr="false" t="normal">+(K671*10+L671*20)*12*30-S312</f>
        <v>13796900.60663143</v>
      </c>
      <c r="AT671" s="9" t="n">
        <f aca="false" ca="false" dt2D="false" dtr="false" t="normal">+S671-AS671</f>
        <v>566760.0533685703</v>
      </c>
      <c r="AU671" s="9" t="e">
        <f aca="false" ca="false" dt2D="false" dtr="false" t="normal">+P671-'[5]Приложение №1'!$P673</f>
        <v>#REF!</v>
      </c>
      <c r="AV671" s="9" t="e">
        <f aca="false" ca="false" dt2D="false" dtr="false" t="normal">+Q671-'[5]Приложение №1'!$Q673</f>
        <v>#REF!</v>
      </c>
      <c r="AW671" s="113" t="n">
        <f aca="false" ca="true" dt2D="false" dtr="false" t="normal">SUBTOTAL(9, AX671:BL671)</f>
        <v>54036509.66664623</v>
      </c>
      <c r="AX671" s="106" t="n">
        <v>8624090.49818031</v>
      </c>
      <c r="AY671" s="106" t="n">
        <v>5764392.5653246</v>
      </c>
      <c r="AZ671" s="106" t="n"/>
      <c r="BA671" s="106" t="n">
        <v>4190749.92926224</v>
      </c>
      <c r="BB671" s="106" t="n">
        <v>2625980.02</v>
      </c>
      <c r="BC671" s="106" t="n"/>
      <c r="BD671" s="106" t="n">
        <v>408501.999027106</v>
      </c>
      <c r="BE671" s="106" t="n"/>
      <c r="BF671" s="106" t="n"/>
      <c r="BG671" s="106" t="n"/>
      <c r="BH671" s="106" t="n">
        <v>30921783.3644013</v>
      </c>
      <c r="BI671" s="106" t="n"/>
      <c r="BJ671" s="106" t="n"/>
      <c r="BK671" s="106" t="n"/>
      <c r="BL671" s="111" t="n">
        <v>1501011.29045068</v>
      </c>
      <c r="BM671" s="113" t="n">
        <f aca="false" ca="true" dt2D="false" dtr="false" t="normal">SUBTOTAL(9, BN671:CB671)</f>
        <v>54036509.66664623</v>
      </c>
      <c r="BN671" s="106" t="n">
        <v>8624090.49818031</v>
      </c>
      <c r="BO671" s="106" t="n">
        <v>5764392.5653246</v>
      </c>
      <c r="BP671" s="106" t="n"/>
      <c r="BQ671" s="106" t="n">
        <v>4190749.92926224</v>
      </c>
      <c r="BR671" s="106" t="n">
        <v>2625980.02</v>
      </c>
      <c r="BS671" s="106" t="n"/>
      <c r="BT671" s="106" t="n">
        <v>408501.999027106</v>
      </c>
      <c r="BU671" s="106" t="n"/>
      <c r="BV671" s="106" t="n"/>
      <c r="BW671" s="106" t="n"/>
      <c r="BX671" s="106" t="n">
        <v>30921783.3644013</v>
      </c>
      <c r="BY671" s="106" t="n"/>
      <c r="BZ671" s="106" t="n"/>
      <c r="CA671" s="106" t="n"/>
      <c r="CB671" s="111" t="n">
        <v>1501011.29045068</v>
      </c>
      <c r="CD671" s="116" t="e">
        <f aca="false" ca="false" dt2D="false" dtr="false" t="normal">+CD670+1</f>
        <v>#REF!</v>
      </c>
      <c r="CE671" s="117" t="e">
        <f aca="false" ca="false" dt2D="false" dtr="false" t="normal">+CE670+1</f>
        <v>#REF!</v>
      </c>
      <c r="CF671" s="104" t="s">
        <v>111</v>
      </c>
      <c r="CG671" s="117" t="s">
        <v>640</v>
      </c>
      <c r="CH671" s="108" t="n">
        <f aca="false" ca="true" dt2D="false" dtr="false" t="normal">SUBTOTAL(9, CI671:CW671)</f>
        <v>56889731.300000004</v>
      </c>
      <c r="CI671" s="106" t="n">
        <v>8624090.5</v>
      </c>
      <c r="CJ671" s="114" t="n">
        <v>3460760.4</v>
      </c>
      <c r="CK671" s="114" t="n">
        <v>5439076.98</v>
      </c>
      <c r="CL671" s="114" t="n">
        <v>4190749.93</v>
      </c>
      <c r="CM671" s="243" t="n">
        <v>2752258.84</v>
      </c>
      <c r="CN671" s="114" t="n"/>
      <c r="CO671" s="106" t="n"/>
      <c r="CP671" s="114" t="n"/>
      <c r="CQ671" s="114" t="n"/>
      <c r="CR671" s="114" t="n"/>
      <c r="CS671" s="114" t="n">
        <v>30921783.36</v>
      </c>
      <c r="CT671" s="114" t="n"/>
      <c r="CU671" s="114" t="n"/>
      <c r="CV671" s="114" t="n"/>
      <c r="CW671" s="115" t="n">
        <v>1501011.29</v>
      </c>
      <c r="CX671" s="3" t="n">
        <f aca="false" ca="false" dt2D="false" dtr="false" t="normal">+N671-CH671</f>
        <v>-1501011.2900000066</v>
      </c>
      <c r="CZ671" s="117" t="s">
        <v>640</v>
      </c>
      <c r="DA671" s="113" t="n">
        <f aca="false" ca="true" dt2D="false" dtr="false" t="normal">SUBTOTAL(9, DB671:DP671)</f>
        <v>55388720.010000005</v>
      </c>
      <c r="DB671" s="106" t="n">
        <v>8624090.5</v>
      </c>
      <c r="DC671" s="114" t="n">
        <v>3460760.4</v>
      </c>
      <c r="DD671" s="114" t="n">
        <v>5439076.98</v>
      </c>
      <c r="DE671" s="114" t="n">
        <v>4190749.93</v>
      </c>
      <c r="DF671" s="243" t="n">
        <v>2752258.84</v>
      </c>
      <c r="DG671" s="114" t="n"/>
      <c r="DH671" s="106" t="n"/>
      <c r="DI671" s="114" t="n"/>
      <c r="DJ671" s="114" t="n"/>
      <c r="DK671" s="114" t="n"/>
      <c r="DL671" s="114" t="n">
        <v>30921783.36</v>
      </c>
      <c r="DM671" s="114" t="n"/>
      <c r="DN671" s="114" t="n"/>
      <c r="DO671" s="114" t="n"/>
      <c r="DP671" s="240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</row>
    <row customFormat="true" hidden="false" ht="15" outlineLevel="0" r="672" s="129">
      <c r="A672" s="183" t="n">
        <f aca="false" ca="false" dt2D="false" dtr="false" t="normal">+A671+1</f>
        <v>650</v>
      </c>
      <c r="B672" s="117" t="n">
        <f aca="false" ca="false" dt2D="false" dtr="false" t="normal">+B671+1</f>
        <v>190</v>
      </c>
      <c r="C672" s="117" t="s">
        <v>184</v>
      </c>
      <c r="D672" s="117" t="s">
        <v>388</v>
      </c>
      <c r="E672" s="201" t="s">
        <v>186</v>
      </c>
      <c r="F672" s="201" t="n"/>
      <c r="G672" s="201" t="s">
        <v>68</v>
      </c>
      <c r="H672" s="201" t="s">
        <v>187</v>
      </c>
      <c r="I672" s="201" t="s">
        <v>188</v>
      </c>
      <c r="J672" s="114" t="n">
        <v>5751.1</v>
      </c>
      <c r="K672" s="114" t="n">
        <v>4971.6</v>
      </c>
      <c r="L672" s="114" t="n">
        <v>0</v>
      </c>
      <c r="M672" s="202" t="n">
        <v>221</v>
      </c>
      <c r="N672" s="108" t="n">
        <f aca="false" ca="false" dt2D="false" dtr="false" t="normal">SUM(P672:T672)</f>
        <v>22936245.29</v>
      </c>
      <c r="O672" s="114" t="n">
        <v>0</v>
      </c>
      <c r="P672" s="113" t="n">
        <v>10152702.27</v>
      </c>
      <c r="Q672" s="114" t="n"/>
      <c r="R672" s="113" t="n">
        <v>532458.36</v>
      </c>
      <c r="S672" s="113" t="n">
        <v>4141091.48</v>
      </c>
      <c r="T672" s="113" t="n">
        <v>8109993.18</v>
      </c>
      <c r="U672" s="114" t="n">
        <v>7573.9732792899</v>
      </c>
      <c r="V672" s="114" t="n">
        <v>1330.283020064</v>
      </c>
      <c r="W672" s="110" t="n">
        <v>2024</v>
      </c>
      <c r="X672" s="129" t="n">
        <v>1827431.02</v>
      </c>
      <c r="Y672" s="129" t="n">
        <f aca="false" ca="false" dt2D="false" dtr="false" t="normal">+(K672*9.1+L672*18.19)*12</f>
        <v>542898.7200000001</v>
      </c>
      <c r="AA672" s="130" t="e">
        <f aca="false" ca="false" dt2D="false" dtr="false" t="normal">+N672-'[8]Приложение № 2'!E576</f>
        <v>#REF!</v>
      </c>
      <c r="AD672" s="130" t="e">
        <f aca="false" ca="false" dt2D="false" dtr="false" t="normal">+N672-'[8]Приложение № 2'!E576</f>
        <v>#REF!</v>
      </c>
      <c r="AP672" s="112" t="n">
        <f aca="false" ca="false" dt2D="false" dtr="false" t="normal">+N672-'Приложение №2'!E672</f>
        <v>0</v>
      </c>
      <c r="AQ672" s="121" t="n">
        <f aca="false" ca="false" dt2D="false" dtr="false" t="normal">2885684.78-R313</f>
        <v>153561.5299999998</v>
      </c>
      <c r="AR672" s="3" t="n">
        <f aca="false" ca="false" dt2D="false" dtr="false" t="normal">+(K672*10.5+L672*21)*12*0.85</f>
        <v>532458.3600000001</v>
      </c>
      <c r="AS672" s="3" t="n">
        <f aca="false" ca="false" dt2D="false" dtr="false" t="normal">+(K672*10.5+L672*21)*12*30-S313</f>
        <v>-1027095.5299999975</v>
      </c>
      <c r="AT672" s="9" t="n">
        <f aca="false" ca="false" dt2D="false" dtr="false" t="normal">+S672-AS672</f>
        <v>5168187.009999998</v>
      </c>
      <c r="AU672" s="9" t="e">
        <f aca="false" ca="false" dt2D="false" dtr="false" t="normal">+P672-'[5]Приложение №1'!$P611</f>
        <v>#REF!</v>
      </c>
      <c r="AV672" s="9" t="e">
        <f aca="false" ca="false" dt2D="false" dtr="false" t="normal">+Q672-'[5]Приложение №1'!$Q611</f>
        <v>#REF!</v>
      </c>
      <c r="AW672" s="186" t="n">
        <f aca="false" ca="true" dt2D="false" dtr="false" t="normal">SUBTOTAL(9, AX672:BL672)</f>
        <v>37654765.555317685</v>
      </c>
      <c r="AX672" s="106" t="n"/>
      <c r="AY672" s="106" t="n"/>
      <c r="AZ672" s="106" t="n">
        <v>0</v>
      </c>
      <c r="BA672" s="106" t="n">
        <v>0</v>
      </c>
      <c r="BB672" s="106" t="n">
        <v>2013086.95087884</v>
      </c>
      <c r="BC672" s="106" t="n"/>
      <c r="BD672" s="106" t="n"/>
      <c r="BE672" s="106" t="n">
        <v>0</v>
      </c>
      <c r="BF672" s="106" t="n"/>
      <c r="BG672" s="106" t="n">
        <v>0</v>
      </c>
      <c r="BH672" s="106" t="n">
        <v>34115262.518799</v>
      </c>
      <c r="BI672" s="106" t="n"/>
      <c r="BJ672" s="106" t="n"/>
      <c r="BK672" s="114" t="n"/>
      <c r="BL672" s="115" t="n">
        <v>1526416.08563985</v>
      </c>
      <c r="BM672" s="186" t="n">
        <f aca="false" ca="true" dt2D="false" dtr="false" t="normal">SUBTOTAL(9, BN672:CB672)</f>
        <v>37654765.555317685</v>
      </c>
      <c r="BN672" s="106" t="n"/>
      <c r="BO672" s="106" t="n"/>
      <c r="BP672" s="106" t="n">
        <v>0</v>
      </c>
      <c r="BQ672" s="106" t="n">
        <v>0</v>
      </c>
      <c r="BR672" s="106" t="n">
        <v>2013086.95087884</v>
      </c>
      <c r="BS672" s="106" t="n"/>
      <c r="BT672" s="106" t="n"/>
      <c r="BU672" s="106" t="n">
        <v>0</v>
      </c>
      <c r="BV672" s="106" t="n"/>
      <c r="BW672" s="106" t="n">
        <v>0</v>
      </c>
      <c r="BX672" s="106" t="n">
        <v>34115262.518799</v>
      </c>
      <c r="BY672" s="106" t="n"/>
      <c r="BZ672" s="106" t="n"/>
      <c r="CA672" s="114" t="n"/>
      <c r="CB672" s="115" t="n">
        <v>1526416.08563985</v>
      </c>
      <c r="CD672" s="116" t="e">
        <f aca="false" ca="false" dt2D="false" dtr="false" t="normal">+CD671+1</f>
        <v>#REF!</v>
      </c>
      <c r="CE672" s="117" t="e">
        <f aca="false" ca="false" dt2D="false" dtr="false" t="normal">+CE671+1</f>
        <v>#REF!</v>
      </c>
      <c r="CF672" s="104" t="s">
        <v>111</v>
      </c>
      <c r="CG672" s="117" t="s">
        <v>388</v>
      </c>
      <c r="CH672" s="108" t="n">
        <f aca="false" ca="true" dt2D="false" dtr="false" t="normal">SUBTOTAL(9, CI672:CW672)</f>
        <v>24462661.38</v>
      </c>
      <c r="CI672" s="106" t="n"/>
      <c r="CJ672" s="114" t="n"/>
      <c r="CK672" s="114" t="n">
        <v>0</v>
      </c>
      <c r="CL672" s="114" t="n">
        <v>0</v>
      </c>
      <c r="CM672" s="114" t="n">
        <v>2013086.95</v>
      </c>
      <c r="CN672" s="114" t="n"/>
      <c r="CO672" s="106" t="n"/>
      <c r="CP672" s="114" t="n">
        <v>0</v>
      </c>
      <c r="CQ672" s="114" t="n"/>
      <c r="CR672" s="114" t="n">
        <v>0</v>
      </c>
      <c r="CS672" s="243" t="n">
        <v>20923158.34</v>
      </c>
      <c r="CT672" s="114" t="n"/>
      <c r="CU672" s="114" t="n"/>
      <c r="CV672" s="114" t="n"/>
      <c r="CW672" s="115" t="n">
        <v>1526416.09</v>
      </c>
      <c r="CX672" s="3" t="n">
        <f aca="false" ca="false" dt2D="false" dtr="false" t="normal">+N672-CH672</f>
        <v>-1526416.0899999999</v>
      </c>
      <c r="CZ672" s="117" t="s">
        <v>388</v>
      </c>
      <c r="DA672" s="113" t="n">
        <f aca="false" ca="true" dt2D="false" dtr="false" t="normal">SUBTOTAL(9, DB672:DP672)</f>
        <v>22936245.29</v>
      </c>
      <c r="DB672" s="106" t="n"/>
      <c r="DC672" s="114" t="n"/>
      <c r="DD672" s="114" t="n">
        <v>0</v>
      </c>
      <c r="DE672" s="114" t="n">
        <v>0</v>
      </c>
      <c r="DF672" s="114" t="n">
        <v>2013086.95</v>
      </c>
      <c r="DG672" s="114" t="n"/>
      <c r="DH672" s="106" t="n"/>
      <c r="DI672" s="114" t="n">
        <v>0</v>
      </c>
      <c r="DJ672" s="114" t="n"/>
      <c r="DK672" s="114" t="n">
        <v>0</v>
      </c>
      <c r="DL672" s="243" t="n">
        <v>20923158.34</v>
      </c>
      <c r="DM672" s="114" t="n"/>
      <c r="DN672" s="114" t="n"/>
      <c r="DO672" s="114" t="n"/>
      <c r="DP672" s="240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</row>
    <row customFormat="true" hidden="false" ht="15" outlineLevel="0" r="673" s="129">
      <c r="A673" s="183" t="n">
        <f aca="false" ca="false" dt2D="false" dtr="false" t="normal">+A672+1</f>
        <v>651</v>
      </c>
      <c r="B673" s="117" t="n">
        <f aca="false" ca="false" dt2D="false" dtr="false" t="normal">+B672+1</f>
        <v>191</v>
      </c>
      <c r="C673" s="117" t="s">
        <v>111</v>
      </c>
      <c r="D673" s="117" t="s">
        <v>389</v>
      </c>
      <c r="E673" s="201" t="s">
        <v>186</v>
      </c>
      <c r="F673" s="201" t="n"/>
      <c r="G673" s="201" t="s">
        <v>68</v>
      </c>
      <c r="H673" s="201" t="s">
        <v>187</v>
      </c>
      <c r="I673" s="201" t="s">
        <v>188</v>
      </c>
      <c r="J673" s="114" t="n">
        <v>5677.5</v>
      </c>
      <c r="K673" s="114" t="n">
        <v>4896.4</v>
      </c>
      <c r="L673" s="114" t="n">
        <v>72</v>
      </c>
      <c r="M673" s="202" t="n">
        <v>216</v>
      </c>
      <c r="N673" s="108" t="n">
        <f aca="false" ca="false" dt2D="false" dtr="false" t="normal">SUM(P673:T673)</f>
        <v>2420008.8</v>
      </c>
      <c r="O673" s="114" t="n">
        <v>0</v>
      </c>
      <c r="P673" s="114" t="n"/>
      <c r="Q673" s="114" t="n"/>
      <c r="R673" s="108" t="n">
        <v>2420008.8</v>
      </c>
      <c r="S673" s="114" t="n"/>
      <c r="T673" s="114" t="n"/>
      <c r="U673" s="114" t="n">
        <v>412.597795858627</v>
      </c>
      <c r="V673" s="114" t="n">
        <v>412.597795858627</v>
      </c>
      <c r="W673" s="110" t="n">
        <v>2024</v>
      </c>
      <c r="X673" s="129" t="n">
        <v>1825680.39</v>
      </c>
      <c r="Y673" s="129" t="n">
        <f aca="false" ca="false" dt2D="false" dtr="false" t="normal">+(K673*9.1+L673*18.19)*12</f>
        <v>550403.04</v>
      </c>
      <c r="AA673" s="130" t="e">
        <f aca="false" ca="false" dt2D="false" dtr="false" t="normal">+N673-'[8]Приложение № 2'!E654</f>
        <v>#REF!</v>
      </c>
      <c r="AD673" s="130" t="e">
        <f aca="false" ca="false" dt2D="false" dtr="false" t="normal">+N673-'[8]Приложение № 2'!E654</f>
        <v>#REF!</v>
      </c>
      <c r="AP673" s="112" t="n">
        <f aca="false" ca="false" dt2D="false" dtr="false" t="normal">+N673-'Приложение №2'!E673</f>
        <v>0</v>
      </c>
      <c r="AQ673" s="132" t="n">
        <f aca="false" ca="false" dt2D="false" dtr="false" t="normal">2265420.6-R314</f>
        <v>1332154.84</v>
      </c>
      <c r="AR673" s="3" t="n">
        <f aca="false" ca="false" dt2D="false" dtr="false" t="normal">+(K673*10+L673*20)*12*0.85</f>
        <v>514120.8</v>
      </c>
      <c r="AS673" s="3" t="n">
        <f aca="false" ca="false" dt2D="false" dtr="false" t="normal">+(K673*10+L673*20)*12*30-S314</f>
        <v>3254114.870976601</v>
      </c>
      <c r="AT673" s="9" t="n">
        <f aca="false" ca="false" dt2D="false" dtr="false" t="normal">+S673-AS673</f>
        <v>-3254114.870976601</v>
      </c>
      <c r="AU673" s="9" t="e">
        <f aca="false" ca="false" dt2D="false" dtr="false" t="normal">+P673-'[5]Приложение №1'!$P674</f>
        <v>#REF!</v>
      </c>
      <c r="AV673" s="9" t="e">
        <f aca="false" ca="false" dt2D="false" dtr="false" t="normal">+Q673-'[5]Приложение №1'!$Q674</f>
        <v>#REF!</v>
      </c>
      <c r="AW673" s="113" t="n">
        <f aca="false" ca="true" dt2D="false" dtr="false" t="normal">SUBTOTAL(9, AX673:BL673)</f>
        <v>2049950.8889440016</v>
      </c>
      <c r="AX673" s="106" t="n"/>
      <c r="AY673" s="106" t="n"/>
      <c r="AZ673" s="106" t="n"/>
      <c r="BA673" s="106" t="n"/>
      <c r="BB673" s="106" t="n">
        <v>2006081.9399206</v>
      </c>
      <c r="BC673" s="106" t="n"/>
      <c r="BD673" s="106" t="n"/>
      <c r="BE673" s="106" t="n"/>
      <c r="BF673" s="106" t="n"/>
      <c r="BG673" s="106" t="n"/>
      <c r="BH673" s="106" t="n"/>
      <c r="BI673" s="206" t="n"/>
      <c r="BJ673" s="106" t="n"/>
      <c r="BK673" s="106" t="n"/>
      <c r="BL673" s="111" t="n">
        <f aca="false" ca="false" dt2D="false" dtr="false" t="normal">43868.9490234015</f>
        <v>43868.9490234015</v>
      </c>
      <c r="BM673" s="113" t="n">
        <f aca="false" ca="true" dt2D="false" dtr="false" t="normal">SUBTOTAL(9, BN673:CB673)</f>
        <v>2049950.8889440016</v>
      </c>
      <c r="BN673" s="106" t="n"/>
      <c r="BO673" s="106" t="n"/>
      <c r="BP673" s="106" t="n"/>
      <c r="BQ673" s="106" t="n"/>
      <c r="BR673" s="106" t="n">
        <v>2006081.9399206</v>
      </c>
      <c r="BS673" s="106" t="n"/>
      <c r="BT673" s="106" t="n"/>
      <c r="BU673" s="106" t="n"/>
      <c r="BV673" s="106" t="n"/>
      <c r="BW673" s="106" t="n"/>
      <c r="BX673" s="106" t="n"/>
      <c r="BY673" s="206" t="n"/>
      <c r="BZ673" s="106" t="n"/>
      <c r="CA673" s="106" t="n"/>
      <c r="CB673" s="111" t="n">
        <f aca="false" ca="false" dt2D="false" dtr="false" t="normal">43868.9490234015</f>
        <v>43868.9490234015</v>
      </c>
      <c r="CD673" s="116" t="e">
        <f aca="false" ca="false" dt2D="false" dtr="false" t="normal">+CD672+1</f>
        <v>#REF!</v>
      </c>
      <c r="CE673" s="117" t="e">
        <f aca="false" ca="false" dt2D="false" dtr="false" t="normal">+CE672+1</f>
        <v>#REF!</v>
      </c>
      <c r="CF673" s="104" t="s">
        <v>111</v>
      </c>
      <c r="CG673" s="117" t="s">
        <v>389</v>
      </c>
      <c r="CH673" s="108" t="n">
        <f aca="false" ca="true" dt2D="false" dtr="false" t="normal">SUBTOTAL(9, CI673:CW673)</f>
        <v>2463877.75</v>
      </c>
      <c r="CI673" s="106" t="n"/>
      <c r="CJ673" s="114" t="n"/>
      <c r="CK673" s="114" t="n"/>
      <c r="CL673" s="114" t="n"/>
      <c r="CM673" s="114" t="n">
        <v>2420008.8</v>
      </c>
      <c r="CN673" s="114" t="n"/>
      <c r="CO673" s="106" t="n"/>
      <c r="CP673" s="114" t="n"/>
      <c r="CQ673" s="114" t="n"/>
      <c r="CR673" s="114" t="n"/>
      <c r="CS673" s="114" t="n"/>
      <c r="CT673" s="114" t="n"/>
      <c r="CU673" s="114" t="n"/>
      <c r="CV673" s="114" t="n"/>
      <c r="CW673" s="115" t="n">
        <v>43868.95</v>
      </c>
      <c r="CX673" s="3" t="n">
        <f aca="false" ca="false" dt2D="false" dtr="false" t="normal">+N673-CH673</f>
        <v>-43868.950000000186</v>
      </c>
      <c r="CZ673" s="117" t="s">
        <v>389</v>
      </c>
      <c r="DA673" s="113" t="n">
        <f aca="false" ca="true" dt2D="false" dtr="false" t="normal">SUBTOTAL(9, DB673:DP673)</f>
        <v>2420008.8</v>
      </c>
      <c r="DB673" s="106" t="n"/>
      <c r="DC673" s="114" t="n"/>
      <c r="DD673" s="114" t="n"/>
      <c r="DE673" s="114" t="n"/>
      <c r="DF673" s="114" t="n">
        <v>2420008.8</v>
      </c>
      <c r="DG673" s="114" t="n"/>
      <c r="DH673" s="106" t="n"/>
      <c r="DI673" s="114" t="n"/>
      <c r="DJ673" s="114" t="n"/>
      <c r="DK673" s="114" t="n"/>
      <c r="DL673" s="114" t="n"/>
      <c r="DM673" s="114" t="n"/>
      <c r="DN673" s="114" t="n"/>
      <c r="DO673" s="114" t="n"/>
      <c r="DP673" s="240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</row>
    <row customFormat="true" hidden="false" ht="15" outlineLevel="0" r="674" s="1">
      <c r="A674" s="183" t="n">
        <f aca="false" ca="false" dt2D="false" dtr="false" t="normal">+A673+1</f>
        <v>652</v>
      </c>
      <c r="B674" s="117" t="n">
        <f aca="false" ca="false" dt2D="false" dtr="false" t="normal">+B673+1</f>
        <v>192</v>
      </c>
      <c r="C674" s="117" t="s">
        <v>641</v>
      </c>
      <c r="D674" s="117" t="s">
        <v>642</v>
      </c>
      <c r="E674" s="201" t="n">
        <v>2004</v>
      </c>
      <c r="F674" s="201" t="n">
        <v>2005</v>
      </c>
      <c r="G674" s="201" t="s">
        <v>68</v>
      </c>
      <c r="H674" s="201" t="n">
        <v>7</v>
      </c>
      <c r="I674" s="201" t="n">
        <v>3</v>
      </c>
      <c r="J674" s="114" t="n">
        <v>3311.6</v>
      </c>
      <c r="K674" s="114" t="n">
        <v>2794.8</v>
      </c>
      <c r="L674" s="114" t="n">
        <v>0</v>
      </c>
      <c r="M674" s="202" t="n">
        <v>75</v>
      </c>
      <c r="N674" s="108" t="n">
        <f aca="false" ca="false" dt2D="false" dtr="false" t="normal">SUM(P674:T674)</f>
        <v>6068202.4399999995</v>
      </c>
      <c r="O674" s="114" t="n"/>
      <c r="P674" s="113" t="n"/>
      <c r="Q674" s="114" t="n"/>
      <c r="R674" s="113" t="n">
        <v>397672.09</v>
      </c>
      <c r="S674" s="113" t="n">
        <v>0</v>
      </c>
      <c r="T674" s="113" t="n">
        <v>5670530.35</v>
      </c>
      <c r="U674" s="114" t="n">
        <v>2328.44062527027</v>
      </c>
      <c r="V674" s="114" t="n">
        <v>1332.283020064</v>
      </c>
      <c r="W674" s="110" t="n">
        <v>2024</v>
      </c>
      <c r="X674" s="9" t="e">
        <f aca="false" ca="false" dt2D="false" dtr="false" t="normal">+#REF!-'[9]Приложение №1'!$P715</f>
        <v>#REF!</v>
      </c>
      <c r="Z674" s="113" t="n">
        <f aca="false" ca="false" dt2D="false" dtr="false" t="normal">SUM(AA674:AO674)</f>
        <v>6068209.499999999</v>
      </c>
      <c r="AA674" s="106" t="n">
        <v>5838134.561364</v>
      </c>
      <c r="AB674" s="106" t="n">
        <v>0</v>
      </c>
      <c r="AC674" s="106" t="n">
        <v>0</v>
      </c>
      <c r="AD674" s="106" t="n">
        <v>0</v>
      </c>
      <c r="AE674" s="106" t="n">
        <v>0</v>
      </c>
      <c r="AF674" s="106" t="n"/>
      <c r="AG674" s="106" t="n">
        <v>0</v>
      </c>
      <c r="AH674" s="106" t="n">
        <v>0</v>
      </c>
      <c r="AI674" s="106" t="n">
        <v>0</v>
      </c>
      <c r="AJ674" s="106" t="n">
        <v>0</v>
      </c>
      <c r="AK674" s="106" t="n">
        <v>0</v>
      </c>
      <c r="AL674" s="106" t="n">
        <v>0</v>
      </c>
      <c r="AM674" s="106" t="n">
        <v>99958.34</v>
      </c>
      <c r="AN674" s="106" t="n">
        <v>2448.42</v>
      </c>
      <c r="AO674" s="115" t="n">
        <v>127668.178636</v>
      </c>
      <c r="AP674" s="112" t="n">
        <f aca="false" ca="false" dt2D="false" dtr="false" t="normal">+N674-'Приложение №2'!E674</f>
        <v>0</v>
      </c>
      <c r="AR674" s="3" t="n">
        <f aca="false" ca="false" dt2D="false" dtr="false" t="normal">+(K674*13.95+L674*23.65)*12*0.85</f>
        <v>397672.092</v>
      </c>
      <c r="AS674" s="3" t="n">
        <f aca="false" ca="false" dt2D="false" dtr="false" t="normal">+(K674*13.95+L674*23.65)*12*30</f>
        <v>14035485.600000001</v>
      </c>
      <c r="AT674" s="9" t="n">
        <f aca="false" ca="false" dt2D="false" dtr="false" t="normal">+S674-AS674</f>
        <v>-14035485.600000001</v>
      </c>
      <c r="AU674" s="9" t="e">
        <f aca="false" ca="false" dt2D="false" dtr="false" t="normal">+P674-'[5]Приложение №1'!$P613</f>
        <v>#REF!</v>
      </c>
      <c r="AV674" s="9" t="e">
        <f aca="false" ca="false" dt2D="false" dtr="false" t="normal">+Q674-'[5]Приложение №1'!$Q613</f>
        <v>#REF!</v>
      </c>
      <c r="AW674" s="186" t="n">
        <f aca="false" ca="true" dt2D="false" dtr="false" t="normal">SUBTOTAL(9, AX674:BL674)</f>
        <v>6507525.859505335</v>
      </c>
      <c r="AX674" s="106" t="n">
        <v>6068202.44100595</v>
      </c>
      <c r="AY674" s="106" t="n">
        <v>0</v>
      </c>
      <c r="AZ674" s="106" t="n">
        <v>0</v>
      </c>
      <c r="BA674" s="106" t="n">
        <v>0</v>
      </c>
      <c r="BB674" s="106" t="n">
        <v>0</v>
      </c>
      <c r="BC674" s="106" t="n">
        <v>0</v>
      </c>
      <c r="BD674" s="106" t="n">
        <v>314554.40909568</v>
      </c>
      <c r="BE674" s="106" t="n">
        <v>0</v>
      </c>
      <c r="BF674" s="106" t="n">
        <v>0</v>
      </c>
      <c r="BG674" s="106" t="n">
        <v>0</v>
      </c>
      <c r="BH674" s="106" t="n">
        <v>0</v>
      </c>
      <c r="BI674" s="106" t="n">
        <v>0</v>
      </c>
      <c r="BJ674" s="106" t="n"/>
      <c r="BK674" s="106" t="n"/>
      <c r="BL674" s="115" t="n">
        <v>124769.009403705</v>
      </c>
      <c r="BM674" s="186" t="n">
        <f aca="false" ca="true" dt2D="false" dtr="false" t="normal">SUBTOTAL(9, BN674:CB674)</f>
        <v>6507525.859505335</v>
      </c>
      <c r="BN674" s="106" t="n">
        <v>6068202.44100595</v>
      </c>
      <c r="BO674" s="106" t="n">
        <v>0</v>
      </c>
      <c r="BP674" s="106" t="n">
        <v>0</v>
      </c>
      <c r="BQ674" s="106" t="n">
        <v>0</v>
      </c>
      <c r="BR674" s="106" t="n">
        <v>0</v>
      </c>
      <c r="BS674" s="106" t="n">
        <v>0</v>
      </c>
      <c r="BT674" s="106" t="n">
        <v>314554.40909568</v>
      </c>
      <c r="BU674" s="106" t="n">
        <v>0</v>
      </c>
      <c r="BV674" s="106" t="n">
        <v>0</v>
      </c>
      <c r="BW674" s="106" t="n">
        <v>0</v>
      </c>
      <c r="BX674" s="106" t="n">
        <v>0</v>
      </c>
      <c r="BY674" s="106" t="n">
        <v>0</v>
      </c>
      <c r="BZ674" s="106" t="n"/>
      <c r="CA674" s="106" t="n"/>
      <c r="CB674" s="115" t="n">
        <v>124769.009403705</v>
      </c>
      <c r="CD674" s="116" t="e">
        <f aca="false" ca="false" dt2D="false" dtr="false" t="normal">+CD673+1</f>
        <v>#REF!</v>
      </c>
      <c r="CE674" s="117" t="e">
        <f aca="false" ca="false" dt2D="false" dtr="false" t="normal">+CE673+1</f>
        <v>#REF!</v>
      </c>
      <c r="CF674" s="117" t="s">
        <v>643</v>
      </c>
      <c r="CG674" s="104" t="s">
        <v>642</v>
      </c>
      <c r="CH674" s="232" t="n">
        <f aca="false" ca="true" dt2D="false" dtr="false" t="normal">SUBTOTAL(9, CI674:CW674)</f>
        <v>6192971.45</v>
      </c>
      <c r="CI674" s="106" t="n">
        <v>6068202.44</v>
      </c>
      <c r="CJ674" s="114" t="n">
        <v>0</v>
      </c>
      <c r="CK674" s="114" t="n">
        <v>0</v>
      </c>
      <c r="CL674" s="114" t="n">
        <v>0</v>
      </c>
      <c r="CM674" s="114" t="n">
        <v>0</v>
      </c>
      <c r="CN674" s="114" t="n">
        <v>0</v>
      </c>
      <c r="CO674" s="106" t="n"/>
      <c r="CP674" s="114" t="n">
        <v>0</v>
      </c>
      <c r="CQ674" s="114" t="n">
        <v>0</v>
      </c>
      <c r="CR674" s="114" t="n">
        <v>0</v>
      </c>
      <c r="CS674" s="114" t="n">
        <v>0</v>
      </c>
      <c r="CT674" s="114" t="n">
        <v>0</v>
      </c>
      <c r="CU674" s="114" t="n"/>
      <c r="CV674" s="114" t="n"/>
      <c r="CW674" s="115" t="n">
        <v>124769.01</v>
      </c>
      <c r="CX674" s="3" t="n">
        <f aca="false" ca="false" dt2D="false" dtr="false" t="normal">+N674-CH674</f>
        <v>-124769.01000000071</v>
      </c>
      <c r="CZ674" s="104" t="s">
        <v>642</v>
      </c>
      <c r="DA674" s="186" t="n">
        <f aca="false" ca="true" dt2D="false" dtr="false" t="normal">SUBTOTAL(9, DB674:DP674)</f>
        <v>6068202.44</v>
      </c>
      <c r="DB674" s="106" t="n">
        <v>6068202.44</v>
      </c>
      <c r="DC674" s="114" t="n">
        <v>0</v>
      </c>
      <c r="DD674" s="114" t="n">
        <v>0</v>
      </c>
      <c r="DE674" s="114" t="n">
        <v>0</v>
      </c>
      <c r="DF674" s="114" t="n">
        <v>0</v>
      </c>
      <c r="DG674" s="114" t="n">
        <v>0</v>
      </c>
      <c r="DH674" s="106" t="n"/>
      <c r="DI674" s="114" t="n">
        <v>0</v>
      </c>
      <c r="DJ674" s="114" t="n">
        <v>0</v>
      </c>
      <c r="DK674" s="114" t="n">
        <v>0</v>
      </c>
      <c r="DL674" s="114" t="n">
        <v>0</v>
      </c>
      <c r="DM674" s="114" t="n">
        <v>0</v>
      </c>
      <c r="DN674" s="114" t="n"/>
      <c r="DO674" s="114" t="n"/>
      <c r="DP674" s="240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</row>
    <row customFormat="true" hidden="false" ht="15" outlineLevel="0" r="675" s="1">
      <c r="A675" s="183" t="n">
        <f aca="false" ca="false" dt2D="false" dtr="false" t="normal">+A674+1</f>
        <v>653</v>
      </c>
      <c r="B675" s="117" t="n">
        <f aca="false" ca="false" dt2D="false" dtr="false" t="normal">+B674+1</f>
        <v>193</v>
      </c>
      <c r="C675" s="117" t="s">
        <v>111</v>
      </c>
      <c r="D675" s="117" t="s">
        <v>390</v>
      </c>
      <c r="E675" s="201" t="n">
        <v>1968</v>
      </c>
      <c r="F675" s="201" t="n">
        <v>2013</v>
      </c>
      <c r="G675" s="201" t="s">
        <v>68</v>
      </c>
      <c r="H675" s="201" t="n">
        <v>4</v>
      </c>
      <c r="I675" s="201" t="n">
        <v>3</v>
      </c>
      <c r="J675" s="114" t="n">
        <v>2488.5</v>
      </c>
      <c r="K675" s="114" t="n">
        <v>2348.2</v>
      </c>
      <c r="L675" s="114" t="n">
        <v>69.6</v>
      </c>
      <c r="M675" s="202" t="n">
        <v>56</v>
      </c>
      <c r="N675" s="108" t="n">
        <f aca="false" ca="false" dt2D="false" dtr="false" t="normal">SUM(P675:T675)</f>
        <v>14362144.850000001</v>
      </c>
      <c r="O675" s="114" t="n"/>
      <c r="P675" s="114" t="n">
        <v>6156960.9</v>
      </c>
      <c r="Q675" s="114" t="n"/>
      <c r="R675" s="113" t="n">
        <v>330044.47</v>
      </c>
      <c r="S675" s="113" t="n">
        <v>2704686.5</v>
      </c>
      <c r="T675" s="113" t="n">
        <v>5170452.98</v>
      </c>
      <c r="U675" s="114" t="n">
        <v>8579.38926156066</v>
      </c>
      <c r="V675" s="114" t="n">
        <v>1333.283020064</v>
      </c>
      <c r="W675" s="110" t="n">
        <v>2024</v>
      </c>
      <c r="X675" s="9" t="e">
        <f aca="false" ca="false" dt2D="false" dtr="false" t="normal">+#REF!-'[9]Приложение №1'!$P1446</f>
        <v>#REF!</v>
      </c>
      <c r="Z675" s="113" t="n">
        <f aca="false" ca="false" dt2D="false" dtr="false" t="normal">SUM(AA675:AO675)</f>
        <v>5047649.35409299</v>
      </c>
      <c r="AA675" s="106" t="n">
        <v>0</v>
      </c>
      <c r="AB675" s="106" t="n">
        <v>2080965.34267947</v>
      </c>
      <c r="AC675" s="106" t="n">
        <v>0</v>
      </c>
      <c r="AD675" s="106" t="n">
        <v>1397905.63903752</v>
      </c>
      <c r="AE675" s="106" t="n">
        <v>1036272.831972</v>
      </c>
      <c r="AF675" s="106" t="n"/>
      <c r="AG675" s="106" t="n">
        <v>210866.252142</v>
      </c>
      <c r="AH675" s="106" t="n">
        <v>0</v>
      </c>
      <c r="AI675" s="106" t="n">
        <v>0</v>
      </c>
      <c r="AJ675" s="106" t="n">
        <v>0</v>
      </c>
      <c r="AK675" s="106" t="n">
        <v>0</v>
      </c>
      <c r="AL675" s="106" t="n">
        <v>0</v>
      </c>
      <c r="AM675" s="106" t="n">
        <v>173345.08</v>
      </c>
      <c r="AN675" s="106" t="n">
        <v>44945.94</v>
      </c>
      <c r="AO675" s="115" t="n">
        <v>103348.268262</v>
      </c>
      <c r="AP675" s="112" t="n">
        <f aca="false" ca="false" dt2D="false" dtr="false" t="normal">+N675-'Приложение №2'!E675</f>
        <v>0</v>
      </c>
      <c r="AQ675" s="121" t="n">
        <f aca="false" ca="false" dt2D="false" dtr="false" t="normal">1546040.99-R315</f>
        <v>1396589.13</v>
      </c>
      <c r="AR675" s="3" t="n">
        <f aca="false" ca="false" dt2D="false" dtr="false" t="normal">+(K675*10.5+L675*21)*12*0.85</f>
        <v>266400.54</v>
      </c>
      <c r="AS675" s="3" t="n">
        <f aca="false" ca="false" dt2D="false" dtr="false" t="normal">+(K675*10.5+L675*21)*12*30-S315</f>
        <v>3686440.759999998</v>
      </c>
      <c r="AT675" s="9" t="n">
        <f aca="false" ca="false" dt2D="false" dtr="false" t="normal">+S675-AS675</f>
        <v>-981754.2599999979</v>
      </c>
      <c r="AU675" s="9" t="e">
        <f aca="false" ca="false" dt2D="false" dtr="false" t="normal">+P675-'[5]Приложение №1'!$P614</f>
        <v>#REF!</v>
      </c>
      <c r="AV675" s="9" t="e">
        <f aca="false" ca="false" dt2D="false" dtr="false" t="normal">+Q675-'[5]Приложение №1'!$Q614</f>
        <v>#REF!</v>
      </c>
      <c r="AW675" s="186" t="n">
        <f aca="false" ca="true" dt2D="false" dtr="false" t="normal">SUBTOTAL(9, AX675:BL675)</f>
        <v>20146121.86399676</v>
      </c>
      <c r="AX675" s="106" t="n">
        <v>0</v>
      </c>
      <c r="AY675" s="106" t="n"/>
      <c r="AZ675" s="106" t="n">
        <v>0</v>
      </c>
      <c r="BA675" s="106" t="n"/>
      <c r="BB675" s="106" t="n">
        <v>1007894.07</v>
      </c>
      <c r="BC675" s="106" t="n"/>
      <c r="BD675" s="106" t="n"/>
      <c r="BE675" s="106" t="n">
        <v>0</v>
      </c>
      <c r="BF675" s="106" t="n">
        <v>0</v>
      </c>
      <c r="BG675" s="106" t="n">
        <v>0</v>
      </c>
      <c r="BH675" s="106" t="n">
        <v>16591013.2991295</v>
      </c>
      <c r="BI675" s="106" t="n"/>
      <c r="BJ675" s="106" t="n">
        <v>1796136.5285137</v>
      </c>
      <c r="BK675" s="106" t="n">
        <v>191715.22968137</v>
      </c>
      <c r="BL675" s="115" t="n">
        <v>559362.736672191</v>
      </c>
      <c r="BM675" s="186" t="n">
        <f aca="false" ca="true" dt2D="false" dtr="false" t="normal">SUBTOTAL(9, BN675:CB675)</f>
        <v>20146121.86399676</v>
      </c>
      <c r="BN675" s="106" t="n">
        <v>0</v>
      </c>
      <c r="BO675" s="106" t="n"/>
      <c r="BP675" s="106" t="n">
        <v>0</v>
      </c>
      <c r="BQ675" s="106" t="n"/>
      <c r="BR675" s="106" t="n">
        <v>1007894.07</v>
      </c>
      <c r="BS675" s="106" t="n"/>
      <c r="BT675" s="106" t="n"/>
      <c r="BU675" s="106" t="n">
        <v>0</v>
      </c>
      <c r="BV675" s="106" t="n">
        <v>0</v>
      </c>
      <c r="BW675" s="106" t="n">
        <v>0</v>
      </c>
      <c r="BX675" s="106" t="n">
        <v>16591013.2991295</v>
      </c>
      <c r="BY675" s="106" t="n"/>
      <c r="BZ675" s="106" t="n">
        <v>1796136.5285137</v>
      </c>
      <c r="CA675" s="106" t="n">
        <v>191715.22968137</v>
      </c>
      <c r="CB675" s="115" t="n">
        <v>559362.736672191</v>
      </c>
      <c r="CD675" s="116" t="e">
        <f aca="false" ca="false" dt2D="false" dtr="false" t="normal">+CD674+1</f>
        <v>#REF!</v>
      </c>
      <c r="CE675" s="117" t="e">
        <f aca="false" ca="false" dt2D="false" dtr="false" t="normal">+CE674+1</f>
        <v>#REF!</v>
      </c>
      <c r="CF675" s="104" t="s">
        <v>111</v>
      </c>
      <c r="CG675" s="104" t="s">
        <v>390</v>
      </c>
      <c r="CH675" s="232" t="n">
        <f aca="false" ca="true" dt2D="false" dtr="false" t="normal">SUBTOTAL(9, CI675:CW675)</f>
        <v>14921507.59</v>
      </c>
      <c r="CI675" s="106" t="n">
        <v>0</v>
      </c>
      <c r="CJ675" s="114" t="n">
        <v>1739799.32</v>
      </c>
      <c r="CK675" s="114" t="n">
        <v>0</v>
      </c>
      <c r="CL675" s="114" t="n">
        <v>956618.14</v>
      </c>
      <c r="CM675" s="114" t="n">
        <v>1007894.07</v>
      </c>
      <c r="CN675" s="114" t="n"/>
      <c r="CO675" s="106" t="n"/>
      <c r="CP675" s="114" t="n">
        <v>0</v>
      </c>
      <c r="CQ675" s="114" t="n">
        <v>0</v>
      </c>
      <c r="CR675" s="114" t="n">
        <v>0</v>
      </c>
      <c r="CS675" s="243" t="n">
        <v>10657833.32</v>
      </c>
      <c r="CT675" s="114" t="n"/>
      <c r="CU675" s="114" t="n"/>
      <c r="CV675" s="114" t="n"/>
      <c r="CW675" s="115" t="n">
        <v>559362.74</v>
      </c>
      <c r="CX675" s="3" t="n">
        <f aca="false" ca="false" dt2D="false" dtr="false" t="normal">+N675-CH675</f>
        <v>-559362.7399999984</v>
      </c>
      <c r="CZ675" s="104" t="s">
        <v>390</v>
      </c>
      <c r="DA675" s="186" t="n">
        <f aca="false" ca="true" dt2D="false" dtr="false" t="normal">SUBTOTAL(9, DB675:DP675)</f>
        <v>14362144.85</v>
      </c>
      <c r="DB675" s="106" t="n">
        <v>0</v>
      </c>
      <c r="DC675" s="114" t="n">
        <v>1739799.32</v>
      </c>
      <c r="DD675" s="114" t="n">
        <v>0</v>
      </c>
      <c r="DE675" s="114" t="n">
        <v>956618.14</v>
      </c>
      <c r="DF675" s="114" t="n">
        <v>1007894.07</v>
      </c>
      <c r="DG675" s="114" t="n"/>
      <c r="DH675" s="106" t="n"/>
      <c r="DI675" s="114" t="n">
        <v>0</v>
      </c>
      <c r="DJ675" s="114" t="n">
        <v>0</v>
      </c>
      <c r="DK675" s="114" t="n">
        <v>0</v>
      </c>
      <c r="DL675" s="243" t="n">
        <v>10657833.32</v>
      </c>
      <c r="DM675" s="114" t="n"/>
      <c r="DN675" s="241" t="n"/>
      <c r="DO675" s="241" t="n"/>
      <c r="DP675" s="240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</row>
    <row customFormat="true" hidden="false" ht="15" outlineLevel="0" r="676" s="129">
      <c r="A676" s="183" t="n">
        <f aca="false" ca="false" dt2D="false" dtr="false" t="normal">+A675+1</f>
        <v>654</v>
      </c>
      <c r="B676" s="117" t="n">
        <f aca="false" ca="false" dt2D="false" dtr="false" t="normal">+B675+1</f>
        <v>194</v>
      </c>
      <c r="C676" s="117" t="s">
        <v>111</v>
      </c>
      <c r="D676" s="117" t="s">
        <v>644</v>
      </c>
      <c r="E676" s="201" t="s">
        <v>309</v>
      </c>
      <c r="F676" s="201" t="n"/>
      <c r="G676" s="201" t="s">
        <v>68</v>
      </c>
      <c r="H676" s="201" t="s">
        <v>104</v>
      </c>
      <c r="I676" s="201" t="s">
        <v>187</v>
      </c>
      <c r="J676" s="114" t="n">
        <v>4831.3</v>
      </c>
      <c r="K676" s="114" t="n">
        <v>4321.7</v>
      </c>
      <c r="L676" s="114" t="n">
        <v>0</v>
      </c>
      <c r="M676" s="202" t="n">
        <v>196</v>
      </c>
      <c r="N676" s="108" t="n">
        <f aca="false" ca="false" dt2D="false" dtr="false" t="normal">SUM(P676:T676)</f>
        <v>1878920.4</v>
      </c>
      <c r="O676" s="114" t="n">
        <v>0</v>
      </c>
      <c r="P676" s="114" t="n">
        <v>35451.01</v>
      </c>
      <c r="Q676" s="114" t="n"/>
      <c r="R676" s="113" t="n">
        <v>1025076.65</v>
      </c>
      <c r="S676" s="113" t="n">
        <v>818392.74</v>
      </c>
      <c r="T676" s="114" t="n">
        <v>0</v>
      </c>
      <c r="U676" s="114" t="n">
        <v>497.832312984242</v>
      </c>
      <c r="V676" s="114" t="n">
        <v>497.832312984242</v>
      </c>
      <c r="W676" s="110" t="n">
        <v>2024</v>
      </c>
      <c r="X676" s="129" t="n">
        <v>1600156.79</v>
      </c>
      <c r="Y676" s="129" t="n">
        <f aca="false" ca="false" dt2D="false" dtr="false" t="normal">+(K676*9.1+L676*18.19)*12</f>
        <v>471929.6399999999</v>
      </c>
      <c r="AA676" s="130" t="e">
        <f aca="false" ca="false" dt2D="false" dtr="false" t="normal">+N676-'[8]Приложение № 2'!E310</f>
        <v>#REF!</v>
      </c>
      <c r="AD676" s="130" t="e">
        <f aca="false" ca="false" dt2D="false" dtr="false" t="normal">+N676-'[8]Приложение № 2'!E310</f>
        <v>#REF!</v>
      </c>
      <c r="AP676" s="112" t="n">
        <f aca="false" ca="false" dt2D="false" dtr="false" t="normal">+N676-'Приложение №2'!E676</f>
        <v>0</v>
      </c>
      <c r="AQ676" s="129" t="n">
        <f aca="false" ca="false" dt2D="false" dtr="false" t="normal">2071971.63-1179695.86</f>
        <v>892275.7699999998</v>
      </c>
      <c r="AR676" s="3" t="n">
        <f aca="false" ca="false" dt2D="false" dtr="false" t="normal">+(K676*10+L676*20)*12*0.85</f>
        <v>440813.39999999997</v>
      </c>
      <c r="AS676" s="3" t="n">
        <f aca="false" ca="false" dt2D="false" dtr="false" t="normal">+(K676*10+L676*20)*12*30-1591931.69</f>
        <v>13966188.31</v>
      </c>
      <c r="AT676" s="9" t="n">
        <f aca="false" ca="false" dt2D="false" dtr="false" t="normal">+S676-AS676</f>
        <v>-13147795.57</v>
      </c>
      <c r="AU676" s="9" t="e">
        <f aca="false" ca="false" dt2D="false" dtr="false" t="normal">+P676-'[5]Приложение №1'!$P331</f>
        <v>#REF!</v>
      </c>
      <c r="AV676" s="9" t="e">
        <f aca="false" ca="false" dt2D="false" dtr="false" t="normal">+Q676-'[5]Приложение №1'!$Q331</f>
        <v>#REF!</v>
      </c>
      <c r="AW676" s="113" t="n">
        <f aca="false" ca="true" dt2D="false" dtr="false" t="normal">SUBTOTAL(9, AX676:BL676)</f>
        <v>2151481.9070240036</v>
      </c>
      <c r="AX676" s="13" t="n"/>
      <c r="AY676" s="13" t="n"/>
      <c r="AZ676" s="13" t="n"/>
      <c r="BA676" s="13" t="n"/>
      <c r="BB676" s="106" t="n">
        <v>1843469.38522569</v>
      </c>
      <c r="BC676" s="106" t="n"/>
      <c r="BD676" s="106" t="n"/>
      <c r="BE676" s="106" t="n"/>
      <c r="BF676" s="106" t="n"/>
      <c r="BG676" s="106" t="n"/>
      <c r="BH676" s="106" t="n"/>
      <c r="BI676" s="106" t="n"/>
      <c r="BJ676" s="106" t="n">
        <v>267699.58</v>
      </c>
      <c r="BK676" s="106" t="n"/>
      <c r="BL676" s="111" t="n">
        <v>40312.9417983136</v>
      </c>
      <c r="BM676" s="113" t="n">
        <f aca="false" ca="true" dt2D="false" dtr="false" t="normal">SUBTOTAL(9, BN676:CB676)</f>
        <v>2151481.9070240036</v>
      </c>
      <c r="BN676" s="13" t="n"/>
      <c r="BO676" s="13" t="n"/>
      <c r="BP676" s="13" t="n"/>
      <c r="BQ676" s="13" t="n"/>
      <c r="BR676" s="106" t="n">
        <v>1843469.38522569</v>
      </c>
      <c r="BS676" s="106" t="n"/>
      <c r="BT676" s="106" t="n"/>
      <c r="BU676" s="106" t="n"/>
      <c r="BV676" s="106" t="n"/>
      <c r="BW676" s="106" t="n"/>
      <c r="BX676" s="106" t="n"/>
      <c r="BY676" s="106" t="n"/>
      <c r="BZ676" s="106" t="n">
        <v>267699.58</v>
      </c>
      <c r="CA676" s="106" t="n"/>
      <c r="CB676" s="111" t="n">
        <v>40312.9417983136</v>
      </c>
      <c r="CD676" s="116" t="e">
        <f aca="false" ca="false" dt2D="false" dtr="false" t="normal">+CD675+1</f>
        <v>#REF!</v>
      </c>
      <c r="CE676" s="117" t="e">
        <f aca="false" ca="false" dt2D="false" dtr="false" t="normal">+CE675+1</f>
        <v>#REF!</v>
      </c>
      <c r="CF676" s="104" t="s">
        <v>111</v>
      </c>
      <c r="CG676" s="104" t="s">
        <v>644</v>
      </c>
      <c r="CH676" s="108" t="n">
        <f aca="false" ca="true" dt2D="false" dtr="false" t="normal">SUBTOTAL(9, CI676:CW676)</f>
        <v>1878920.4</v>
      </c>
      <c r="CI676" s="106" t="n"/>
      <c r="CJ676" s="114" t="n"/>
      <c r="CK676" s="114" t="n"/>
      <c r="CL676" s="114" t="n"/>
      <c r="CM676" s="243" t="n">
        <v>1878920.4</v>
      </c>
      <c r="CN676" s="114" t="n"/>
      <c r="CO676" s="106" t="n"/>
      <c r="CP676" s="114" t="n"/>
      <c r="CQ676" s="114" t="n"/>
      <c r="CR676" s="114" t="n"/>
      <c r="CS676" s="114" t="n"/>
      <c r="CT676" s="114" t="n"/>
      <c r="CU676" s="114" t="n"/>
      <c r="CV676" s="114" t="n"/>
      <c r="CW676" s="115" t="n"/>
      <c r="CX676" s="3" t="n">
        <f aca="false" ca="false" dt2D="false" dtr="false" t="normal">+N676-CH676</f>
        <v>0</v>
      </c>
      <c r="CZ676" s="104" t="s">
        <v>644</v>
      </c>
      <c r="DA676" s="113" t="n">
        <f aca="false" ca="true" dt2D="false" dtr="false" t="normal">SUBTOTAL(9, DB676:DP676)</f>
        <v>1878920.4</v>
      </c>
      <c r="DB676" s="106" t="n"/>
      <c r="DC676" s="114" t="n"/>
      <c r="DD676" s="114" t="n"/>
      <c r="DE676" s="114" t="n"/>
      <c r="DF676" s="243" t="n">
        <v>1878920.4</v>
      </c>
      <c r="DG676" s="114" t="n"/>
      <c r="DH676" s="106" t="n"/>
      <c r="DI676" s="114" t="n"/>
      <c r="DJ676" s="114" t="n"/>
      <c r="DK676" s="114" t="n"/>
      <c r="DL676" s="114" t="n"/>
      <c r="DM676" s="114" t="n"/>
      <c r="DN676" s="241" t="n"/>
      <c r="DO676" s="241" t="n"/>
      <c r="DP676" s="240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</row>
    <row customFormat="true" hidden="false" ht="15" outlineLevel="0" r="677" s="129">
      <c r="A677" s="183" t="n">
        <f aca="false" ca="false" dt2D="false" dtr="false" t="normal">+A676+1</f>
        <v>655</v>
      </c>
      <c r="B677" s="117" t="n">
        <f aca="false" ca="false" dt2D="false" dtr="false" t="normal">+B676+1</f>
        <v>195</v>
      </c>
      <c r="C677" s="117" t="s">
        <v>111</v>
      </c>
      <c r="D677" s="117" t="s">
        <v>645</v>
      </c>
      <c r="E677" s="201" t="s">
        <v>267</v>
      </c>
      <c r="F677" s="201" t="n"/>
      <c r="G677" s="201" t="s">
        <v>68</v>
      </c>
      <c r="H677" s="201" t="s">
        <v>104</v>
      </c>
      <c r="I677" s="201" t="s">
        <v>187</v>
      </c>
      <c r="J677" s="114" t="n">
        <v>4859.5</v>
      </c>
      <c r="K677" s="114" t="n">
        <v>4274.3</v>
      </c>
      <c r="L677" s="114" t="n">
        <v>0</v>
      </c>
      <c r="M677" s="202" t="n">
        <v>197</v>
      </c>
      <c r="N677" s="108" t="n">
        <f aca="false" ca="false" dt2D="false" dtr="false" t="normal">SUM(P677:T677)</f>
        <v>1882425.6</v>
      </c>
      <c r="O677" s="114" t="n">
        <v>0</v>
      </c>
      <c r="P677" s="114" t="n"/>
      <c r="Q677" s="114" t="n"/>
      <c r="R677" s="113" t="n">
        <v>1882425.6</v>
      </c>
      <c r="S677" s="114" t="n">
        <v>0</v>
      </c>
      <c r="T677" s="114" t="n">
        <v>0</v>
      </c>
      <c r="U677" s="114" t="n">
        <v>504.050971179374</v>
      </c>
      <c r="V677" s="114" t="n">
        <v>504.050971179374</v>
      </c>
      <c r="W677" s="110" t="n">
        <v>2024</v>
      </c>
      <c r="X677" s="129" t="n">
        <v>1625579.3</v>
      </c>
      <c r="Y677" s="129" t="n">
        <f aca="false" ca="false" dt2D="false" dtr="false" t="normal">+(K677*9.1+L677*18.19)*12</f>
        <v>466753.55999999994</v>
      </c>
      <c r="AA677" s="130" t="e">
        <f aca="false" ca="false" dt2D="false" dtr="false" t="normal">+N677-'[8]Приложение № 2'!E311</f>
        <v>#REF!</v>
      </c>
      <c r="AD677" s="130" t="e">
        <f aca="false" ca="false" dt2D="false" dtr="false" t="normal">+N677-'[8]Приложение № 2'!E311</f>
        <v>#REF!</v>
      </c>
      <c r="AP677" s="112" t="n">
        <f aca="false" ca="false" dt2D="false" dtr="false" t="normal">+N677-'Приложение №2'!E677</f>
        <v>0</v>
      </c>
      <c r="AQ677" s="129" t="n">
        <v>2094059.07</v>
      </c>
      <c r="AR677" s="3" t="n">
        <f aca="false" ca="false" dt2D="false" dtr="false" t="normal">+(K677*10+L677*20)*12*0.85</f>
        <v>435978.6</v>
      </c>
      <c r="AS677" s="3" t="n">
        <f aca="false" ca="false" dt2D="false" dtr="false" t="normal">+(K677*10+L677*20)*12*30</f>
        <v>15387480</v>
      </c>
      <c r="AT677" s="9" t="n">
        <f aca="false" ca="false" dt2D="false" dtr="false" t="normal">+S677-AS677</f>
        <v>-15387480</v>
      </c>
      <c r="AU677" s="9" t="e">
        <f aca="false" ca="false" dt2D="false" dtr="false" t="normal">+P677-'[5]Приложение №1'!$P332</f>
        <v>#REF!</v>
      </c>
      <c r="AV677" s="9" t="e">
        <f aca="false" ca="false" dt2D="false" dtr="false" t="normal">+Q677-'[5]Приложение №1'!$Q332</f>
        <v>#REF!</v>
      </c>
      <c r="AW677" s="113" t="n">
        <f aca="false" ca="true" dt2D="false" dtr="false" t="normal">SUBTOTAL(9, AX677:BL677)</f>
        <v>2154465.066111997</v>
      </c>
      <c r="AX677" s="13" t="n"/>
      <c r="AY677" s="13" t="n"/>
      <c r="AZ677" s="13" t="n"/>
      <c r="BA677" s="13" t="n"/>
      <c r="BB677" s="106" t="n">
        <v>1847918.7164512</v>
      </c>
      <c r="BC677" s="106" t="n"/>
      <c r="BD677" s="106" t="n"/>
      <c r="BE677" s="106" t="n"/>
      <c r="BF677" s="106" t="n"/>
      <c r="BG677" s="106" t="n"/>
      <c r="BH677" s="106" t="n"/>
      <c r="BI677" s="106" t="n"/>
      <c r="BJ677" s="106" t="n">
        <v>266136.11</v>
      </c>
      <c r="BK677" s="106" t="n"/>
      <c r="BL677" s="111" t="n">
        <v>40410.2396607968</v>
      </c>
      <c r="BM677" s="113" t="n">
        <f aca="false" ca="true" dt2D="false" dtr="false" t="normal">SUBTOTAL(9, BN677:CB677)</f>
        <v>2154465.066111997</v>
      </c>
      <c r="BN677" s="13" t="n"/>
      <c r="BO677" s="13" t="n"/>
      <c r="BP677" s="13" t="n"/>
      <c r="BQ677" s="13" t="n"/>
      <c r="BR677" s="106" t="n">
        <v>1847918.7164512</v>
      </c>
      <c r="BS677" s="106" t="n"/>
      <c r="BT677" s="106" t="n"/>
      <c r="BU677" s="106" t="n"/>
      <c r="BV677" s="106" t="n"/>
      <c r="BW677" s="106" t="n"/>
      <c r="BX677" s="106" t="n"/>
      <c r="BY677" s="106" t="n"/>
      <c r="BZ677" s="106" t="n">
        <v>266136.11</v>
      </c>
      <c r="CA677" s="106" t="n"/>
      <c r="CB677" s="111" t="n">
        <v>40410.2396607968</v>
      </c>
      <c r="CD677" s="116" t="e">
        <f aca="false" ca="false" dt2D="false" dtr="false" t="normal">+CD676+1</f>
        <v>#REF!</v>
      </c>
      <c r="CE677" s="117" t="e">
        <f aca="false" ca="false" dt2D="false" dtr="false" t="normal">+CE676+1</f>
        <v>#REF!</v>
      </c>
      <c r="CF677" s="104" t="s">
        <v>111</v>
      </c>
      <c r="CG677" s="104" t="s">
        <v>645</v>
      </c>
      <c r="CH677" s="108" t="n">
        <f aca="false" ca="true" dt2D="false" dtr="false" t="normal">SUBTOTAL(9, CI677:CW677)</f>
        <v>1882425.6</v>
      </c>
      <c r="CI677" s="106" t="n"/>
      <c r="CJ677" s="114" t="n"/>
      <c r="CK677" s="114" t="n"/>
      <c r="CL677" s="114" t="n"/>
      <c r="CM677" s="243" t="n">
        <v>1882425.6</v>
      </c>
      <c r="CN677" s="114" t="n"/>
      <c r="CO677" s="106" t="n"/>
      <c r="CP677" s="114" t="n"/>
      <c r="CQ677" s="114" t="n"/>
      <c r="CR677" s="114" t="n"/>
      <c r="CS677" s="114" t="n"/>
      <c r="CT677" s="114" t="n"/>
      <c r="CU677" s="114" t="n"/>
      <c r="CV677" s="114" t="n"/>
      <c r="CW677" s="115" t="n"/>
      <c r="CX677" s="3" t="n">
        <f aca="false" ca="false" dt2D="false" dtr="false" t="normal">+N677-CH677</f>
        <v>0</v>
      </c>
      <c r="CZ677" s="104" t="s">
        <v>645</v>
      </c>
      <c r="DA677" s="113" t="n">
        <f aca="false" ca="true" dt2D="false" dtr="false" t="normal">SUBTOTAL(9, DB677:DP677)</f>
        <v>1882425.6</v>
      </c>
      <c r="DB677" s="106" t="n"/>
      <c r="DC677" s="114" t="n"/>
      <c r="DD677" s="114" t="n"/>
      <c r="DE677" s="114" t="n"/>
      <c r="DF677" s="243" t="n">
        <v>1882425.6</v>
      </c>
      <c r="DG677" s="114" t="n"/>
      <c r="DH677" s="106" t="n"/>
      <c r="DI677" s="114" t="n"/>
      <c r="DJ677" s="114" t="n"/>
      <c r="DK677" s="114" t="n"/>
      <c r="DL677" s="114" t="n"/>
      <c r="DM677" s="114" t="n"/>
      <c r="DN677" s="241" t="n"/>
      <c r="DO677" s="241" t="n"/>
      <c r="DP677" s="240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</row>
    <row customFormat="true" hidden="false" ht="15" outlineLevel="0" r="678" s="129">
      <c r="A678" s="183" t="n">
        <f aca="false" ca="false" dt2D="false" dtr="false" t="normal">+A677+1</f>
        <v>656</v>
      </c>
      <c r="B678" s="117" t="n">
        <f aca="false" ca="false" dt2D="false" dtr="false" t="normal">+B677+1</f>
        <v>196</v>
      </c>
      <c r="C678" s="117" t="s">
        <v>111</v>
      </c>
      <c r="D678" s="117" t="s">
        <v>391</v>
      </c>
      <c r="E678" s="201" t="s">
        <v>347</v>
      </c>
      <c r="F678" s="201" t="n"/>
      <c r="G678" s="201" t="s">
        <v>68</v>
      </c>
      <c r="H678" s="201" t="s">
        <v>187</v>
      </c>
      <c r="I678" s="201" t="s">
        <v>187</v>
      </c>
      <c r="J678" s="114" t="n">
        <v>2960.3</v>
      </c>
      <c r="K678" s="114" t="n">
        <v>2725</v>
      </c>
      <c r="L678" s="114" t="n">
        <v>0</v>
      </c>
      <c r="M678" s="202" t="n">
        <v>121</v>
      </c>
      <c r="N678" s="108" t="n">
        <f aca="false" ca="false" dt2D="false" dtr="false" t="normal">SUM(P678:T678)</f>
        <v>10207701.33</v>
      </c>
      <c r="O678" s="114" t="n">
        <v>0</v>
      </c>
      <c r="P678" s="113" t="n">
        <v>5963315.36</v>
      </c>
      <c r="Q678" s="114" t="n"/>
      <c r="R678" s="114" t="n"/>
      <c r="S678" s="113" t="n">
        <v>1004886.68</v>
      </c>
      <c r="T678" s="113" t="n">
        <v>3239499.29</v>
      </c>
      <c r="U678" s="114" t="n">
        <v>8362.46221489454</v>
      </c>
      <c r="V678" s="114" t="n">
        <v>8362.46221489454</v>
      </c>
      <c r="W678" s="110" t="n">
        <v>2024</v>
      </c>
      <c r="X678" s="129" t="n">
        <v>1033423.53</v>
      </c>
      <c r="Y678" s="129" t="n">
        <f aca="false" ca="false" dt2D="false" dtr="false" t="normal">+(K678*9.1+L678*18.19)*12</f>
        <v>297570</v>
      </c>
      <c r="AA678" s="130" t="e">
        <f aca="false" ca="false" dt2D="false" dtr="false" t="normal">+N678-'[8]Приложение № 2'!E909</f>
        <v>#REF!</v>
      </c>
      <c r="AD678" s="130" t="e">
        <f aca="false" ca="false" dt2D="false" dtr="false" t="normal">+N678-'[8]Приложение № 2'!E909</f>
        <v>#REF!</v>
      </c>
      <c r="AP678" s="112" t="e">
        <f aca="false" ca="false" dt2D="false" dtr="false" t="normal">+N678-#REF!</f>
        <v>#REF!</v>
      </c>
      <c r="AQ678" s="132" t="n">
        <f aca="false" ca="false" dt2D="false" dtr="false" t="normal">1333137.2-R563</f>
        <v>-3002348.6099999994</v>
      </c>
      <c r="AR678" s="3" t="n">
        <f aca="false" ca="false" dt2D="false" dtr="false" t="normal">+(K678*10+L678*20)*12*0.85</f>
        <v>277950</v>
      </c>
      <c r="AS678" s="3" t="n">
        <f aca="false" ca="false" dt2D="false" dtr="false" t="normal">+(K678*10+L678*20)*12*30-S563</f>
        <v>-10318802.66</v>
      </c>
      <c r="AT678" s="9" t="n">
        <f aca="false" ca="false" dt2D="false" dtr="false" t="normal">+S678-AS678</f>
        <v>11323689.34</v>
      </c>
      <c r="AU678" s="9" t="e">
        <f aca="false" ca="false" dt2D="false" dtr="false" t="normal">+P678-'[5]Приложение №1'!$P930</f>
        <v>#REF!</v>
      </c>
      <c r="AV678" s="9" t="e">
        <f aca="false" ca="false" dt2D="false" dtr="false" t="normal">+Q678-'[5]Приложение №1'!$Q930</f>
        <v>#REF!</v>
      </c>
      <c r="AW678" s="113" t="n">
        <f aca="false" ca="true" dt2D="false" dtr="false" t="normal">SUBTOTAL(9, AX678:BL678)</f>
        <v>20530546.245062128</v>
      </c>
      <c r="AX678" s="13" t="n"/>
      <c r="AY678" s="13" t="n"/>
      <c r="AZ678" s="13" t="n"/>
      <c r="BA678" s="106" t="n"/>
      <c r="BB678" s="106" t="n">
        <v>1170100.23453701</v>
      </c>
      <c r="BC678" s="106" t="n"/>
      <c r="BD678" s="106" t="n"/>
      <c r="BE678" s="106" t="n"/>
      <c r="BF678" s="106" t="n"/>
      <c r="BG678" s="106" t="n"/>
      <c r="BH678" s="106" t="n">
        <v>18699028.5549375</v>
      </c>
      <c r="BI678" s="106" t="n"/>
      <c r="BJ678" s="106" t="n"/>
      <c r="BK678" s="106" t="n"/>
      <c r="BL678" s="111" t="n">
        <v>661417.455587619</v>
      </c>
      <c r="BM678" s="113" t="n">
        <f aca="false" ca="true" dt2D="false" dtr="false" t="normal">SUBTOTAL(9, BN678:CB678)</f>
        <v>22787709.53558762</v>
      </c>
      <c r="BN678" s="13" t="n"/>
      <c r="BO678" s="13" t="n"/>
      <c r="BP678" s="13" t="n"/>
      <c r="BQ678" s="106" t="n"/>
      <c r="BR678" s="106" t="n">
        <v>1197372.1</v>
      </c>
      <c r="BS678" s="106" t="n"/>
      <c r="BT678" s="106" t="n"/>
      <c r="BU678" s="106" t="n"/>
      <c r="BV678" s="106" t="n"/>
      <c r="BW678" s="106" t="n"/>
      <c r="BX678" s="106" t="n">
        <v>20928919.98</v>
      </c>
      <c r="BY678" s="106" t="n"/>
      <c r="BZ678" s="106" t="n"/>
      <c r="CA678" s="106" t="n"/>
      <c r="CB678" s="111" t="n">
        <v>661417.455587619</v>
      </c>
      <c r="CD678" s="116" t="e">
        <f aca="false" ca="false" dt2D="false" dtr="false" t="normal">+CD677+1</f>
        <v>#REF!</v>
      </c>
      <c r="CE678" s="117" t="e">
        <f aca="false" ca="false" dt2D="false" dtr="false" t="normal">+CE677+1</f>
        <v>#REF!</v>
      </c>
      <c r="CF678" s="104" t="s">
        <v>111</v>
      </c>
      <c r="CG678" s="117" t="s">
        <v>391</v>
      </c>
      <c r="CH678" s="108" t="n">
        <f aca="false" ca="true" dt2D="false" dtr="false" t="normal">SUBTOTAL(9, CI678:CW678)</f>
        <v>10207701.33</v>
      </c>
      <c r="CI678" s="106" t="n"/>
      <c r="CJ678" s="114" t="n"/>
      <c r="CK678" s="114" t="n"/>
      <c r="CL678" s="114" t="n"/>
      <c r="CM678" s="114" t="n"/>
      <c r="CN678" s="114" t="n"/>
      <c r="CO678" s="106" t="n"/>
      <c r="CP678" s="114" t="n"/>
      <c r="CQ678" s="114" t="n"/>
      <c r="CR678" s="114" t="n"/>
      <c r="CS678" s="243" t="n">
        <v>10207701.33</v>
      </c>
      <c r="CT678" s="114" t="n"/>
      <c r="CU678" s="114" t="n"/>
      <c r="CV678" s="114" t="n"/>
      <c r="CW678" s="115" t="n"/>
      <c r="CX678" s="3" t="n">
        <f aca="false" ca="false" dt2D="false" dtr="false" t="normal">+N678-CH678</f>
        <v>0</v>
      </c>
      <c r="CZ678" s="117" t="s">
        <v>391</v>
      </c>
      <c r="DA678" s="113" t="n">
        <f aca="false" ca="true" dt2D="false" dtr="false" t="normal">SUBTOTAL(9, DB678:DP678)</f>
        <v>10207701.33</v>
      </c>
      <c r="DB678" s="106" t="n"/>
      <c r="DC678" s="114" t="n"/>
      <c r="DD678" s="114" t="n"/>
      <c r="DE678" s="114" t="n"/>
      <c r="DF678" s="114" t="n"/>
      <c r="DG678" s="114" t="n"/>
      <c r="DH678" s="106" t="n"/>
      <c r="DI678" s="114" t="n"/>
      <c r="DJ678" s="114" t="n"/>
      <c r="DK678" s="114" t="n"/>
      <c r="DL678" s="243" t="n">
        <v>10207701.33</v>
      </c>
      <c r="DM678" s="114" t="n"/>
      <c r="DN678" s="241" t="n"/>
      <c r="DO678" s="241" t="n"/>
      <c r="DP678" s="240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</row>
    <row customFormat="true" hidden="false" ht="15" outlineLevel="0" r="679" s="1">
      <c r="A679" s="183" t="n">
        <f aca="false" ca="false" dt2D="false" dtr="false" t="normal">+A678+1</f>
        <v>657</v>
      </c>
      <c r="B679" s="117" t="n">
        <f aca="false" ca="false" dt2D="false" dtr="false" t="normal">+B678+1</f>
        <v>197</v>
      </c>
      <c r="C679" s="117" t="s">
        <v>111</v>
      </c>
      <c r="D679" s="117" t="s">
        <v>197</v>
      </c>
      <c r="E679" s="201" t="n">
        <v>1975</v>
      </c>
      <c r="F679" s="201" t="n">
        <v>2013</v>
      </c>
      <c r="G679" s="201" t="s">
        <v>68</v>
      </c>
      <c r="H679" s="201" t="n">
        <v>4</v>
      </c>
      <c r="I679" s="201" t="n">
        <v>6</v>
      </c>
      <c r="J679" s="114" t="n">
        <v>5531.3</v>
      </c>
      <c r="K679" s="114" t="n">
        <v>4842.7</v>
      </c>
      <c r="L679" s="114" t="n">
        <v>189.7</v>
      </c>
      <c r="M679" s="202" t="n">
        <v>224</v>
      </c>
      <c r="N679" s="108" t="n">
        <f aca="false" ca="false" dt2D="false" dtr="false" t="normal">SUM(P679:T679)</f>
        <v>8826631.18</v>
      </c>
      <c r="O679" s="114" t="n"/>
      <c r="P679" s="114" t="n"/>
      <c r="Q679" s="114" t="n"/>
      <c r="R679" s="113" t="n">
        <v>1026537.41</v>
      </c>
      <c r="S679" s="113" t="n">
        <v>1980269.09</v>
      </c>
      <c r="T679" s="113" t="n">
        <v>5819824.68</v>
      </c>
      <c r="U679" s="114" t="n">
        <v>2581.2418368051</v>
      </c>
      <c r="V679" s="114" t="n">
        <v>2581.2418368051</v>
      </c>
      <c r="W679" s="110" t="n">
        <v>2024</v>
      </c>
      <c r="X679" s="9" t="e">
        <f aca="false" ca="false" dt2D="false" dtr="false" t="normal">+#REF!-'[9]Приложение №1'!$P1452</f>
        <v>#REF!</v>
      </c>
      <c r="Z679" s="113" t="n">
        <f aca="false" ca="false" dt2D="false" dtr="false" t="normal">SUM(AA679:AO679)</f>
        <v>87511152</v>
      </c>
      <c r="AA679" s="106" t="n">
        <v>8013494.387808</v>
      </c>
      <c r="AB679" s="106" t="n">
        <v>4634422.877952</v>
      </c>
      <c r="AC679" s="106" t="n">
        <v>4898928.123936</v>
      </c>
      <c r="AD679" s="106" t="n">
        <v>3735474.34176</v>
      </c>
      <c r="AE679" s="106" t="n">
        <v>1492245.532512</v>
      </c>
      <c r="AF679" s="106" t="n"/>
      <c r="AG679" s="106" t="n">
        <v>398188.4256</v>
      </c>
      <c r="AH679" s="106" t="n">
        <v>0</v>
      </c>
      <c r="AI679" s="106" t="n">
        <v>14265240.0912</v>
      </c>
      <c r="AJ679" s="106" t="n">
        <v>0</v>
      </c>
      <c r="AK679" s="106" t="n">
        <v>27696044.559456</v>
      </c>
      <c r="AL679" s="106" t="n">
        <v>10892499.1056</v>
      </c>
      <c r="AM679" s="106" t="n">
        <v>8946956.64</v>
      </c>
      <c r="AN679" s="114" t="n">
        <v>875111.52</v>
      </c>
      <c r="AO679" s="115" t="n">
        <v>1662546.394176</v>
      </c>
      <c r="AP679" s="112" t="n">
        <f aca="false" ca="false" dt2D="false" dtr="false" t="normal">+N679-'Приложение №2'!E679</f>
        <v>0</v>
      </c>
      <c r="AQ679" s="9" t="n">
        <f aca="false" ca="false" dt2D="false" dtr="false" t="normal">2505054.36-114158.29-322925.86-R317</f>
        <v>1824970.56</v>
      </c>
      <c r="AR679" s="3" t="n">
        <f aca="false" ca="false" dt2D="false" dtr="false" t="normal">+(K679*10+L679*20)*12*0.85</f>
        <v>532654.2</v>
      </c>
      <c r="AS679" s="3" t="n">
        <f aca="false" ca="false" dt2D="false" dtr="false" t="normal">+(K679*10+L679*20)*12*30-S317</f>
        <v>15300626.1</v>
      </c>
      <c r="AT679" s="9" t="n">
        <f aca="false" ca="false" dt2D="false" dtr="false" t="normal">+S679-AS679</f>
        <v>-13320357.01</v>
      </c>
      <c r="AU679" s="9" t="e">
        <f aca="false" ca="false" dt2D="false" dtr="false" t="normal">+P679-'[5]Приложение №1'!$P680</f>
        <v>#REF!</v>
      </c>
      <c r="AV679" s="9" t="e">
        <f aca="false" ca="false" dt2D="false" dtr="false" t="normal">+Q679-'[5]Приложение №1'!$Q680</f>
        <v>#REF!</v>
      </c>
      <c r="AW679" s="113" t="n">
        <f aca="false" ca="true" dt2D="false" dtr="false" t="normal">SUBTOTAL(9, AX679:BL679)</f>
        <v>12989841.419538</v>
      </c>
      <c r="AX679" s="106" t="n"/>
      <c r="AY679" s="106" t="n"/>
      <c r="AZ679" s="106" t="n"/>
      <c r="BA679" s="106" t="n"/>
      <c r="BB679" s="106" t="n"/>
      <c r="BC679" s="106" t="n"/>
      <c r="BD679" s="106" t="n"/>
      <c r="BE679" s="106" t="n">
        <v>0</v>
      </c>
      <c r="BF679" s="106" t="n"/>
      <c r="BG679" s="106" t="n">
        <v>0</v>
      </c>
      <c r="BH679" s="106" t="n"/>
      <c r="BI679" s="106" t="n">
        <v>12056585.131878</v>
      </c>
      <c r="BJ679" s="106" t="n"/>
      <c r="BK679" s="114" t="n"/>
      <c r="BL679" s="115" t="n">
        <v>933256.28766</v>
      </c>
      <c r="BM679" s="113" t="n">
        <f aca="false" ca="true" dt2D="false" dtr="false" t="normal">SUBTOTAL(9, BN679:CB679)</f>
        <v>12989841.419538</v>
      </c>
      <c r="BN679" s="106" t="n"/>
      <c r="BO679" s="106" t="n"/>
      <c r="BP679" s="106" t="n"/>
      <c r="BQ679" s="106" t="n"/>
      <c r="BR679" s="106" t="n"/>
      <c r="BS679" s="106" t="n"/>
      <c r="BT679" s="106" t="n"/>
      <c r="BU679" s="106" t="n">
        <v>0</v>
      </c>
      <c r="BV679" s="106" t="n"/>
      <c r="BW679" s="106" t="n">
        <v>0</v>
      </c>
      <c r="BX679" s="106" t="n"/>
      <c r="BY679" s="106" t="n">
        <v>12056585.131878</v>
      </c>
      <c r="BZ679" s="106" t="n"/>
      <c r="CA679" s="114" t="n"/>
      <c r="CB679" s="115" t="n">
        <v>933256.28766</v>
      </c>
      <c r="CD679" s="116" t="e">
        <f aca="false" ca="false" dt2D="false" dtr="false" t="normal">+CD678+1</f>
        <v>#REF!</v>
      </c>
      <c r="CE679" s="117" t="e">
        <f aca="false" ca="false" dt2D="false" dtr="false" t="normal">+CE678+1</f>
        <v>#REF!</v>
      </c>
      <c r="CF679" s="104" t="s">
        <v>111</v>
      </c>
      <c r="CG679" s="104" t="s">
        <v>197</v>
      </c>
      <c r="CH679" s="108" t="n">
        <f aca="false" ca="true" dt2D="false" dtr="false" t="normal">SUBTOTAL(9, CI679:CW679)</f>
        <v>9673559.21</v>
      </c>
      <c r="CI679" s="106" t="n"/>
      <c r="CJ679" s="114" t="n">
        <v>5132408.83</v>
      </c>
      <c r="CK679" s="114" t="n"/>
      <c r="CL679" s="114" t="n">
        <v>2627357.42</v>
      </c>
      <c r="CM679" s="114" t="n"/>
      <c r="CN679" s="114" t="n"/>
      <c r="CO679" s="106" t="n"/>
      <c r="CP679" s="114" t="n">
        <v>0</v>
      </c>
      <c r="CQ679" s="114" t="n"/>
      <c r="CR679" s="114" t="n">
        <v>0</v>
      </c>
      <c r="CS679" s="114" t="n"/>
      <c r="CT679" s="114" t="n">
        <v>980536.67</v>
      </c>
      <c r="CU679" s="114" t="n"/>
      <c r="CV679" s="114" t="n"/>
      <c r="CW679" s="115" t="n">
        <v>933256.29</v>
      </c>
      <c r="CX679" s="3" t="n">
        <f aca="false" ca="false" dt2D="false" dtr="false" t="normal">+N679-CH679</f>
        <v>-846928.0300000012</v>
      </c>
      <c r="CZ679" s="104" t="s">
        <v>197</v>
      </c>
      <c r="DA679" s="113" t="n">
        <f aca="false" ca="true" dt2D="false" dtr="false" t="normal">SUBTOTAL(9, DB679:DP679)</f>
        <v>8826631.1775</v>
      </c>
      <c r="DB679" s="106" t="n"/>
      <c r="DC679" s="114" t="n">
        <v>5132408.83</v>
      </c>
      <c r="DD679" s="114" t="n"/>
      <c r="DE679" s="114" t="n">
        <v>2627357.42</v>
      </c>
      <c r="DF679" s="114" t="n"/>
      <c r="DG679" s="114" t="n"/>
      <c r="DH679" s="106" t="n"/>
      <c r="DI679" s="114" t="n">
        <v>0</v>
      </c>
      <c r="DJ679" s="114" t="n"/>
      <c r="DK679" s="114" t="n">
        <v>0</v>
      </c>
      <c r="DL679" s="114" t="n"/>
      <c r="DM679" s="114" t="n">
        <v>980536.67</v>
      </c>
      <c r="DN679" s="114" t="n"/>
      <c r="DO679" s="114" t="n"/>
      <c r="DP679" s="115" t="n">
        <f aca="false" ca="false" dt2D="false" dtr="false" t="normal">(45254.07+20940.96+8873.02)*1.15</f>
        <v>86328.25749999999</v>
      </c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</row>
    <row customFormat="true" hidden="false" ht="15" outlineLevel="0" r="680" s="1">
      <c r="A680" s="183" t="n">
        <f aca="false" ca="false" dt2D="false" dtr="false" t="normal">+A679+1</f>
        <v>658</v>
      </c>
      <c r="B680" s="117" t="n">
        <f aca="false" ca="false" dt2D="false" dtr="false" t="normal">+B679+1</f>
        <v>198</v>
      </c>
      <c r="C680" s="117" t="s">
        <v>111</v>
      </c>
      <c r="D680" s="117" t="s">
        <v>198</v>
      </c>
      <c r="E680" s="201" t="n">
        <v>1974</v>
      </c>
      <c r="F680" s="201" t="n">
        <v>2013</v>
      </c>
      <c r="G680" s="201" t="s">
        <v>68</v>
      </c>
      <c r="H680" s="201" t="n">
        <v>4</v>
      </c>
      <c r="I680" s="201" t="n">
        <v>4</v>
      </c>
      <c r="J680" s="114" t="n">
        <v>3940.9</v>
      </c>
      <c r="K680" s="114" t="n">
        <v>3373.8</v>
      </c>
      <c r="L680" s="114" t="n">
        <v>212.7</v>
      </c>
      <c r="M680" s="202" t="n">
        <v>140</v>
      </c>
      <c r="N680" s="108" t="n">
        <f aca="false" ca="false" dt2D="false" dtr="false" t="normal">SUM(P680:T680)</f>
        <v>3095074.36</v>
      </c>
      <c r="O680" s="114" t="n"/>
      <c r="P680" s="114" t="n"/>
      <c r="Q680" s="114" t="n"/>
      <c r="R680" s="113" t="n">
        <v>396466.4</v>
      </c>
      <c r="S680" s="113" t="n">
        <v>2698607.96</v>
      </c>
      <c r="T680" s="114" t="n"/>
      <c r="U680" s="114" t="n">
        <v>614.240721104347</v>
      </c>
      <c r="V680" s="114" t="n">
        <v>614.240721104347</v>
      </c>
      <c r="W680" s="110" t="n">
        <v>2024</v>
      </c>
      <c r="X680" s="9" t="e">
        <f aca="false" ca="false" dt2D="false" dtr="false" t="normal">+#REF!-'[9]Приложение №1'!$P1651</f>
        <v>#REF!</v>
      </c>
      <c r="Z680" s="113" t="n">
        <f aca="false" ca="false" dt2D="false" dtr="false" t="normal">SUM(AA680:AO680)</f>
        <v>62533714.20789399</v>
      </c>
      <c r="AA680" s="106" t="n">
        <v>6056878.33</v>
      </c>
      <c r="AB680" s="106" t="n">
        <v>3324136.35620388</v>
      </c>
      <c r="AC680" s="106" t="n">
        <v>3513858.26050854</v>
      </c>
      <c r="AD680" s="106" t="n">
        <v>2679346.79400948</v>
      </c>
      <c r="AE680" s="106" t="n">
        <v>1070344.19731806</v>
      </c>
      <c r="AF680" s="106" t="n"/>
      <c r="AG680" s="106" t="n">
        <v>285608.9438538</v>
      </c>
      <c r="AH680" s="106" t="n">
        <v>0</v>
      </c>
      <c r="AI680" s="106" t="n">
        <v>10232040.6523188</v>
      </c>
      <c r="AJ680" s="106" t="n">
        <v>0</v>
      </c>
      <c r="AK680" s="106" t="n">
        <v>19865564.963811</v>
      </c>
      <c r="AL680" s="106" t="n">
        <v>7812871.9105563</v>
      </c>
      <c r="AM680" s="106" t="n">
        <v>5963728.8812</v>
      </c>
      <c r="AN680" s="114" t="n">
        <v>570673.4087</v>
      </c>
      <c r="AO680" s="115" t="n">
        <v>1158661.50941414</v>
      </c>
      <c r="AP680" s="112" t="n">
        <f aca="false" ca="false" dt2D="false" dtr="false" t="normal">+N680-'Приложение №2'!E680</f>
        <v>0</v>
      </c>
      <c r="AQ680" s="9" t="n">
        <f aca="false" ca="false" dt2D="false" dtr="false" t="normal">1707386.79-112573.23-R436</f>
        <v>1198347.1600000001</v>
      </c>
      <c r="AR680" s="3" t="n">
        <f aca="false" ca="false" dt2D="false" dtr="false" t="normal">+(K680*10+L680*20)*12*0.85</f>
        <v>387518.39999999997</v>
      </c>
      <c r="AS680" s="3" t="n">
        <f aca="false" ca="false" dt2D="false" dtr="false" t="normal">+(K680*10+L680*20)*12*30-810211.65-S436</f>
        <v>12472501.45</v>
      </c>
      <c r="AT680" s="9" t="n">
        <f aca="false" ca="false" dt2D="false" dtr="false" t="normal">+S680-AS680</f>
        <v>-9773893.489999998</v>
      </c>
      <c r="AU680" s="9" t="e">
        <f aca="false" ca="false" dt2D="false" dtr="false" t="normal">+P680-'[5]Приложение №1'!$P680</f>
        <v>#REF!</v>
      </c>
      <c r="AV680" s="9" t="e">
        <f aca="false" ca="false" dt2D="false" dtr="false" t="normal">+Q680-'[5]Приложение №1'!$Q680</f>
        <v>#REF!</v>
      </c>
      <c r="AW680" s="113" t="n">
        <f aca="false" ca="true" dt2D="false" dtr="false" t="normal">SUBTOTAL(9, AX680:BL680)</f>
        <v>2202974.3462407403</v>
      </c>
      <c r="AX680" s="106" t="n"/>
      <c r="AY680" s="106" t="n"/>
      <c r="AZ680" s="106" t="n"/>
      <c r="BA680" s="106" t="n"/>
      <c r="BB680" s="106" t="n"/>
      <c r="BC680" s="106" t="n"/>
      <c r="BD680" s="106" t="n"/>
      <c r="BE680" s="106" t="n"/>
      <c r="BF680" s="106" t="n"/>
      <c r="BG680" s="106" t="n"/>
      <c r="BH680" s="106" t="n"/>
      <c r="BI680" s="106" t="n">
        <v>1144560.06</v>
      </c>
      <c r="BJ680" s="106" t="n"/>
      <c r="BK680" s="114" t="n"/>
      <c r="BL680" s="115" t="n">
        <v>1058414.28624074</v>
      </c>
      <c r="BM680" s="113" t="n">
        <f aca="false" ca="true" dt2D="false" dtr="false" t="normal">SUBTOTAL(9, BN680:CB680)</f>
        <v>2202974.3462407403</v>
      </c>
      <c r="BN680" s="106" t="n"/>
      <c r="BO680" s="106" t="n"/>
      <c r="BP680" s="106" t="n"/>
      <c r="BQ680" s="106" t="n"/>
      <c r="BR680" s="106" t="n"/>
      <c r="BS680" s="106" t="n"/>
      <c r="BT680" s="106" t="n"/>
      <c r="BU680" s="106" t="n"/>
      <c r="BV680" s="106" t="n"/>
      <c r="BW680" s="106" t="n"/>
      <c r="BX680" s="106" t="n"/>
      <c r="BY680" s="106" t="n">
        <v>1144560.06</v>
      </c>
      <c r="BZ680" s="106" t="n"/>
      <c r="CA680" s="114" t="n"/>
      <c r="CB680" s="115" t="n">
        <v>1058414.28624074</v>
      </c>
      <c r="CD680" s="116" t="e">
        <f aca="false" ca="false" dt2D="false" dtr="false" t="normal">+CD679+1</f>
        <v>#REF!</v>
      </c>
      <c r="CE680" s="117" t="e">
        <f aca="false" ca="false" dt2D="false" dtr="false" t="normal">+CE679+1</f>
        <v>#REF!</v>
      </c>
      <c r="CF680" s="104" t="s">
        <v>111</v>
      </c>
      <c r="CG680" s="104" t="s">
        <v>198</v>
      </c>
      <c r="CH680" s="108" t="n">
        <f aca="false" ca="true" dt2D="false" dtr="false" t="normal">SUBTOTAL(9, CI680:CW680)</f>
        <v>4153488.6500000004</v>
      </c>
      <c r="CI680" s="106" t="n"/>
      <c r="CJ680" s="114" t="n">
        <v>1950514.3</v>
      </c>
      <c r="CK680" s="114" t="n"/>
      <c r="CL680" s="114" t="n"/>
      <c r="CM680" s="114" t="n"/>
      <c r="CN680" s="114" t="n"/>
      <c r="CO680" s="106" t="n"/>
      <c r="CP680" s="114" t="n"/>
      <c r="CQ680" s="114" t="n"/>
      <c r="CR680" s="114" t="n"/>
      <c r="CS680" s="114" t="n"/>
      <c r="CT680" s="114" t="n">
        <v>1144560.06</v>
      </c>
      <c r="CU680" s="114" t="n"/>
      <c r="CV680" s="114" t="n"/>
      <c r="CW680" s="115" t="n">
        <v>1058414.29</v>
      </c>
      <c r="CX680" s="3" t="n">
        <f aca="false" ca="false" dt2D="false" dtr="false" t="normal">+N680-CH680</f>
        <v>-1058414.2900000005</v>
      </c>
      <c r="CZ680" s="104" t="s">
        <v>198</v>
      </c>
      <c r="DA680" s="113" t="n">
        <f aca="false" ca="true" dt2D="false" dtr="false" t="normal">SUBTOTAL(9, DB680:DP680)</f>
        <v>3095074.3600000003</v>
      </c>
      <c r="DB680" s="106" t="n"/>
      <c r="DC680" s="114" t="n">
        <v>1950514.3</v>
      </c>
      <c r="DD680" s="114" t="n"/>
      <c r="DE680" s="114" t="n"/>
      <c r="DF680" s="114" t="n"/>
      <c r="DG680" s="114" t="n"/>
      <c r="DH680" s="106" t="n"/>
      <c r="DI680" s="114" t="n"/>
      <c r="DJ680" s="114" t="n"/>
      <c r="DK680" s="114" t="n"/>
      <c r="DL680" s="114" t="n"/>
      <c r="DM680" s="114" t="n">
        <v>1144560.06</v>
      </c>
      <c r="DN680" s="114" t="n"/>
      <c r="DO680" s="114" t="n"/>
      <c r="DP680" s="240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</row>
    <row customFormat="true" hidden="false" ht="15" outlineLevel="0" r="681" s="1">
      <c r="A681" s="183" t="n">
        <f aca="false" ca="false" dt2D="false" dtr="false" t="normal">+A680+1</f>
        <v>659</v>
      </c>
      <c r="B681" s="117" t="n">
        <f aca="false" ca="false" dt2D="false" dtr="false" t="normal">+B680+1</f>
        <v>199</v>
      </c>
      <c r="C681" s="117" t="s">
        <v>111</v>
      </c>
      <c r="D681" s="117" t="s">
        <v>199</v>
      </c>
      <c r="E681" s="201" t="n">
        <v>1977</v>
      </c>
      <c r="F681" s="201" t="n">
        <v>2013</v>
      </c>
      <c r="G681" s="201" t="s">
        <v>68</v>
      </c>
      <c r="H681" s="201" t="n">
        <v>9</v>
      </c>
      <c r="I681" s="201" t="n">
        <v>1</v>
      </c>
      <c r="J681" s="114" t="n">
        <v>2362.6</v>
      </c>
      <c r="K681" s="114" t="n">
        <v>1902.4</v>
      </c>
      <c r="L681" s="114" t="n">
        <v>195.5</v>
      </c>
      <c r="M681" s="202" t="n">
        <v>72</v>
      </c>
      <c r="N681" s="108" t="n">
        <f aca="false" ca="false" dt2D="false" dtr="false" t="normal">SUM(P681:T681)</f>
        <v>15560179.21</v>
      </c>
      <c r="O681" s="114" t="n"/>
      <c r="P681" s="113" t="n">
        <v>7231151.09</v>
      </c>
      <c r="Q681" s="114" t="n"/>
      <c r="R681" s="113" t="n">
        <v>2095840.3</v>
      </c>
      <c r="S681" s="113" t="n">
        <v>6233187.82</v>
      </c>
      <c r="T681" s="113" t="n"/>
      <c r="U681" s="114" t="n">
        <v>10664.5584199513</v>
      </c>
      <c r="V681" s="114" t="n">
        <v>1341.283020064</v>
      </c>
      <c r="W681" s="110" t="n">
        <v>2024</v>
      </c>
      <c r="X681" s="9" t="e">
        <f aca="false" ca="false" dt2D="false" dtr="false" t="normal">+#REF!-'[9]Приложение №1'!$P1204</f>
        <v>#REF!</v>
      </c>
      <c r="Z681" s="113" t="n">
        <f aca="false" ca="false" dt2D="false" dtr="false" t="normal">SUM(AA681:AO681)</f>
        <v>28501175.670388</v>
      </c>
      <c r="AA681" s="106" t="n">
        <v>3719699.05</v>
      </c>
      <c r="AB681" s="106" t="n">
        <v>2447938.89958044</v>
      </c>
      <c r="AC681" s="106" t="n">
        <v>1490138.33984778</v>
      </c>
      <c r="AD681" s="106" t="n">
        <v>1344414.3471276</v>
      </c>
      <c r="AE681" s="106" t="n">
        <v>490934.10601116</v>
      </c>
      <c r="AF681" s="106" t="n"/>
      <c r="AG681" s="106" t="n">
        <v>205256.04442224</v>
      </c>
      <c r="AH681" s="106" t="n">
        <v>0</v>
      </c>
      <c r="AI681" s="106" t="n">
        <v>0</v>
      </c>
      <c r="AJ681" s="106" t="n">
        <v>0</v>
      </c>
      <c r="AK681" s="106" t="n">
        <v>15105792.3394371</v>
      </c>
      <c r="AL681" s="106" t="n">
        <v>0</v>
      </c>
      <c r="AM681" s="106" t="n">
        <v>2953956.3438</v>
      </c>
      <c r="AN681" s="114" t="n">
        <v>246262.915</v>
      </c>
      <c r="AO681" s="115" t="n">
        <v>496783.28516168</v>
      </c>
      <c r="AP681" s="112" t="n">
        <f aca="false" ca="false" dt2D="false" dtr="false" t="normal">+N681-'Приложение №2'!E681</f>
        <v>0</v>
      </c>
      <c r="AQ681" s="9" t="n">
        <f aca="false" ca="false" dt2D="false" dtr="false" t="normal">1676857.07-R133</f>
        <v>1676857.07</v>
      </c>
      <c r="AR681" s="3" t="n">
        <f aca="false" ca="false" dt2D="false" dtr="false" t="normal">+(K681*13.95+L681*23.65)*12*0.85</f>
        <v>317852.961</v>
      </c>
      <c r="AS681" s="3" t="n">
        <f aca="false" ca="false" dt2D="false" dtr="false" t="normal">+(K681*13.95+L681*23.65)*12*30-S133</f>
        <v>9556673.81</v>
      </c>
      <c r="AT681" s="9" t="n">
        <f aca="false" ca="false" dt2D="false" dtr="false" t="normal">+S681-AS681</f>
        <v>-3323485.99</v>
      </c>
      <c r="AU681" s="9" t="e">
        <f aca="false" ca="false" dt2D="false" dtr="false" t="normal">+P681-'[5]Приложение №1'!$P621</f>
        <v>#REF!</v>
      </c>
      <c r="AV681" s="9" t="e">
        <f aca="false" ca="false" dt2D="false" dtr="false" t="normal">+Q681-'[5]Приложение №1'!$Q621</f>
        <v>#REF!</v>
      </c>
      <c r="AW681" s="186" t="n">
        <f aca="false" ca="true" dt2D="false" dtr="false" t="normal">SUBTOTAL(9, AX681:BL681)</f>
        <v>20288255.93811547</v>
      </c>
      <c r="AX681" s="106" t="n"/>
      <c r="AY681" s="106" t="n"/>
      <c r="AZ681" s="106" t="n"/>
      <c r="BA681" s="106" t="n"/>
      <c r="BB681" s="106" t="n"/>
      <c r="BC681" s="106" t="n"/>
      <c r="BD681" s="106" t="n"/>
      <c r="BE681" s="106" t="n">
        <v>0</v>
      </c>
      <c r="BF681" s="106" t="n">
        <v>0</v>
      </c>
      <c r="BG681" s="106" t="n">
        <v>0</v>
      </c>
      <c r="BH681" s="106" t="n">
        <v>19819142.8834161</v>
      </c>
      <c r="BI681" s="106" t="n">
        <v>0</v>
      </c>
      <c r="BJ681" s="106" t="n"/>
      <c r="BK681" s="114" t="n"/>
      <c r="BL681" s="115" t="n">
        <v>469113.054699367</v>
      </c>
      <c r="BM681" s="186" t="n">
        <f aca="false" ca="true" dt2D="false" dtr="false" t="normal">SUBTOTAL(9, BN681:CB681)</f>
        <v>20288255.93811547</v>
      </c>
      <c r="BN681" s="106" t="n"/>
      <c r="BO681" s="106" t="n"/>
      <c r="BP681" s="106" t="n"/>
      <c r="BQ681" s="106" t="n"/>
      <c r="BR681" s="106" t="n"/>
      <c r="BS681" s="106" t="n"/>
      <c r="BT681" s="106" t="n"/>
      <c r="BU681" s="106" t="n">
        <v>0</v>
      </c>
      <c r="BV681" s="106" t="n">
        <v>0</v>
      </c>
      <c r="BW681" s="106" t="n">
        <v>0</v>
      </c>
      <c r="BX681" s="106" t="n">
        <v>19819142.8834161</v>
      </c>
      <c r="BY681" s="106" t="n">
        <v>0</v>
      </c>
      <c r="BZ681" s="106" t="n"/>
      <c r="CA681" s="114" t="n"/>
      <c r="CB681" s="115" t="n">
        <v>469113.054699367</v>
      </c>
      <c r="CD681" s="116" t="e">
        <f aca="false" ca="false" dt2D="false" dtr="false" t="normal">+CD684+1</f>
        <v>#REF!</v>
      </c>
      <c r="CE681" s="117" t="e">
        <f aca="false" ca="false" dt2D="false" dtr="false" t="normal">+CE684+1</f>
        <v>#REF!</v>
      </c>
      <c r="CF681" s="104" t="s">
        <v>111</v>
      </c>
      <c r="CG681" s="104" t="s">
        <v>199</v>
      </c>
      <c r="CH681" s="232" t="n">
        <f aca="false" ca="true" dt2D="false" dtr="false" t="normal">SUBTOTAL(9, CI681:CW681)</f>
        <v>24206991.02</v>
      </c>
      <c r="CI681" s="106" t="n">
        <v>3719699.05</v>
      </c>
      <c r="CJ681" s="114" t="n">
        <v>1397547.49</v>
      </c>
      <c r="CK681" s="114" t="n"/>
      <c r="CL681" s="114" t="n"/>
      <c r="CM681" s="114" t="n"/>
      <c r="CN681" s="114" t="n"/>
      <c r="CO681" s="106" t="n"/>
      <c r="CP681" s="114" t="n">
        <v>0</v>
      </c>
      <c r="CQ681" s="114" t="n">
        <v>0</v>
      </c>
      <c r="CR681" s="114" t="n">
        <v>0</v>
      </c>
      <c r="CS681" s="114" t="n">
        <v>19089744.48</v>
      </c>
      <c r="CT681" s="114" t="n">
        <v>0</v>
      </c>
      <c r="CU681" s="114" t="n"/>
      <c r="CV681" s="114" t="n"/>
      <c r="CW681" s="115" t="n"/>
      <c r="CX681" s="3" t="n">
        <f aca="false" ca="false" dt2D="false" dtr="false" t="normal">+N681-CH681</f>
        <v>-8646811.809999999</v>
      </c>
      <c r="CZ681" s="104" t="s">
        <v>199</v>
      </c>
      <c r="DA681" s="186" t="n">
        <f aca="false" ca="true" dt2D="false" dtr="false" t="normal">SUBTOTAL(9, DB681:DP681)</f>
        <v>24206991.02</v>
      </c>
      <c r="DB681" s="106" t="n">
        <v>3719699.05</v>
      </c>
      <c r="DC681" s="114" t="n">
        <v>1397547.49</v>
      </c>
      <c r="DD681" s="114" t="n"/>
      <c r="DE681" s="114" t="n"/>
      <c r="DF681" s="114" t="n"/>
      <c r="DG681" s="114" t="n"/>
      <c r="DH681" s="106" t="n"/>
      <c r="DI681" s="114" t="n">
        <v>0</v>
      </c>
      <c r="DJ681" s="114" t="n">
        <v>0</v>
      </c>
      <c r="DK681" s="114" t="n">
        <v>0</v>
      </c>
      <c r="DL681" s="114" t="n">
        <v>19089744.48</v>
      </c>
      <c r="DM681" s="114" t="n">
        <v>0</v>
      </c>
      <c r="DN681" s="114" t="n"/>
      <c r="DO681" s="114" t="n"/>
      <c r="DP681" s="240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</row>
    <row customFormat="true" hidden="false" ht="15" outlineLevel="0" r="682" s="1">
      <c r="A682" s="183" t="n">
        <f aca="false" ca="false" dt2D="false" dtr="false" t="normal">+A681+1</f>
        <v>660</v>
      </c>
      <c r="B682" s="117" t="n">
        <f aca="false" ca="false" dt2D="false" dtr="false" t="normal">+B681+1</f>
        <v>200</v>
      </c>
      <c r="C682" s="117" t="s">
        <v>111</v>
      </c>
      <c r="D682" s="117" t="s">
        <v>194</v>
      </c>
      <c r="E682" s="201" t="n">
        <v>1977</v>
      </c>
      <c r="F682" s="201" t="n">
        <v>2013</v>
      </c>
      <c r="G682" s="201" t="s">
        <v>68</v>
      </c>
      <c r="H682" s="201" t="n">
        <v>9</v>
      </c>
      <c r="I682" s="201" t="n">
        <v>1</v>
      </c>
      <c r="J682" s="114" t="n">
        <v>2365.99</v>
      </c>
      <c r="K682" s="114" t="n">
        <v>1903.5</v>
      </c>
      <c r="L682" s="114" t="n">
        <v>136</v>
      </c>
      <c r="M682" s="202" t="n">
        <v>70</v>
      </c>
      <c r="N682" s="108" t="n">
        <f aca="false" ca="false" dt2D="false" dtr="false" t="normal">SUM(P682:T682)</f>
        <v>11595064.25</v>
      </c>
      <c r="O682" s="114" t="n"/>
      <c r="P682" s="113" t="n">
        <v>4403192.81</v>
      </c>
      <c r="Q682" s="114" t="n"/>
      <c r="R682" s="113" t="n">
        <v>1585958.1</v>
      </c>
      <c r="S682" s="113" t="n">
        <v>5605913.34</v>
      </c>
      <c r="T682" s="113" t="n"/>
      <c r="U682" s="114" t="n">
        <v>10343.4567487209</v>
      </c>
      <c r="V682" s="114" t="n">
        <v>1334.283020064</v>
      </c>
      <c r="W682" s="110" t="n">
        <v>2024</v>
      </c>
      <c r="X682" s="9" t="e">
        <f aca="false" ca="false" dt2D="false" dtr="false" t="normal">+#REF!-'[9]Приложение №1'!$P1200</f>
        <v>#REF!</v>
      </c>
      <c r="Z682" s="113" t="n">
        <f aca="false" ca="false" dt2D="false" dtr="false" t="normal">SUM(AA682:AO682)</f>
        <v>26854433.35999996</v>
      </c>
      <c r="AA682" s="106" t="n">
        <v>3681294.56455488</v>
      </c>
      <c r="AB682" s="106" t="n">
        <v>2450899.70770344</v>
      </c>
      <c r="AC682" s="106" t="n">
        <v>0</v>
      </c>
      <c r="AD682" s="106" t="n">
        <v>1346040.42000708</v>
      </c>
      <c r="AE682" s="106" t="n">
        <v>491527.90003842</v>
      </c>
      <c r="AF682" s="106" t="n"/>
      <c r="AG682" s="106" t="n">
        <v>205504.3080006</v>
      </c>
      <c r="AH682" s="106" t="n">
        <v>0</v>
      </c>
      <c r="AI682" s="106" t="n">
        <v>0</v>
      </c>
      <c r="AJ682" s="106" t="n">
        <v>0</v>
      </c>
      <c r="AK682" s="106" t="n">
        <v>15124062.9163247</v>
      </c>
      <c r="AL682" s="106" t="n">
        <v>0</v>
      </c>
      <c r="AM682" s="106" t="n">
        <v>2777050.0558</v>
      </c>
      <c r="AN682" s="114" t="n">
        <v>268544.3336</v>
      </c>
      <c r="AO682" s="115" t="n">
        <v>509509.15397084</v>
      </c>
      <c r="AP682" s="112" t="n">
        <f aca="false" ca="false" dt2D="false" dtr="false" t="normal">+N682-'Приложение №2'!E682</f>
        <v>0</v>
      </c>
      <c r="AQ682" s="9" t="n">
        <f aca="false" ca="false" dt2D="false" dtr="false" t="normal">1663489.1-R128</f>
        <v>1484712.57060442</v>
      </c>
      <c r="AR682" s="3" t="n">
        <f aca="false" ca="false" dt2D="false" dtr="false" t="normal">+(K682*13.95+L682*23.65)*12*0.85</f>
        <v>303656.2949999999</v>
      </c>
      <c r="AS682" s="3" t="n">
        <f aca="false" ca="false" dt2D="false" dtr="false" t="normal">+(K682*13.95+L682*23.65)*12*30-S128</f>
        <v>10395874.119395578</v>
      </c>
      <c r="AT682" s="9" t="n">
        <f aca="false" ca="false" dt2D="false" dtr="false" t="normal">+S682-AS682</f>
        <v>-4789960.779395578</v>
      </c>
      <c r="AU682" s="9" t="e">
        <f aca="false" ca="false" dt2D="false" dtr="false" t="normal">+P682-'[5]Приложение №1'!$P615</f>
        <v>#REF!</v>
      </c>
      <c r="AV682" s="9" t="e">
        <f aca="false" ca="false" dt2D="false" dtr="false" t="normal">+Q682-'[5]Приложение №1'!$Q615</f>
        <v>#REF!</v>
      </c>
      <c r="AW682" s="186" t="n">
        <f aca="false" ca="true" dt2D="false" dtr="false" t="normal">SUBTOTAL(9, AX682:BL682)</f>
        <v>19688769.92119027</v>
      </c>
      <c r="AX682" s="106" t="n"/>
      <c r="AY682" s="106" t="n"/>
      <c r="AZ682" s="106" t="n"/>
      <c r="BA682" s="106" t="n"/>
      <c r="BB682" s="106" t="n"/>
      <c r="BC682" s="106" t="n"/>
      <c r="BD682" s="106" t="n"/>
      <c r="BE682" s="106" t="n">
        <v>0</v>
      </c>
      <c r="BF682" s="106" t="n">
        <v>0</v>
      </c>
      <c r="BG682" s="106" t="n">
        <v>0</v>
      </c>
      <c r="BH682" s="106" t="n">
        <v>19267430.2448768</v>
      </c>
      <c r="BI682" s="106" t="n">
        <v>0</v>
      </c>
      <c r="BJ682" s="106" t="n"/>
      <c r="BK682" s="114" t="n"/>
      <c r="BL682" s="115" t="n">
        <v>421339.676313472</v>
      </c>
      <c r="BM682" s="186" t="n">
        <f aca="false" ca="true" dt2D="false" dtr="false" t="normal">SUBTOTAL(9, BN682:CB682)</f>
        <v>19688769.92119027</v>
      </c>
      <c r="BN682" s="106" t="n"/>
      <c r="BO682" s="106" t="n"/>
      <c r="BP682" s="106" t="n"/>
      <c r="BQ682" s="106" t="n"/>
      <c r="BR682" s="106" t="n"/>
      <c r="BS682" s="106" t="n"/>
      <c r="BT682" s="106" t="n"/>
      <c r="BU682" s="106" t="n">
        <v>0</v>
      </c>
      <c r="BV682" s="106" t="n">
        <v>0</v>
      </c>
      <c r="BW682" s="106" t="n">
        <v>0</v>
      </c>
      <c r="BX682" s="106" t="n">
        <v>19267430.2448768</v>
      </c>
      <c r="BY682" s="106" t="n">
        <v>0</v>
      </c>
      <c r="BZ682" s="106" t="n"/>
      <c r="CA682" s="114" t="n"/>
      <c r="CB682" s="115" t="n">
        <v>421339.676313472</v>
      </c>
      <c r="CD682" s="116" t="e">
        <f aca="false" ca="false" dt2D="false" dtr="false" t="normal">+CD680+1</f>
        <v>#REF!</v>
      </c>
      <c r="CE682" s="117" t="e">
        <f aca="false" ca="false" dt2D="false" dtr="false" t="normal">+CE680+1</f>
        <v>#REF!</v>
      </c>
      <c r="CF682" s="104" t="s">
        <v>111</v>
      </c>
      <c r="CG682" s="104" t="s">
        <v>194</v>
      </c>
      <c r="CH682" s="232" t="n">
        <f aca="false" ca="true" dt2D="false" dtr="false" t="normal">SUBTOTAL(9, CI682:CW682)</f>
        <v>21017249.03</v>
      </c>
      <c r="CI682" s="106" t="n"/>
      <c r="CJ682" s="114" t="n">
        <v>1063489.17</v>
      </c>
      <c r="CK682" s="114" t="n">
        <v>0</v>
      </c>
      <c r="CL682" s="114" t="n">
        <v>1045305.74</v>
      </c>
      <c r="CM682" s="114" t="n"/>
      <c r="CN682" s="114" t="n"/>
      <c r="CO682" s="106" t="n"/>
      <c r="CP682" s="114" t="n">
        <v>0</v>
      </c>
      <c r="CQ682" s="114" t="n">
        <v>0</v>
      </c>
      <c r="CR682" s="114" t="n">
        <v>0</v>
      </c>
      <c r="CS682" s="114" t="n">
        <v>18908454.12</v>
      </c>
      <c r="CT682" s="114" t="n">
        <v>0</v>
      </c>
      <c r="CU682" s="114" t="n"/>
      <c r="CV682" s="114" t="n"/>
      <c r="CW682" s="115" t="n"/>
      <c r="CX682" s="3" t="n">
        <f aca="false" ca="false" dt2D="false" dtr="false" t="normal">+N682-CH682</f>
        <v>-9422184.780000001</v>
      </c>
      <c r="CZ682" s="104" t="s">
        <v>194</v>
      </c>
      <c r="DA682" s="186" t="n">
        <f aca="false" ca="true" dt2D="false" dtr="false" t="normal">SUBTOTAL(9, DB682:DP682)</f>
        <v>21017249.03</v>
      </c>
      <c r="DB682" s="106" t="n"/>
      <c r="DC682" s="114" t="n">
        <v>1063489.17</v>
      </c>
      <c r="DD682" s="114" t="n">
        <v>0</v>
      </c>
      <c r="DE682" s="114" t="n">
        <v>1045305.74</v>
      </c>
      <c r="DF682" s="114" t="n"/>
      <c r="DG682" s="114" t="n"/>
      <c r="DH682" s="106" t="n"/>
      <c r="DI682" s="114" t="n">
        <v>0</v>
      </c>
      <c r="DJ682" s="114" t="n">
        <v>0</v>
      </c>
      <c r="DK682" s="114" t="n">
        <v>0</v>
      </c>
      <c r="DL682" s="114" t="n">
        <v>18908454.12</v>
      </c>
      <c r="DM682" s="114" t="n">
        <v>0</v>
      </c>
      <c r="DN682" s="114" t="n"/>
      <c r="DO682" s="114" t="n"/>
      <c r="DP682" s="240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</row>
    <row customFormat="true" hidden="false" ht="15" outlineLevel="0" r="683" s="1">
      <c r="A683" s="183" t="n">
        <f aca="false" ca="false" dt2D="false" dtr="false" t="normal">+A682+1</f>
        <v>661</v>
      </c>
      <c r="B683" s="117" t="n">
        <f aca="false" ca="false" dt2D="false" dtr="false" t="normal">+B682+1</f>
        <v>201</v>
      </c>
      <c r="C683" s="117" t="s">
        <v>111</v>
      </c>
      <c r="D683" s="117" t="s">
        <v>393</v>
      </c>
      <c r="E683" s="201" t="n">
        <v>1977</v>
      </c>
      <c r="F683" s="201" t="n">
        <v>2013</v>
      </c>
      <c r="G683" s="201" t="s">
        <v>68</v>
      </c>
      <c r="H683" s="201" t="n">
        <v>9</v>
      </c>
      <c r="I683" s="201" t="n">
        <v>1</v>
      </c>
      <c r="J683" s="114" t="n">
        <v>2366.89</v>
      </c>
      <c r="K683" s="114" t="n">
        <v>1904.8</v>
      </c>
      <c r="L683" s="114" t="n">
        <v>41.8</v>
      </c>
      <c r="M683" s="202" t="n">
        <v>59</v>
      </c>
      <c r="N683" s="108" t="n">
        <f aca="false" ca="false" dt2D="false" dtr="false" t="normal">SUM(P683:T683)</f>
        <v>20501220.560000002</v>
      </c>
      <c r="O683" s="114" t="n"/>
      <c r="P683" s="113" t="n">
        <v>6318609.46</v>
      </c>
      <c r="Q683" s="114" t="n"/>
      <c r="R683" s="113" t="n">
        <v>1796287.79</v>
      </c>
      <c r="S683" s="113" t="n">
        <v>8768304.81</v>
      </c>
      <c r="T683" s="113" t="n">
        <v>3618018.5</v>
      </c>
      <c r="U683" s="114" t="n">
        <v>9884.32031756091</v>
      </c>
      <c r="V683" s="114" t="n">
        <v>1335.283020064</v>
      </c>
      <c r="W683" s="110" t="n">
        <v>2024</v>
      </c>
      <c r="X683" s="9" t="e">
        <f aca="false" ca="false" dt2D="false" dtr="false" t="normal">+#REF!-'[9]Приложение №1'!$P1201</f>
        <v>#REF!</v>
      </c>
      <c r="Z683" s="113" t="n">
        <f aca="false" ca="false" dt2D="false" dtr="false" t="normal">SUM(AA683:AO683)</f>
        <v>28541976.04124596</v>
      </c>
      <c r="AA683" s="106" t="n">
        <v>3719699.05</v>
      </c>
      <c r="AB683" s="106" t="n">
        <v>2452058.27684286</v>
      </c>
      <c r="AC683" s="106" t="n">
        <v>1492645.9296378</v>
      </c>
      <c r="AD683" s="106" t="n">
        <v>1346676.71707884</v>
      </c>
      <c r="AE683" s="106" t="n">
        <v>491760.24805782</v>
      </c>
      <c r="AF683" s="106" t="n"/>
      <c r="AG683" s="106" t="n">
        <v>205601.44794672</v>
      </c>
      <c r="AH683" s="106" t="n">
        <v>0</v>
      </c>
      <c r="AI683" s="106" t="n">
        <v>0</v>
      </c>
      <c r="AJ683" s="106" t="n">
        <v>0</v>
      </c>
      <c r="AK683" s="106" t="n">
        <v>15131212.2728768</v>
      </c>
      <c r="AL683" s="106" t="n">
        <v>0</v>
      </c>
      <c r="AM683" s="106" t="n">
        <v>2959194.6141</v>
      </c>
      <c r="AN683" s="114" t="n">
        <v>245562.4751</v>
      </c>
      <c r="AO683" s="115" t="n">
        <v>497565.00960512</v>
      </c>
      <c r="AP683" s="112" t="n">
        <f aca="false" ca="false" dt2D="false" dtr="false" t="normal">+N683-'Приложение №2'!E683</f>
        <v>0</v>
      </c>
      <c r="AQ683" s="9" t="n">
        <f aca="false" ca="false" dt2D="false" dtr="false" t="normal">1515170.38-R320</f>
        <v>1515170.38</v>
      </c>
      <c r="AR683" s="3" t="n">
        <f aca="false" ca="false" dt2D="false" dtr="false" t="normal">+(K683*13.95+L683*23.65)*12*0.85</f>
        <v>281117.40599999996</v>
      </c>
      <c r="AS683" s="3" t="n">
        <f aca="false" ca="false" dt2D="false" dtr="false" t="normal">+(K683*13.95+L683*23.65)*12*30-S320</f>
        <v>9473997.02</v>
      </c>
      <c r="AT683" s="9" t="n">
        <f aca="false" ca="false" dt2D="false" dtr="false" t="normal">+S683-AS683</f>
        <v>-705692.209999999</v>
      </c>
      <c r="AU683" s="9" t="e">
        <f aca="false" ca="false" dt2D="false" dtr="false" t="normal">+P683-'[5]Приложение №1'!$P616</f>
        <v>#REF!</v>
      </c>
      <c r="AV683" s="9" t="e">
        <f aca="false" ca="false" dt2D="false" dtr="false" t="normal">+Q683-'[5]Приложение №1'!$Q616</f>
        <v>#REF!</v>
      </c>
      <c r="AW683" s="186" t="n">
        <f aca="false" ca="true" dt2D="false" dtr="false" t="normal">SUBTOTAL(9, AX683:BL683)</f>
        <v>18827653.34088998</v>
      </c>
      <c r="AX683" s="106" t="n"/>
      <c r="AY683" s="106" t="n"/>
      <c r="AZ683" s="106" t="n"/>
      <c r="BA683" s="106" t="n"/>
      <c r="BB683" s="106" t="n"/>
      <c r="BC683" s="106" t="n"/>
      <c r="BD683" s="106" t="n"/>
      <c r="BE683" s="106" t="n">
        <v>0</v>
      </c>
      <c r="BF683" s="106" t="n">
        <v>0</v>
      </c>
      <c r="BG683" s="106" t="n">
        <v>0</v>
      </c>
      <c r="BH683" s="106" t="n">
        <v>18389791.4756936</v>
      </c>
      <c r="BI683" s="106" t="n">
        <v>0</v>
      </c>
      <c r="BJ683" s="106" t="n"/>
      <c r="BK683" s="114" t="n"/>
      <c r="BL683" s="115" t="n">
        <v>437861.865196382</v>
      </c>
      <c r="BM683" s="186" t="n">
        <f aca="false" ca="true" dt2D="false" dtr="false" t="normal">SUBTOTAL(9, BN683:CB683)</f>
        <v>18827653.34088998</v>
      </c>
      <c r="BN683" s="106" t="n"/>
      <c r="BO683" s="106" t="n"/>
      <c r="BP683" s="106" t="n"/>
      <c r="BQ683" s="106" t="n"/>
      <c r="BR683" s="106" t="n"/>
      <c r="BS683" s="106" t="n"/>
      <c r="BT683" s="106" t="n"/>
      <c r="BU683" s="106" t="n">
        <v>0</v>
      </c>
      <c r="BV683" s="106" t="n">
        <v>0</v>
      </c>
      <c r="BW683" s="106" t="n">
        <v>0</v>
      </c>
      <c r="BX683" s="106" t="n">
        <v>18389791.4756936</v>
      </c>
      <c r="BY683" s="106" t="n">
        <v>0</v>
      </c>
      <c r="BZ683" s="106" t="n"/>
      <c r="CA683" s="114" t="n"/>
      <c r="CB683" s="115" t="n">
        <v>437861.865196382</v>
      </c>
      <c r="CD683" s="116" t="e">
        <f aca="false" ca="false" dt2D="false" dtr="false" t="normal">+CD682+1</f>
        <v>#REF!</v>
      </c>
      <c r="CE683" s="117" t="e">
        <f aca="false" ca="false" dt2D="false" dtr="false" t="normal">+CE682+1</f>
        <v>#REF!</v>
      </c>
      <c r="CF683" s="104" t="s">
        <v>111</v>
      </c>
      <c r="CG683" s="104" t="s">
        <v>393</v>
      </c>
      <c r="CH683" s="232" t="n">
        <f aca="false" ca="true" dt2D="false" dtr="false" t="normal">SUBTOTAL(9, CI683:CW683)</f>
        <v>20501220.560000002</v>
      </c>
      <c r="CI683" s="106" t="n">
        <v>3719699.05</v>
      </c>
      <c r="CJ683" s="114" t="n">
        <v>1063489.17</v>
      </c>
      <c r="CK683" s="114" t="n"/>
      <c r="CL683" s="114" t="n">
        <v>1307914.63</v>
      </c>
      <c r="CM683" s="114" t="n"/>
      <c r="CN683" s="114" t="n"/>
      <c r="CO683" s="106" t="n"/>
      <c r="CP683" s="114" t="n">
        <v>0</v>
      </c>
      <c r="CQ683" s="114" t="n">
        <v>0</v>
      </c>
      <c r="CR683" s="114" t="n">
        <v>0</v>
      </c>
      <c r="CS683" s="243" t="n">
        <v>14410117.71</v>
      </c>
      <c r="CT683" s="114" t="n">
        <v>0</v>
      </c>
      <c r="CU683" s="114" t="n"/>
      <c r="CV683" s="114" t="n"/>
      <c r="CW683" s="115" t="n"/>
      <c r="CX683" s="3" t="n">
        <f aca="false" ca="false" dt2D="false" dtr="false" t="normal">+N683-CH683</f>
        <v>0</v>
      </c>
      <c r="CZ683" s="104" t="s">
        <v>393</v>
      </c>
      <c r="DA683" s="186" t="n">
        <f aca="false" ca="true" dt2D="false" dtr="false" t="normal">SUBTOTAL(9, DB683:DP683)</f>
        <v>20501220.560000002</v>
      </c>
      <c r="DB683" s="106" t="n">
        <v>3719699.05</v>
      </c>
      <c r="DC683" s="114" t="n">
        <v>1063489.17</v>
      </c>
      <c r="DD683" s="114" t="n"/>
      <c r="DE683" s="114" t="n">
        <v>1307914.63</v>
      </c>
      <c r="DF683" s="114" t="n"/>
      <c r="DG683" s="114" t="n"/>
      <c r="DH683" s="106" t="n"/>
      <c r="DI683" s="114" t="n">
        <v>0</v>
      </c>
      <c r="DJ683" s="114" t="n">
        <v>0</v>
      </c>
      <c r="DK683" s="114" t="n">
        <v>0</v>
      </c>
      <c r="DL683" s="243" t="n">
        <v>14410117.71</v>
      </c>
      <c r="DM683" s="114" t="n">
        <v>0</v>
      </c>
      <c r="DN683" s="114" t="n"/>
      <c r="DO683" s="114" t="n"/>
      <c r="DP683" s="240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</row>
    <row customFormat="true" hidden="false" ht="15" outlineLevel="0" r="684" s="1">
      <c r="A684" s="183" t="n">
        <f aca="false" ca="false" dt2D="false" dtr="false" t="normal">+A683+1</f>
        <v>662</v>
      </c>
      <c r="B684" s="117" t="n">
        <f aca="false" ca="false" dt2D="false" dtr="false" t="normal">+B683+1</f>
        <v>202</v>
      </c>
      <c r="C684" s="117" t="s">
        <v>111</v>
      </c>
      <c r="D684" s="117" t="s">
        <v>196</v>
      </c>
      <c r="E684" s="201" t="n">
        <v>1973</v>
      </c>
      <c r="F684" s="201" t="n">
        <v>2013</v>
      </c>
      <c r="G684" s="201" t="s">
        <v>68</v>
      </c>
      <c r="H684" s="201" t="n">
        <v>5</v>
      </c>
      <c r="I684" s="201" t="n">
        <v>8</v>
      </c>
      <c r="J684" s="114" t="n">
        <v>6624.9</v>
      </c>
      <c r="K684" s="114" t="n">
        <v>5826</v>
      </c>
      <c r="L684" s="114" t="n">
        <v>239.3</v>
      </c>
      <c r="M684" s="202" t="n">
        <v>272</v>
      </c>
      <c r="N684" s="108" t="n">
        <f aca="false" ca="false" dt2D="false" dtr="false" t="normal">SUM(P684:T684)</f>
        <v>67141180.3</v>
      </c>
      <c r="O684" s="114" t="n"/>
      <c r="P684" s="113" t="n">
        <v>10614151.47</v>
      </c>
      <c r="Q684" s="114" t="n"/>
      <c r="R684" s="113" t="n">
        <v>2299955.89</v>
      </c>
      <c r="S684" s="113" t="n">
        <v>23831388</v>
      </c>
      <c r="T684" s="113" t="n">
        <v>30395684.94</v>
      </c>
      <c r="U684" s="114" t="n">
        <v>13987.9459760831</v>
      </c>
      <c r="V684" s="114" t="n">
        <v>1337.283020064</v>
      </c>
      <c r="W684" s="110" t="n">
        <v>2024</v>
      </c>
      <c r="X684" s="9" t="e">
        <f aca="false" ca="false" dt2D="false" dtr="false" t="normal">+#REF!-'[9]Приложение №1'!$P950</f>
        <v>#REF!</v>
      </c>
      <c r="Z684" s="113" t="n">
        <f aca="false" ca="false" dt2D="false" dtr="false" t="normal">SUM(AA684:AO684)</f>
        <v>68280809.79000002</v>
      </c>
      <c r="AA684" s="106" t="n">
        <v>14487752.1113816</v>
      </c>
      <c r="AB684" s="106" t="n">
        <v>5162581.68142248</v>
      </c>
      <c r="AC684" s="106" t="n">
        <v>5393749.15986228</v>
      </c>
      <c r="AD684" s="106" t="n">
        <v>3376828.00437696</v>
      </c>
      <c r="AE684" s="106" t="n">
        <v>2066066.63772516</v>
      </c>
      <c r="AF684" s="106" t="n"/>
      <c r="AG684" s="106" t="n">
        <v>0</v>
      </c>
      <c r="AH684" s="106" t="n">
        <v>0</v>
      </c>
      <c r="AI684" s="106" t="n">
        <v>0</v>
      </c>
      <c r="AJ684" s="106" t="n">
        <v>0</v>
      </c>
      <c r="AK684" s="106" t="n">
        <v>13751557.8881974</v>
      </c>
      <c r="AL684" s="106" t="n">
        <v>14832664.840463</v>
      </c>
      <c r="AM684" s="106" t="n">
        <v>7235033.857</v>
      </c>
      <c r="AN684" s="114" t="n">
        <v>682808.0979</v>
      </c>
      <c r="AO684" s="115" t="n">
        <v>1291767.51167114</v>
      </c>
      <c r="AP684" s="112" t="n">
        <f aca="false" ca="false" dt2D="false" dtr="false" t="normal">+N684-'Приложение №2'!E684</f>
        <v>0</v>
      </c>
      <c r="AQ684" s="9" t="n">
        <f aca="false" ca="false" dt2D="false" dtr="false" t="normal">3821279.57-R130</f>
        <v>1689637.75</v>
      </c>
      <c r="AR684" s="3" t="n">
        <f aca="false" ca="false" dt2D="false" dtr="false" t="normal">+(K684*10.5+L684*21)*12*0.85</f>
        <v>675222.66</v>
      </c>
      <c r="AS684" s="3" t="n">
        <f aca="false" ca="false" dt2D="false" dtr="false" t="normal">+(K684*10.5+L684*21)*12*30-S130</f>
        <v>23831388.000000004</v>
      </c>
      <c r="AT684" s="9" t="n">
        <f aca="false" ca="false" dt2D="false" dtr="false" t="normal">+S684-AS684</f>
        <v>0</v>
      </c>
      <c r="AU684" s="9" t="e">
        <f aca="false" ca="false" dt2D="false" dtr="false" t="normal">+P684-'[5]Приложение №1'!$P618</f>
        <v>#REF!</v>
      </c>
      <c r="AV684" s="9" t="e">
        <f aca="false" ca="false" dt2D="false" dtr="false" t="normal">+Q684-'[5]Приложение №1'!$Q618</f>
        <v>#REF!</v>
      </c>
      <c r="AW684" s="186" t="n">
        <f aca="false" ca="true" dt2D="false" dtr="false" t="normal">SUBTOTAL(9, AX684:BL684)</f>
        <v>81493773.25665994</v>
      </c>
      <c r="AX684" s="106" t="n">
        <v>17221734.2811326</v>
      </c>
      <c r="AY684" s="106" t="n">
        <v>6964417.79739119</v>
      </c>
      <c r="AZ684" s="106" t="n">
        <v>7361880.41795728</v>
      </c>
      <c r="BA684" s="106" t="n">
        <v>5613454.08101436</v>
      </c>
      <c r="BB684" s="106" t="n"/>
      <c r="BC684" s="106" t="n"/>
      <c r="BD684" s="106" t="n">
        <v>660810.729212346</v>
      </c>
      <c r="BE684" s="106" t="n">
        <v>0</v>
      </c>
      <c r="BF684" s="106" t="n">
        <v>0</v>
      </c>
      <c r="BG684" s="106" t="n">
        <v>0</v>
      </c>
      <c r="BH684" s="106" t="n">
        <v>41620263.4474358</v>
      </c>
      <c r="BI684" s="106" t="n"/>
      <c r="BJ684" s="106" t="n">
        <v>290539.34</v>
      </c>
      <c r="BK684" s="114" t="n">
        <v>24000</v>
      </c>
      <c r="BL684" s="115" t="n">
        <v>1736673.16251636</v>
      </c>
      <c r="BM684" s="186" t="n">
        <f aca="false" ca="true" dt2D="false" dtr="false" t="normal">SUBTOTAL(9, BN684:CB684)</f>
        <v>81493773.25665994</v>
      </c>
      <c r="BN684" s="106" t="n">
        <v>17221734.2811326</v>
      </c>
      <c r="BO684" s="106" t="n">
        <v>6964417.79739119</v>
      </c>
      <c r="BP684" s="106" t="n">
        <v>7361880.41795728</v>
      </c>
      <c r="BQ684" s="106" t="n">
        <v>5613454.08101436</v>
      </c>
      <c r="BR684" s="106" t="n"/>
      <c r="BS684" s="106" t="n"/>
      <c r="BT684" s="106" t="n">
        <v>660810.729212346</v>
      </c>
      <c r="BU684" s="106" t="n">
        <v>0</v>
      </c>
      <c r="BV684" s="106" t="n">
        <v>0</v>
      </c>
      <c r="BW684" s="106" t="n">
        <v>0</v>
      </c>
      <c r="BX684" s="106" t="n">
        <v>41620263.4474358</v>
      </c>
      <c r="BY684" s="106" t="n"/>
      <c r="BZ684" s="106" t="n">
        <v>290539.34</v>
      </c>
      <c r="CA684" s="114" t="n">
        <v>24000</v>
      </c>
      <c r="CB684" s="115" t="n">
        <v>1736673.16251636</v>
      </c>
      <c r="CD684" s="116" t="e">
        <f aca="false" ca="false" dt2D="false" dtr="false" t="normal">+CD683+1</f>
        <v>#REF!</v>
      </c>
      <c r="CE684" s="117" t="e">
        <f aca="false" ca="false" dt2D="false" dtr="false" t="normal">+CE683+1</f>
        <v>#REF!</v>
      </c>
      <c r="CF684" s="104" t="s">
        <v>111</v>
      </c>
      <c r="CG684" s="104" t="s">
        <v>196</v>
      </c>
      <c r="CH684" s="232" t="n">
        <f aca="false" ca="true" dt2D="false" dtr="false" t="normal">SUBTOTAL(9, CI684:CW684)</f>
        <v>81399570.13999999</v>
      </c>
      <c r="CI684" s="106" t="n">
        <v>17221734.28</v>
      </c>
      <c r="CJ684" s="114" t="n">
        <v>6964417.8</v>
      </c>
      <c r="CK684" s="114" t="n">
        <v>7361880.42</v>
      </c>
      <c r="CL684" s="114" t="n">
        <v>5613454.08</v>
      </c>
      <c r="CM684" s="114" t="n"/>
      <c r="CN684" s="114" t="n"/>
      <c r="CO684" s="106" t="n"/>
      <c r="CP684" s="114" t="n">
        <v>0</v>
      </c>
      <c r="CQ684" s="114" t="n">
        <v>0</v>
      </c>
      <c r="CR684" s="114" t="n">
        <v>0</v>
      </c>
      <c r="CS684" s="114" t="n">
        <v>42501410.4</v>
      </c>
      <c r="CT684" s="114" t="n"/>
      <c r="CU684" s="114" t="n"/>
      <c r="CV684" s="114" t="n"/>
      <c r="CW684" s="115" t="n">
        <v>1736673.16</v>
      </c>
      <c r="CX684" s="3" t="n">
        <f aca="false" ca="false" dt2D="false" dtr="false" t="normal">+N684-CH684</f>
        <v>-14258389.839999989</v>
      </c>
      <c r="CZ684" s="104" t="s">
        <v>196</v>
      </c>
      <c r="DA684" s="186" t="n">
        <f aca="false" ca="true" dt2D="false" dtr="false" t="normal">SUBTOTAL(9, DB684:DP684)</f>
        <v>79662896.97999999</v>
      </c>
      <c r="DB684" s="106" t="n">
        <v>17221734.28</v>
      </c>
      <c r="DC684" s="114" t="n">
        <v>6964417.8</v>
      </c>
      <c r="DD684" s="114" t="n">
        <v>7361880.42</v>
      </c>
      <c r="DE684" s="114" t="n">
        <v>5613454.08</v>
      </c>
      <c r="DF684" s="114" t="n"/>
      <c r="DG684" s="114" t="n"/>
      <c r="DH684" s="106" t="n"/>
      <c r="DI684" s="114" t="n">
        <v>0</v>
      </c>
      <c r="DJ684" s="114" t="n">
        <v>0</v>
      </c>
      <c r="DK684" s="114" t="n">
        <v>0</v>
      </c>
      <c r="DL684" s="114" t="n">
        <v>42501410.4</v>
      </c>
      <c r="DM684" s="114" t="n"/>
      <c r="DN684" s="241" t="n"/>
      <c r="DO684" s="114" t="n"/>
      <c r="DP684" s="240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</row>
    <row customFormat="true" hidden="false" ht="15" outlineLevel="0" r="685" s="1">
      <c r="A685" s="183" t="n">
        <f aca="false" ca="false" dt2D="false" dtr="false" t="normal">+A684+1</f>
        <v>663</v>
      </c>
      <c r="B685" s="117" t="n">
        <f aca="false" ca="false" dt2D="false" dtr="false" t="normal">+B684+1</f>
        <v>203</v>
      </c>
      <c r="C685" s="117" t="s">
        <v>111</v>
      </c>
      <c r="D685" s="117" t="s">
        <v>646</v>
      </c>
      <c r="E685" s="201" t="n">
        <v>1995</v>
      </c>
      <c r="F685" s="201" t="n">
        <v>2013</v>
      </c>
      <c r="G685" s="201" t="s">
        <v>68</v>
      </c>
      <c r="H685" s="201" t="n">
        <v>4</v>
      </c>
      <c r="I685" s="201" t="n">
        <v>3</v>
      </c>
      <c r="J685" s="114" t="n">
        <v>1839</v>
      </c>
      <c r="K685" s="114" t="n">
        <v>1773.6</v>
      </c>
      <c r="L685" s="114" t="n">
        <v>0</v>
      </c>
      <c r="M685" s="202" t="n">
        <v>81</v>
      </c>
      <c r="N685" s="108" t="n">
        <f aca="false" ca="false" dt2D="false" dtr="false" t="normal">SUM(P685:T685)</f>
        <v>10257734.73</v>
      </c>
      <c r="O685" s="114" t="n"/>
      <c r="P685" s="113" t="n">
        <v>590238.24</v>
      </c>
      <c r="Q685" s="114" t="n"/>
      <c r="R685" s="113" t="n">
        <v>1091904.87</v>
      </c>
      <c r="S685" s="113" t="n">
        <v>6704208</v>
      </c>
      <c r="T685" s="113" t="n">
        <v>1871383.62</v>
      </c>
      <c r="U685" s="114" t="n">
        <v>6733.3702283361</v>
      </c>
      <c r="V685" s="114" t="n">
        <v>1342.283020064</v>
      </c>
      <c r="W685" s="110" t="n">
        <v>2024</v>
      </c>
      <c r="X685" s="9" t="e">
        <f aca="false" ca="false" dt2D="false" dtr="false" t="normal">+#REF!-'[9]Приложение №1'!$P726</f>
        <v>#REF!</v>
      </c>
      <c r="Z685" s="113" t="n">
        <f aca="false" ca="false" dt2D="false" dtr="false" t="normal">SUM(AA685:AO685)</f>
        <v>23166447.680000003</v>
      </c>
      <c r="AA685" s="106" t="n">
        <v>4256960.50153374</v>
      </c>
      <c r="AB685" s="106" t="n">
        <v>1516930.03454706</v>
      </c>
      <c r="AC685" s="106" t="n">
        <v>1584854.36089974</v>
      </c>
      <c r="AD685" s="106" t="n">
        <v>992219.03665164</v>
      </c>
      <c r="AE685" s="106" t="n">
        <v>0</v>
      </c>
      <c r="AF685" s="106" t="n"/>
      <c r="AG685" s="106" t="n">
        <v>163351.22964972</v>
      </c>
      <c r="AH685" s="106" t="n">
        <v>0</v>
      </c>
      <c r="AI685" s="106" t="n">
        <v>7782371.5100418</v>
      </c>
      <c r="AJ685" s="106" t="n">
        <v>0</v>
      </c>
      <c r="AK685" s="106" t="n">
        <v>4040643.31694436</v>
      </c>
      <c r="AL685" s="106" t="n">
        <v>0</v>
      </c>
      <c r="AM685" s="106" t="n">
        <v>2152716.9961</v>
      </c>
      <c r="AN685" s="114" t="n">
        <v>231664.4768</v>
      </c>
      <c r="AO685" s="115" t="n">
        <v>444736.21683194</v>
      </c>
      <c r="AP685" s="112" t="n">
        <f aca="false" ca="false" dt2D="false" dtr="false" t="normal">+N685-'Приложение №2'!E685</f>
        <v>0</v>
      </c>
      <c r="AQ685" s="121" t="n">
        <v>901952.31</v>
      </c>
      <c r="AR685" s="3" t="n">
        <f aca="false" ca="false" dt2D="false" dtr="false" t="normal">+(K685*10.5+L685*21)*12*0.85</f>
        <v>189952.55999999997</v>
      </c>
      <c r="AS685" s="3" t="n">
        <f aca="false" ca="false" dt2D="false" dtr="false" t="normal">+(K685*10.5+L685*21)*12*30</f>
        <v>6704207.999999999</v>
      </c>
      <c r="AT685" s="9" t="n">
        <f aca="false" ca="false" dt2D="false" dtr="false" t="normal">+S685-AS685</f>
        <v>0</v>
      </c>
      <c r="AU685" s="9" t="e">
        <f aca="false" ca="false" dt2D="false" dtr="false" t="normal">+P685-'[5]Приложение №1'!$P622</f>
        <v>#REF!</v>
      </c>
      <c r="AV685" s="9" t="e">
        <f aca="false" ca="false" dt2D="false" dtr="false" t="normal">+Q685-'[5]Приложение №1'!$Q622</f>
        <v>#REF!</v>
      </c>
      <c r="AW685" s="186" t="n">
        <f aca="false" ca="true" dt2D="false" dtr="false" t="normal">SUBTOTAL(9, AX685:BL685)</f>
        <v>11942305.436976912</v>
      </c>
      <c r="AX685" s="106" t="n">
        <v>5297559.17295738</v>
      </c>
      <c r="AY685" s="106" t="n">
        <v>2147559.42656405</v>
      </c>
      <c r="AZ685" s="106" t="n">
        <v>2251281.75663854</v>
      </c>
      <c r="BA685" s="106" t="n">
        <v>1797107.10810288</v>
      </c>
      <c r="BB685" s="106" t="n">
        <v>0</v>
      </c>
      <c r="BC685" s="106" t="n"/>
      <c r="BD685" s="106" t="n">
        <v>193232.636362755</v>
      </c>
      <c r="BE685" s="106" t="n">
        <v>0</v>
      </c>
      <c r="BF685" s="106" t="n"/>
      <c r="BG685" s="106" t="n"/>
      <c r="BH685" s="106" t="n"/>
      <c r="BI685" s="106" t="n">
        <v>0</v>
      </c>
      <c r="BJ685" s="106" t="n"/>
      <c r="BK685" s="114" t="n"/>
      <c r="BL685" s="115" t="n">
        <v>255565.336351306</v>
      </c>
      <c r="BM685" s="186" t="n">
        <f aca="false" ca="true" dt2D="false" dtr="false" t="normal">SUBTOTAL(9, BN685:CB685)</f>
        <v>11942305.436976912</v>
      </c>
      <c r="BN685" s="106" t="n">
        <v>5297559.17295738</v>
      </c>
      <c r="BO685" s="106" t="n">
        <v>2147559.42656405</v>
      </c>
      <c r="BP685" s="106" t="n">
        <v>2251281.75663854</v>
      </c>
      <c r="BQ685" s="106" t="n">
        <v>1797107.10810288</v>
      </c>
      <c r="BR685" s="106" t="n">
        <v>0</v>
      </c>
      <c r="BS685" s="106" t="n"/>
      <c r="BT685" s="106" t="n">
        <v>193232.636362755</v>
      </c>
      <c r="BU685" s="106" t="n">
        <v>0</v>
      </c>
      <c r="BV685" s="106" t="n"/>
      <c r="BW685" s="106" t="n"/>
      <c r="BX685" s="106" t="n"/>
      <c r="BY685" s="106" t="n">
        <v>0</v>
      </c>
      <c r="BZ685" s="106" t="n"/>
      <c r="CA685" s="114" t="n"/>
      <c r="CB685" s="115" t="n">
        <v>255565.336351306</v>
      </c>
      <c r="CD685" s="116" t="e">
        <f aca="false" ca="false" dt2D="false" dtr="false" t="normal">+CD681+1</f>
        <v>#REF!</v>
      </c>
      <c r="CE685" s="117" t="e">
        <f aca="false" ca="false" dt2D="false" dtr="false" t="normal">+CE681+1</f>
        <v>#REF!</v>
      </c>
      <c r="CF685" s="104" t="s">
        <v>111</v>
      </c>
      <c r="CG685" s="104" t="s">
        <v>646</v>
      </c>
      <c r="CH685" s="232" t="n">
        <f aca="false" ca="true" dt2D="false" dtr="false" t="normal">SUBTOTAL(9, CI685:CW685)</f>
        <v>10513300.069999998</v>
      </c>
      <c r="CI685" s="106" t="n">
        <v>4901618.18</v>
      </c>
      <c r="CJ685" s="114" t="n">
        <v>2145933.83</v>
      </c>
      <c r="CK685" s="114" t="n">
        <v>1409651.11</v>
      </c>
      <c r="CL685" s="114" t="n">
        <v>1800531.61</v>
      </c>
      <c r="CM685" s="114" t="n">
        <v>0</v>
      </c>
      <c r="CN685" s="114" t="n"/>
      <c r="CO685" s="106" t="n"/>
      <c r="CP685" s="114" t="n">
        <v>0</v>
      </c>
      <c r="CQ685" s="114" t="n"/>
      <c r="CR685" s="114" t="n"/>
      <c r="CS685" s="114" t="n"/>
      <c r="CT685" s="114" t="n">
        <v>0</v>
      </c>
      <c r="CU685" s="114" t="n"/>
      <c r="CV685" s="114" t="n"/>
      <c r="CW685" s="115" t="n">
        <v>255565.34</v>
      </c>
      <c r="CX685" s="3" t="n">
        <f aca="false" ca="false" dt2D="false" dtr="false" t="normal">+N685-CH685</f>
        <v>-255565.339999998</v>
      </c>
      <c r="CZ685" s="104" t="s">
        <v>646</v>
      </c>
      <c r="DA685" s="186" t="n">
        <f aca="false" ca="true" dt2D="false" dtr="false" t="normal">SUBTOTAL(9, DB685:DP685)</f>
        <v>10257734.729999999</v>
      </c>
      <c r="DB685" s="106" t="n">
        <v>4901618.18</v>
      </c>
      <c r="DC685" s="114" t="n">
        <v>2145933.83</v>
      </c>
      <c r="DD685" s="114" t="n">
        <v>1409651.11</v>
      </c>
      <c r="DE685" s="114" t="n">
        <v>1800531.61</v>
      </c>
      <c r="DF685" s="114" t="n">
        <v>0</v>
      </c>
      <c r="DG685" s="114" t="n"/>
      <c r="DH685" s="106" t="n"/>
      <c r="DI685" s="114" t="n">
        <v>0</v>
      </c>
      <c r="DJ685" s="114" t="n"/>
      <c r="DK685" s="114" t="n"/>
      <c r="DL685" s="114" t="n"/>
      <c r="DM685" s="114" t="n">
        <v>0</v>
      </c>
      <c r="DN685" s="114" t="n"/>
      <c r="DO685" s="114" t="n"/>
      <c r="DP685" s="240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</row>
    <row customFormat="true" hidden="false" ht="15" outlineLevel="0" r="686" s="1">
      <c r="A686" s="183" t="n">
        <f aca="false" ca="false" dt2D="false" dtr="false" t="normal">+A685+1</f>
        <v>664</v>
      </c>
      <c r="B686" s="117" t="n">
        <f aca="false" ca="false" dt2D="false" dtr="false" t="normal">+B685+1</f>
        <v>204</v>
      </c>
      <c r="C686" s="117" t="s">
        <v>647</v>
      </c>
      <c r="D686" s="114" t="s">
        <v>648</v>
      </c>
      <c r="E686" s="251" t="s">
        <v>310</v>
      </c>
      <c r="F686" s="251" t="n"/>
      <c r="G686" s="251" t="s">
        <v>447</v>
      </c>
      <c r="H686" s="251" t="s">
        <v>105</v>
      </c>
      <c r="I686" s="251" t="s">
        <v>148</v>
      </c>
      <c r="J686" s="114" t="n">
        <v>1202.5</v>
      </c>
      <c r="K686" s="114" t="n">
        <v>1106.1</v>
      </c>
      <c r="L686" s="114" t="n">
        <v>0</v>
      </c>
      <c r="M686" s="114" t="n">
        <v>32</v>
      </c>
      <c r="N686" s="108" t="n">
        <f aca="false" ca="false" dt2D="false" dtr="false" t="normal">SUM(P686:T686)</f>
        <v>13003553.2</v>
      </c>
      <c r="O686" s="114" t="n"/>
      <c r="P686" s="113" t="n">
        <v>3262075</v>
      </c>
      <c r="Q686" s="113" t="n">
        <v>1500000</v>
      </c>
      <c r="R686" s="244" t="n">
        <v>163248.12</v>
      </c>
      <c r="S686" s="113" t="n">
        <v>1393686</v>
      </c>
      <c r="T686" s="113" t="n">
        <v>6684544.08</v>
      </c>
      <c r="U686" s="114" t="n">
        <v>11976.9912303912</v>
      </c>
      <c r="V686" s="114" t="n">
        <v>11976.9912303912</v>
      </c>
      <c r="W686" s="110" t="n">
        <v>2024</v>
      </c>
      <c r="X686" s="9" t="n"/>
      <c r="Z686" s="113" t="n"/>
      <c r="AA686" s="106" t="n"/>
      <c r="AB686" s="106" t="n"/>
      <c r="AC686" s="106" t="n"/>
      <c r="AD686" s="106" t="n"/>
      <c r="AE686" s="106" t="n"/>
      <c r="AF686" s="106" t="n"/>
      <c r="AG686" s="106" t="n"/>
      <c r="AH686" s="106" t="n"/>
      <c r="AI686" s="106" t="n"/>
      <c r="AJ686" s="106" t="n"/>
      <c r="AK686" s="106" t="n"/>
      <c r="AL686" s="106" t="n"/>
      <c r="AM686" s="106" t="n"/>
      <c r="AN686" s="114" t="n"/>
      <c r="AO686" s="115" t="n"/>
      <c r="AP686" s="112" t="n">
        <f aca="false" ca="false" dt2D="false" dtr="false" t="normal">+N686-'Приложение №2'!E686</f>
        <v>0</v>
      </c>
      <c r="AQ686" s="1" t="n">
        <v>316908.82</v>
      </c>
      <c r="AR686" s="3" t="n">
        <v>84165.3612</v>
      </c>
      <c r="AS686" s="3" t="n">
        <v>1393686</v>
      </c>
      <c r="AT686" s="9" t="n"/>
      <c r="AU686" s="9" t="n"/>
      <c r="AV686" s="9" t="n"/>
      <c r="AW686" s="186" t="n">
        <f aca="false" ca="true" dt2D="false" dtr="false" t="normal">SUBTOTAL(9, AX686:BL686)</f>
        <v>13247749.999935677</v>
      </c>
      <c r="BF686" s="106" t="n">
        <v>4736947.148066</v>
      </c>
      <c r="BH686" s="106" t="n">
        <v>8083838.60849497</v>
      </c>
      <c r="BJ686" s="106" t="n"/>
      <c r="BK686" s="114" t="n">
        <v>146599.62535876</v>
      </c>
      <c r="BL686" s="115" t="n">
        <v>280364.618015946</v>
      </c>
      <c r="BM686" s="186" t="n">
        <f aca="false" ca="true" dt2D="false" dtr="false" t="normal">SUBTOTAL(9, BN686:CB686)</f>
        <v>13247749.999935677</v>
      </c>
      <c r="BV686" s="106" t="n">
        <v>4736947.148066</v>
      </c>
      <c r="BX686" s="106" t="n">
        <v>8083838.60849497</v>
      </c>
      <c r="BZ686" s="106" t="n"/>
      <c r="CA686" s="114" t="n">
        <v>146599.62535876</v>
      </c>
      <c r="CB686" s="115" t="n">
        <v>280364.618015946</v>
      </c>
      <c r="CD686" s="116" t="e">
        <f aca="false" ca="false" dt2D="false" dtr="false" t="normal">+CD685+1</f>
        <v>#REF!</v>
      </c>
      <c r="CE686" s="117" t="e">
        <f aca="false" ca="false" dt2D="false" dtr="false" t="normal">+CE685+1</f>
        <v>#REF!</v>
      </c>
      <c r="CF686" s="104" t="s">
        <v>647</v>
      </c>
      <c r="CG686" s="252" t="s">
        <v>648</v>
      </c>
      <c r="CH686" s="232" t="n">
        <f aca="false" ca="true" dt2D="false" dtr="false" t="normal">SUBTOTAL(9, CI686:CW686)</f>
        <v>13283917.819999998</v>
      </c>
      <c r="CI686" s="106" t="n"/>
      <c r="CJ686" s="114" t="n"/>
      <c r="CK686" s="114" t="n"/>
      <c r="CL686" s="114" t="n"/>
      <c r="CM686" s="114" t="n"/>
      <c r="CN686" s="114" t="n"/>
      <c r="CO686" s="106" t="n"/>
      <c r="CP686" s="114" t="n"/>
      <c r="CQ686" s="114" t="n">
        <v>4706853.21</v>
      </c>
      <c r="CR686" s="114" t="n"/>
      <c r="CS686" s="114" t="n">
        <v>8296699.99</v>
      </c>
      <c r="CT686" s="114" t="n"/>
      <c r="CU686" s="114" t="n"/>
      <c r="CV686" s="114" t="n"/>
      <c r="CW686" s="115" t="n">
        <v>280364.62</v>
      </c>
      <c r="CX686" s="3" t="n">
        <f aca="false" ca="false" dt2D="false" dtr="false" t="normal">+N686-CH686</f>
        <v>-280364.6199999992</v>
      </c>
      <c r="CZ686" s="252" t="s">
        <v>648</v>
      </c>
      <c r="DA686" s="186" t="n">
        <f aca="false" ca="true" dt2D="false" dtr="false" t="normal">SUBTOTAL(9, DB686:DP686)</f>
        <v>13003553.2</v>
      </c>
      <c r="DB686" s="106" t="n"/>
      <c r="DC686" s="114" t="n"/>
      <c r="DD686" s="114" t="n"/>
      <c r="DE686" s="114" t="n"/>
      <c r="DF686" s="114" t="n"/>
      <c r="DG686" s="114" t="n"/>
      <c r="DH686" s="106" t="n"/>
      <c r="DI686" s="114" t="n"/>
      <c r="DJ686" s="114" t="n">
        <v>4706853.21</v>
      </c>
      <c r="DK686" s="114" t="n"/>
      <c r="DL686" s="114" t="n">
        <v>8296699.99</v>
      </c>
      <c r="DM686" s="114" t="n"/>
      <c r="DN686" s="114" t="n"/>
      <c r="DO686" s="241" t="n"/>
      <c r="DP686" s="240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</row>
    <row customFormat="true" hidden="false" ht="15" outlineLevel="0" r="687" s="1">
      <c r="A687" s="183" t="n">
        <f aca="false" ca="false" dt2D="false" dtr="false" t="normal">+A686+1</f>
        <v>665</v>
      </c>
      <c r="B687" s="117" t="n">
        <f aca="false" ca="false" dt2D="false" dtr="false" t="normal">+B686+1</f>
        <v>205</v>
      </c>
      <c r="C687" s="117" t="s">
        <v>647</v>
      </c>
      <c r="D687" s="212" t="s">
        <v>649</v>
      </c>
      <c r="E687" s="253" t="s">
        <v>457</v>
      </c>
      <c r="F687" s="253" t="n"/>
      <c r="G687" s="253" t="s">
        <v>447</v>
      </c>
      <c r="H687" s="253" t="s">
        <v>105</v>
      </c>
      <c r="I687" s="253" t="s">
        <v>187</v>
      </c>
      <c r="J687" s="212" t="n">
        <v>1154.8</v>
      </c>
      <c r="K687" s="212" t="n">
        <v>1069.2</v>
      </c>
      <c r="L687" s="212" t="n">
        <v>0</v>
      </c>
      <c r="M687" s="212" t="n">
        <v>52</v>
      </c>
      <c r="N687" s="108" t="n">
        <f aca="false" ca="false" dt2D="false" dtr="false" t="normal">SUM(P687:T687)</f>
        <v>13865435.190000001</v>
      </c>
      <c r="O687" s="212" t="n"/>
      <c r="P687" s="254" t="n">
        <v>5439138.81</v>
      </c>
      <c r="Q687" s="254" t="n">
        <v>1500000</v>
      </c>
      <c r="R687" s="244" t="n">
        <v>430314.45</v>
      </c>
      <c r="S687" s="254" t="n">
        <v>1347192.06</v>
      </c>
      <c r="T687" s="113" t="n">
        <v>5148789.87</v>
      </c>
      <c r="U687" s="114" t="n">
        <v>11976.9912303912</v>
      </c>
      <c r="V687" s="114" t="n">
        <v>11976.9912303912</v>
      </c>
      <c r="W687" s="110" t="n">
        <v>2024</v>
      </c>
      <c r="X687" s="9" t="n"/>
      <c r="Z687" s="113" t="n"/>
      <c r="AA687" s="106" t="n"/>
      <c r="AB687" s="106" t="n"/>
      <c r="AC687" s="106" t="n"/>
      <c r="AD687" s="106" t="n"/>
      <c r="AE687" s="106" t="n"/>
      <c r="AF687" s="106" t="n"/>
      <c r="AG687" s="106" t="n"/>
      <c r="AH687" s="106" t="n"/>
      <c r="AI687" s="106" t="n"/>
      <c r="AJ687" s="106" t="n"/>
      <c r="AK687" s="106" t="n"/>
      <c r="AL687" s="106" t="n"/>
      <c r="AM687" s="106" t="n"/>
      <c r="AN687" s="114" t="n"/>
      <c r="AO687" s="115" t="n"/>
      <c r="AP687" s="112" t="n">
        <f aca="false" ca="false" dt2D="false" dtr="false" t="normal">+N687-'Приложение №2'!E687</f>
        <v>0</v>
      </c>
      <c r="AQ687" s="1" t="n">
        <v>367919.13</v>
      </c>
      <c r="AR687" s="3" t="n">
        <v>81357.5664</v>
      </c>
      <c r="AS687" s="3" t="n">
        <v>1347192</v>
      </c>
      <c r="AT687" s="9" t="n"/>
      <c r="AU687" s="9" t="n"/>
      <c r="AV687" s="9" t="n"/>
      <c r="AW687" s="186" t="n">
        <f aca="false" ca="true" dt2D="false" dtr="false" t="normal">SUBTOTAL(9, AX687:BL687)</f>
        <v>12805799.023534242</v>
      </c>
      <c r="BF687" s="106" t="n">
        <v>4578920.43279284</v>
      </c>
      <c r="BH687" s="106" t="n">
        <v>7814158.06907407</v>
      </c>
      <c r="BJ687" s="106" t="n"/>
      <c r="BK687" s="114" t="n">
        <v>141708.995057939</v>
      </c>
      <c r="BL687" s="115" t="n">
        <v>271011.526609393</v>
      </c>
      <c r="BM687" s="186" t="n">
        <f aca="false" ca="true" dt2D="false" dtr="false" t="normal">SUBTOTAL(9, BN687:CB687)</f>
        <v>12805799.023534242</v>
      </c>
      <c r="BV687" s="106" t="n">
        <v>4578920.43279284</v>
      </c>
      <c r="BX687" s="106" t="n">
        <v>7814158.06907407</v>
      </c>
      <c r="BZ687" s="106" t="n"/>
      <c r="CA687" s="114" t="n">
        <v>141708.995057939</v>
      </c>
      <c r="CB687" s="115" t="n">
        <v>271011.526609393</v>
      </c>
      <c r="CD687" s="116" t="e">
        <f aca="false" ca="false" dt2D="false" dtr="false" t="normal">+CD686+1</f>
        <v>#REF!</v>
      </c>
      <c r="CE687" s="117" t="e">
        <f aca="false" ca="false" dt2D="false" dtr="false" t="normal">+CE686+1</f>
        <v>#REF!</v>
      </c>
      <c r="CF687" s="104" t="s">
        <v>647</v>
      </c>
      <c r="CG687" s="255" t="s">
        <v>649</v>
      </c>
      <c r="CH687" s="232" t="n">
        <f aca="false" ca="true" dt2D="false" dtr="false" t="normal">SUBTOTAL(9, CI687:CW687)</f>
        <v>14136446.719999999</v>
      </c>
      <c r="CI687" s="106" t="n"/>
      <c r="CJ687" s="114" t="n"/>
      <c r="CK687" s="114" t="n"/>
      <c r="CL687" s="114" t="n"/>
      <c r="CM687" s="114" t="n"/>
      <c r="CN687" s="114" t="n"/>
      <c r="CO687" s="106" t="n"/>
      <c r="CP687" s="114" t="n"/>
      <c r="CQ687" s="114" t="n">
        <v>5086438.15</v>
      </c>
      <c r="CR687" s="114" t="n"/>
      <c r="CS687" s="243" t="n">
        <v>8778997.04</v>
      </c>
      <c r="CT687" s="114" t="n"/>
      <c r="CU687" s="114" t="n"/>
      <c r="CV687" s="114" t="n"/>
      <c r="CW687" s="115" t="n">
        <v>271011.53</v>
      </c>
      <c r="CX687" s="3" t="n">
        <f aca="false" ca="false" dt2D="false" dtr="false" t="normal">+N687-CH687</f>
        <v>-271011.52999999747</v>
      </c>
      <c r="CZ687" s="255" t="s">
        <v>649</v>
      </c>
      <c r="DA687" s="186" t="n">
        <f aca="false" ca="true" dt2D="false" dtr="false" t="normal">SUBTOTAL(9, DB687:DP687)</f>
        <v>13865435.19</v>
      </c>
      <c r="DB687" s="106" t="n"/>
      <c r="DC687" s="114" t="n"/>
      <c r="DD687" s="114" t="n"/>
      <c r="DE687" s="114" t="n"/>
      <c r="DF687" s="114" t="n"/>
      <c r="DG687" s="114" t="n"/>
      <c r="DH687" s="106" t="n"/>
      <c r="DI687" s="114" t="n"/>
      <c r="DJ687" s="114" t="n">
        <v>5086438.15</v>
      </c>
      <c r="DK687" s="114" t="n"/>
      <c r="DL687" s="243" t="n">
        <v>8778997.04</v>
      </c>
      <c r="DM687" s="114" t="n"/>
      <c r="DN687" s="114" t="n"/>
      <c r="DO687" s="241" t="n"/>
      <c r="DP687" s="240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</row>
    <row customFormat="true" hidden="false" ht="15" outlineLevel="0" r="688" s="1">
      <c r="A688" s="183" t="n">
        <f aca="false" ca="false" dt2D="false" dtr="false" t="normal">+A687+1</f>
        <v>666</v>
      </c>
      <c r="B688" s="117" t="n">
        <f aca="false" ca="false" dt2D="false" dtr="false" t="normal">+B687+1</f>
        <v>206</v>
      </c>
      <c r="C688" s="117" t="s">
        <v>647</v>
      </c>
      <c r="D688" s="191" t="s">
        <v>650</v>
      </c>
      <c r="E688" s="256" t="s">
        <v>103</v>
      </c>
      <c r="F688" s="256" t="n"/>
      <c r="G688" s="201" t="s">
        <v>447</v>
      </c>
      <c r="H688" s="256" t="s">
        <v>105</v>
      </c>
      <c r="I688" s="256" t="s">
        <v>148</v>
      </c>
      <c r="J688" s="191" t="n">
        <v>1147.5</v>
      </c>
      <c r="K688" s="191" t="n">
        <v>1147.5</v>
      </c>
      <c r="L688" s="191" t="n">
        <v>0</v>
      </c>
      <c r="M688" s="191" t="n">
        <v>39</v>
      </c>
      <c r="N688" s="108" t="n">
        <f aca="false" ca="false" dt2D="false" dtr="false" t="normal">SUM(P688:T688)</f>
        <v>13562505.36</v>
      </c>
      <c r="O688" s="191" t="n"/>
      <c r="P688" s="114" t="n"/>
      <c r="Q688" s="137" t="n"/>
      <c r="R688" s="244" t="n">
        <v>189992.46</v>
      </c>
      <c r="S688" s="136" t="n">
        <v>1445850</v>
      </c>
      <c r="T688" s="113" t="n">
        <v>11926662.9</v>
      </c>
      <c r="U688" s="114" t="n">
        <v>11976.9912303912</v>
      </c>
      <c r="V688" s="114" t="n">
        <v>11976.9912303912</v>
      </c>
      <c r="W688" s="110" t="n">
        <v>2024</v>
      </c>
      <c r="X688" s="9" t="n"/>
      <c r="Z688" s="113" t="n"/>
      <c r="AA688" s="106" t="n"/>
      <c r="AB688" s="106" t="n"/>
      <c r="AC688" s="106" t="n"/>
      <c r="AD688" s="106" t="n"/>
      <c r="AE688" s="106" t="n"/>
      <c r="AF688" s="106" t="n"/>
      <c r="AG688" s="106" t="n"/>
      <c r="AH688" s="106" t="n"/>
      <c r="AI688" s="106" t="n"/>
      <c r="AJ688" s="106" t="n"/>
      <c r="AK688" s="106" t="n"/>
      <c r="AL688" s="106" t="n"/>
      <c r="AM688" s="106" t="n"/>
      <c r="AN688" s="114" t="n"/>
      <c r="AO688" s="115" t="n"/>
      <c r="AP688" s="112" t="n">
        <f aca="false" ca="false" dt2D="false" dtr="false" t="normal">+N688-'Приложение №2'!E688</f>
        <v>0</v>
      </c>
      <c r="AQ688" s="1" t="n">
        <v>316983.67</v>
      </c>
      <c r="AR688" s="3" t="n">
        <v>87315.57</v>
      </c>
      <c r="AS688" s="3" t="n">
        <v>1445850</v>
      </c>
      <c r="AT688" s="9" t="n"/>
      <c r="AU688" s="9" t="n"/>
      <c r="AV688" s="9" t="n"/>
      <c r="AW688" s="186" t="n">
        <f aca="false" ca="true" dt2D="false" dtr="false" t="normal">SUBTOTAL(9, AX688:BL688)</f>
        <v>13743597.436873877</v>
      </c>
      <c r="BF688" s="106" t="n">
        <v>4914245.41398222</v>
      </c>
      <c r="BH688" s="106" t="n">
        <v>8386407.01857697</v>
      </c>
      <c r="BJ688" s="106" t="n"/>
      <c r="BK688" s="114" t="n">
        <v>152086.67398895</v>
      </c>
      <c r="BL688" s="115" t="n">
        <v>290858.330325737</v>
      </c>
      <c r="BM688" s="186" t="n">
        <f aca="false" ca="true" dt2D="false" dtr="false" t="normal">SUBTOTAL(9, BN688:CB688)</f>
        <v>13743597.436873877</v>
      </c>
      <c r="BV688" s="106" t="n">
        <v>4914245.41398222</v>
      </c>
      <c r="BX688" s="106" t="n">
        <v>8386407.01857697</v>
      </c>
      <c r="BZ688" s="106" t="n"/>
      <c r="CA688" s="114" t="n">
        <v>152086.67398895</v>
      </c>
      <c r="CB688" s="115" t="n">
        <v>290858.330325737</v>
      </c>
      <c r="CD688" s="116" t="e">
        <f aca="false" ca="false" dt2D="false" dtr="false" t="normal">+CD687+1</f>
        <v>#REF!</v>
      </c>
      <c r="CE688" s="117" t="e">
        <f aca="false" ca="false" dt2D="false" dtr="false" t="normal">+CE687+1</f>
        <v>#REF!</v>
      </c>
      <c r="CF688" s="104" t="s">
        <v>647</v>
      </c>
      <c r="CG688" s="257" t="s">
        <v>650</v>
      </c>
      <c r="CH688" s="232" t="n">
        <f aca="false" ca="true" dt2D="false" dtr="false" t="normal">SUBTOTAL(9, CI688:CW688)</f>
        <v>13853363.69</v>
      </c>
      <c r="CI688" s="106" t="n"/>
      <c r="CJ688" s="114" t="n"/>
      <c r="CK688" s="114" t="n"/>
      <c r="CL688" s="114" t="n"/>
      <c r="CM688" s="114" t="n"/>
      <c r="CN688" s="114" t="n"/>
      <c r="CO688" s="106" t="n"/>
      <c r="CP688" s="114" t="n"/>
      <c r="CQ688" s="114" t="n">
        <v>5031838.62</v>
      </c>
      <c r="CR688" s="114" t="n"/>
      <c r="CS688" s="114" t="n">
        <v>8530666.74</v>
      </c>
      <c r="CT688" s="114" t="n"/>
      <c r="CU688" s="114" t="n"/>
      <c r="CV688" s="114" t="n"/>
      <c r="CW688" s="115" t="n">
        <v>290858.33</v>
      </c>
      <c r="CX688" s="3" t="n">
        <f aca="false" ca="false" dt2D="false" dtr="false" t="normal">+N688-CH688</f>
        <v>-290858.3300000001</v>
      </c>
      <c r="CZ688" s="257" t="s">
        <v>650</v>
      </c>
      <c r="DA688" s="186" t="n">
        <f aca="false" ca="true" dt2D="false" dtr="false" t="normal">SUBTOTAL(9, DB688:DP688)</f>
        <v>13562505.36</v>
      </c>
      <c r="DB688" s="106" t="n"/>
      <c r="DC688" s="114" t="n"/>
      <c r="DD688" s="114" t="n"/>
      <c r="DE688" s="114" t="n"/>
      <c r="DF688" s="114" t="n"/>
      <c r="DG688" s="114" t="n"/>
      <c r="DH688" s="106" t="n"/>
      <c r="DI688" s="114" t="n"/>
      <c r="DJ688" s="114" t="n">
        <v>5031838.62</v>
      </c>
      <c r="DK688" s="114" t="n"/>
      <c r="DL688" s="114" t="n">
        <v>8530666.74</v>
      </c>
      <c r="DM688" s="114" t="n"/>
      <c r="DN688" s="114" t="n"/>
      <c r="DO688" s="241" t="n"/>
      <c r="DP688" s="240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</row>
    <row customFormat="true" hidden="false" ht="15" outlineLevel="0" r="689" s="1">
      <c r="A689" s="183" t="n">
        <f aca="false" ca="false" dt2D="false" dtr="false" t="normal">+A688+1</f>
        <v>667</v>
      </c>
      <c r="B689" s="117" t="n">
        <f aca="false" ca="false" dt2D="false" dtr="false" t="normal">+B688+1</f>
        <v>207</v>
      </c>
      <c r="C689" s="117" t="s">
        <v>396</v>
      </c>
      <c r="D689" s="117" t="s">
        <v>651</v>
      </c>
      <c r="E689" s="201" t="n">
        <v>1964</v>
      </c>
      <c r="F689" s="201" t="n">
        <v>1964</v>
      </c>
      <c r="G689" s="201" t="s">
        <v>68</v>
      </c>
      <c r="H689" s="201" t="n">
        <v>2</v>
      </c>
      <c r="I689" s="201" t="n">
        <v>2</v>
      </c>
      <c r="J689" s="114" t="n">
        <v>660.09</v>
      </c>
      <c r="K689" s="114" t="n">
        <v>608.58</v>
      </c>
      <c r="L689" s="114" t="n">
        <v>0</v>
      </c>
      <c r="M689" s="202" t="n">
        <v>32</v>
      </c>
      <c r="N689" s="108" t="n">
        <f aca="false" ca="false" dt2D="false" dtr="false" t="normal">SUM(P689:T689)</f>
        <v>607107.5800000001</v>
      </c>
      <c r="O689" s="114" t="n"/>
      <c r="P689" s="114" t="n"/>
      <c r="Q689" s="114" t="n"/>
      <c r="R689" s="113" t="n">
        <v>444434.77</v>
      </c>
      <c r="S689" s="113" t="n">
        <v>162672.81</v>
      </c>
      <c r="T689" s="114" t="n"/>
      <c r="U689" s="114" t="n">
        <v>1019.39562469244</v>
      </c>
      <c r="V689" s="114" t="n">
        <v>1345.283020064</v>
      </c>
      <c r="W689" s="110" t="n">
        <v>2024</v>
      </c>
      <c r="X689" s="9" t="e">
        <f aca="false" ca="false" dt2D="false" dtr="false" t="normal">+#REF!-'[9]Приложение №1'!$P738</f>
        <v>#REF!</v>
      </c>
      <c r="Z689" s="113" t="n">
        <f aca="false" ca="false" dt2D="false" dtr="false" t="normal">SUM(AA689:AO689)</f>
        <v>4551398.539999999</v>
      </c>
      <c r="AA689" s="106" t="n">
        <v>1783504.60656186</v>
      </c>
      <c r="AB689" s="106" t="n">
        <v>1085237.2512912</v>
      </c>
      <c r="AC689" s="106" t="n">
        <v>511364.19748848</v>
      </c>
      <c r="AD689" s="106" t="n">
        <v>435798.11897832</v>
      </c>
      <c r="AE689" s="106" t="n">
        <v>0</v>
      </c>
      <c r="AF689" s="106" t="n"/>
      <c r="AG689" s="106" t="n">
        <v>189558.68370852</v>
      </c>
      <c r="AH689" s="106" t="n">
        <v>0</v>
      </c>
      <c r="AI689" s="106" t="n">
        <v>0</v>
      </c>
      <c r="AJ689" s="106" t="n">
        <v>0</v>
      </c>
      <c r="AK689" s="106" t="n">
        <v>0</v>
      </c>
      <c r="AL689" s="106" t="n">
        <v>0</v>
      </c>
      <c r="AM689" s="106" t="n">
        <v>412830.3363</v>
      </c>
      <c r="AN689" s="114" t="n">
        <v>45513.9854</v>
      </c>
      <c r="AO689" s="115" t="n">
        <v>87591.36027162</v>
      </c>
      <c r="AP689" s="112" t="n">
        <f aca="false" ca="false" dt2D="false" dtr="false" t="normal">+N689-'Приложение №2'!E689</f>
        <v>0</v>
      </c>
      <c r="AQ689" s="121" t="n">
        <v>379255.85</v>
      </c>
      <c r="AR689" s="3" t="n">
        <f aca="false" ca="false" dt2D="false" dtr="false" t="normal">+(K689*10.5+L689*21)*12*0.85</f>
        <v>65178.918</v>
      </c>
      <c r="AS689" s="3" t="n">
        <f aca="false" ca="false" dt2D="false" dtr="false" t="normal">+(K689*10.5+L689*21)*12*30</f>
        <v>2300432.4</v>
      </c>
      <c r="AT689" s="9" t="n">
        <f aca="false" ca="false" dt2D="false" dtr="false" t="normal">+S689-AS689</f>
        <v>-2137759.59</v>
      </c>
      <c r="AU689" s="9" t="e">
        <f aca="false" ca="false" dt2D="false" dtr="false" t="normal">+P689-'[5]Приложение №1'!$P625</f>
        <v>#REF!</v>
      </c>
      <c r="AV689" s="9" t="e">
        <f aca="false" ca="false" dt2D="false" dtr="false" t="normal">+Q689-'[5]Приложение №1'!$Q625</f>
        <v>#REF!</v>
      </c>
      <c r="AW689" s="186" t="n">
        <f aca="false" ca="true" dt2D="false" dtr="false" t="normal">SUBTOTAL(9, AX689:BL689)</f>
        <v>620383.7892753229</v>
      </c>
      <c r="AX689" s="106" t="n"/>
      <c r="AY689" s="106" t="n"/>
      <c r="AZ689" s="106" t="n">
        <v>607107.576184831</v>
      </c>
      <c r="BA689" s="106" t="n"/>
      <c r="BB689" s="106" t="n"/>
      <c r="BC689" s="106" t="n"/>
      <c r="BD689" s="106" t="n"/>
      <c r="BE689" s="106" t="n">
        <v>0</v>
      </c>
      <c r="BF689" s="106" t="n">
        <v>0</v>
      </c>
      <c r="BG689" s="106" t="n">
        <v>0</v>
      </c>
      <c r="BH689" s="106" t="n">
        <v>0</v>
      </c>
      <c r="BI689" s="106" t="n">
        <v>0</v>
      </c>
      <c r="BJ689" s="106" t="n"/>
      <c r="BK689" s="114" t="n"/>
      <c r="BL689" s="115" t="n">
        <v>13276.2130904919</v>
      </c>
      <c r="BM689" s="186" t="n">
        <f aca="false" ca="true" dt2D="false" dtr="false" t="normal">SUBTOTAL(9, BN689:CB689)</f>
        <v>620383.7892753229</v>
      </c>
      <c r="BN689" s="106" t="n"/>
      <c r="BO689" s="106" t="n"/>
      <c r="BP689" s="106" t="n">
        <v>607107.576184831</v>
      </c>
      <c r="BQ689" s="106" t="n"/>
      <c r="BR689" s="106" t="n"/>
      <c r="BS689" s="106" t="n"/>
      <c r="BT689" s="106" t="n"/>
      <c r="BU689" s="106" t="n">
        <v>0</v>
      </c>
      <c r="BV689" s="106" t="n">
        <v>0</v>
      </c>
      <c r="BW689" s="106" t="n">
        <v>0</v>
      </c>
      <c r="BX689" s="106" t="n">
        <v>0</v>
      </c>
      <c r="BY689" s="106" t="n">
        <v>0</v>
      </c>
      <c r="BZ689" s="106" t="n"/>
      <c r="CA689" s="114" t="n"/>
      <c r="CB689" s="115" t="n">
        <v>13276.2130904919</v>
      </c>
      <c r="CD689" s="116" t="e">
        <f aca="false" ca="false" dt2D="false" dtr="false" t="normal">+CD688+1</f>
        <v>#REF!</v>
      </c>
      <c r="CE689" s="117" t="e">
        <f aca="false" ca="false" dt2D="false" dtr="false" t="normal">+CE688+1</f>
        <v>#REF!</v>
      </c>
      <c r="CF689" s="104" t="s">
        <v>396</v>
      </c>
      <c r="CG689" s="104" t="s">
        <v>651</v>
      </c>
      <c r="CH689" s="232" t="n">
        <f aca="false" ca="true" dt2D="false" dtr="false" t="normal">SUBTOTAL(9, CI689:CW689)</f>
        <v>620383.7899999999</v>
      </c>
      <c r="CI689" s="106" t="n"/>
      <c r="CJ689" s="114" t="n"/>
      <c r="CK689" s="114" t="n">
        <v>607107.58</v>
      </c>
      <c r="CL689" s="114" t="n"/>
      <c r="CM689" s="114" t="n"/>
      <c r="CN689" s="114" t="n"/>
      <c r="CO689" s="106" t="n"/>
      <c r="CP689" s="114" t="n">
        <v>0</v>
      </c>
      <c r="CQ689" s="114" t="n">
        <v>0</v>
      </c>
      <c r="CR689" s="114" t="n">
        <v>0</v>
      </c>
      <c r="CS689" s="114" t="n">
        <v>0</v>
      </c>
      <c r="CT689" s="114" t="n">
        <v>0</v>
      </c>
      <c r="CU689" s="114" t="n"/>
      <c r="CV689" s="114" t="n"/>
      <c r="CW689" s="115" t="n">
        <v>13276.21</v>
      </c>
      <c r="CX689" s="3" t="n">
        <f aca="false" ca="false" dt2D="false" dtr="false" t="normal">+N689-CH689</f>
        <v>-13276.209999999846</v>
      </c>
      <c r="CZ689" s="104" t="s">
        <v>651</v>
      </c>
      <c r="DA689" s="186" t="n">
        <f aca="false" ca="true" dt2D="false" dtr="false" t="normal">SUBTOTAL(9, DB689:DP689)</f>
        <v>607107.58</v>
      </c>
      <c r="DB689" s="106" t="n"/>
      <c r="DC689" s="114" t="n"/>
      <c r="DD689" s="114" t="n">
        <v>607107.58</v>
      </c>
      <c r="DE689" s="114" t="n"/>
      <c r="DF689" s="114" t="n"/>
      <c r="DG689" s="114" t="n"/>
      <c r="DH689" s="106" t="n"/>
      <c r="DI689" s="114" t="n">
        <v>0</v>
      </c>
      <c r="DJ689" s="114" t="n">
        <v>0</v>
      </c>
      <c r="DK689" s="114" t="n">
        <v>0</v>
      </c>
      <c r="DL689" s="114" t="n">
        <v>0</v>
      </c>
      <c r="DM689" s="114" t="n">
        <v>0</v>
      </c>
      <c r="DN689" s="114" t="n"/>
      <c r="DO689" s="114" t="n"/>
      <c r="DP689" s="240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</row>
    <row customFormat="true" hidden="false" ht="15" outlineLevel="0" r="690" s="1">
      <c r="A690" s="183" t="n">
        <f aca="false" ca="false" dt2D="false" dtr="false" t="normal">+A689+1</f>
        <v>668</v>
      </c>
      <c r="B690" s="117" t="n">
        <f aca="false" ca="false" dt2D="false" dtr="false" t="normal">+B689+1</f>
        <v>208</v>
      </c>
      <c r="C690" s="117" t="s">
        <v>207</v>
      </c>
      <c r="D690" s="117" t="s">
        <v>652</v>
      </c>
      <c r="E690" s="201" t="n">
        <v>1981</v>
      </c>
      <c r="F690" s="201" t="n">
        <v>2010</v>
      </c>
      <c r="G690" s="201" t="s">
        <v>68</v>
      </c>
      <c r="H690" s="201" t="n">
        <v>2</v>
      </c>
      <c r="I690" s="201" t="n">
        <v>2</v>
      </c>
      <c r="J690" s="114" t="n">
        <v>774.6</v>
      </c>
      <c r="K690" s="114" t="n">
        <v>714.53</v>
      </c>
      <c r="L690" s="114" t="n">
        <v>0</v>
      </c>
      <c r="M690" s="202" t="n">
        <v>28</v>
      </c>
      <c r="N690" s="108" t="n">
        <f aca="false" ca="false" dt2D="false" dtr="false" t="normal">SUM(P690:T690)</f>
        <v>1320268.99</v>
      </c>
      <c r="O690" s="114" t="n"/>
      <c r="P690" s="113" t="n">
        <v>159752.55</v>
      </c>
      <c r="Q690" s="114" t="n"/>
      <c r="R690" s="113" t="n">
        <v>172955.23</v>
      </c>
      <c r="S690" s="113" t="n">
        <v>987561.21</v>
      </c>
      <c r="T690" s="113" t="n"/>
      <c r="U690" s="114" t="n">
        <v>5821.40669592232</v>
      </c>
      <c r="V690" s="114" t="n">
        <v>1346.283020064</v>
      </c>
      <c r="W690" s="110" t="n">
        <v>2024</v>
      </c>
      <c r="X690" s="9" t="e">
        <f aca="false" ca="false" dt2D="false" dtr="false" t="normal">+#REF!-'[9]Приложение №1'!$P741</f>
        <v>#REF!</v>
      </c>
      <c r="Z690" s="113" t="n">
        <f aca="false" ca="false" dt2D="false" dtr="false" t="normal">SUM(AA690:AO690)</f>
        <v>3874188.8</v>
      </c>
      <c r="AA690" s="106" t="n">
        <v>2090429.35269168</v>
      </c>
      <c r="AB690" s="106" t="n">
        <v>0</v>
      </c>
      <c r="AC690" s="106" t="n">
        <v>599365.27642446</v>
      </c>
      <c r="AD690" s="106" t="n">
        <v>510794.96876772</v>
      </c>
      <c r="AE690" s="106" t="n">
        <v>0</v>
      </c>
      <c r="AF690" s="106" t="n"/>
      <c r="AG690" s="106" t="n">
        <v>222179.99235768</v>
      </c>
      <c r="AH690" s="106" t="n">
        <v>0</v>
      </c>
      <c r="AI690" s="106" t="n">
        <v>0</v>
      </c>
      <c r="AJ690" s="106" t="n">
        <v>0</v>
      </c>
      <c r="AK690" s="106" t="n">
        <v>0</v>
      </c>
      <c r="AL690" s="106" t="n">
        <v>0</v>
      </c>
      <c r="AM690" s="106" t="n">
        <v>337828.2831</v>
      </c>
      <c r="AN690" s="114" t="n">
        <v>38741.888</v>
      </c>
      <c r="AO690" s="115" t="n">
        <v>74849.03865846</v>
      </c>
      <c r="AP690" s="112" t="n">
        <f aca="false" ca="false" dt2D="false" dtr="false" t="normal">+N690-'Приложение №2'!E690</f>
        <v>0</v>
      </c>
      <c r="AQ690" s="121" t="n">
        <v>468381.67</v>
      </c>
      <c r="AR690" s="3" t="n">
        <f aca="false" ca="false" dt2D="false" dtr="false" t="normal">+(K690*10.5+L690*21)*12*0.85</f>
        <v>76526.163</v>
      </c>
      <c r="AS690" s="3" t="n">
        <f aca="false" ca="false" dt2D="false" dtr="false" t="normal">+(K690*10.5+L690*21)*12*30</f>
        <v>2700923.4</v>
      </c>
      <c r="AT690" s="9" t="n">
        <f aca="false" ca="false" dt2D="false" dtr="false" t="normal">+S690-AS690</f>
        <v>-1713362.19</v>
      </c>
      <c r="AU690" s="9" t="e">
        <f aca="false" ca="false" dt2D="false" dtr="false" t="normal">+P690-'[5]Приложение №1'!$P626</f>
        <v>#REF!</v>
      </c>
      <c r="AV690" s="9" t="e">
        <f aca="false" ca="false" dt2D="false" dtr="false" t="normal">+Q690-'[5]Приложение №1'!$Q626</f>
        <v>#REF!</v>
      </c>
      <c r="AW690" s="186" t="n">
        <f aca="false" ca="true" dt2D="false" dtr="false" t="normal">SUBTOTAL(9, AX690:BL690)</f>
        <v>4159569.726437377</v>
      </c>
      <c r="AX690" s="106" t="n">
        <v>2486057.12100433</v>
      </c>
      <c r="AY690" s="106" t="n">
        <v>0</v>
      </c>
      <c r="AZ690" s="106" t="n">
        <v>712801.236339261</v>
      </c>
      <c r="BA690" s="106" t="n">
        <v>607467.747861974</v>
      </c>
      <c r="BB690" s="106" t="n">
        <v>0</v>
      </c>
      <c r="BC690" s="106" t="n"/>
      <c r="BD690" s="106" t="n">
        <v>264228.829086052</v>
      </c>
      <c r="BE690" s="106" t="n">
        <v>0</v>
      </c>
      <c r="BF690" s="106" t="n">
        <v>0</v>
      </c>
      <c r="BG690" s="106" t="n">
        <v>0</v>
      </c>
      <c r="BH690" s="106" t="n">
        <v>0</v>
      </c>
      <c r="BI690" s="106" t="n">
        <v>0</v>
      </c>
      <c r="BJ690" s="106" t="n"/>
      <c r="BK690" s="114" t="n"/>
      <c r="BL690" s="115" t="n">
        <v>89014.7921457598</v>
      </c>
      <c r="BM690" s="186" t="n">
        <f aca="false" ca="true" dt2D="false" dtr="false" t="normal">SUBTOTAL(9, BN690:CB690)</f>
        <v>4159569.726437377</v>
      </c>
      <c r="BN690" s="106" t="n">
        <v>2486057.12100433</v>
      </c>
      <c r="BO690" s="106" t="n">
        <v>0</v>
      </c>
      <c r="BP690" s="106" t="n">
        <v>712801.236339261</v>
      </c>
      <c r="BQ690" s="106" t="n">
        <v>607467.747861974</v>
      </c>
      <c r="BR690" s="106" t="n">
        <v>0</v>
      </c>
      <c r="BS690" s="106" t="n"/>
      <c r="BT690" s="106" t="n">
        <v>264228.829086052</v>
      </c>
      <c r="BU690" s="106" t="n">
        <v>0</v>
      </c>
      <c r="BV690" s="106" t="n">
        <v>0</v>
      </c>
      <c r="BW690" s="106" t="n">
        <v>0</v>
      </c>
      <c r="BX690" s="106" t="n">
        <v>0</v>
      </c>
      <c r="BY690" s="106" t="n">
        <v>0</v>
      </c>
      <c r="BZ690" s="106" t="n"/>
      <c r="CA690" s="114" t="n"/>
      <c r="CB690" s="115" t="n">
        <v>89014.7921457598</v>
      </c>
      <c r="CD690" s="116" t="e">
        <f aca="false" ca="false" dt2D="false" dtr="false" t="normal">+CD689+1</f>
        <v>#REF!</v>
      </c>
      <c r="CE690" s="117" t="e">
        <f aca="false" ca="false" dt2D="false" dtr="false" t="normal">+CE689+1</f>
        <v>#REF!</v>
      </c>
      <c r="CF690" s="104" t="s">
        <v>207</v>
      </c>
      <c r="CG690" s="104" t="s">
        <v>652</v>
      </c>
      <c r="CH690" s="232" t="n">
        <f aca="false" ca="true" dt2D="false" dtr="false" t="normal">SUBTOTAL(9, CI690:CW690)</f>
        <v>1409283.78</v>
      </c>
      <c r="CI690" s="106" t="n"/>
      <c r="CJ690" s="114" t="n">
        <v>0</v>
      </c>
      <c r="CK690" s="114" t="n">
        <v>712801.24</v>
      </c>
      <c r="CL690" s="114" t="n">
        <v>607467.75</v>
      </c>
      <c r="CM690" s="114" t="n">
        <v>0</v>
      </c>
      <c r="CN690" s="114" t="n"/>
      <c r="CO690" s="106" t="n"/>
      <c r="CP690" s="114" t="n">
        <v>0</v>
      </c>
      <c r="CQ690" s="114" t="n">
        <v>0</v>
      </c>
      <c r="CR690" s="114" t="n">
        <v>0</v>
      </c>
      <c r="CS690" s="114" t="n">
        <v>0</v>
      </c>
      <c r="CT690" s="114" t="n">
        <v>0</v>
      </c>
      <c r="CU690" s="114" t="n"/>
      <c r="CV690" s="114" t="n"/>
      <c r="CW690" s="115" t="n">
        <v>89014.79</v>
      </c>
      <c r="CX690" s="3" t="n">
        <f aca="false" ca="false" dt2D="false" dtr="false" t="normal">+N690-CH690</f>
        <v>-89014.79000000004</v>
      </c>
      <c r="CZ690" s="104" t="s">
        <v>652</v>
      </c>
      <c r="DA690" s="186" t="n">
        <f aca="false" ca="true" dt2D="false" dtr="false" t="normal">SUBTOTAL(9, DB690:DP690)</f>
        <v>1320268.99</v>
      </c>
      <c r="DB690" s="106" t="n"/>
      <c r="DC690" s="114" t="n">
        <v>0</v>
      </c>
      <c r="DD690" s="114" t="n">
        <v>712801.24</v>
      </c>
      <c r="DE690" s="114" t="n">
        <v>607467.75</v>
      </c>
      <c r="DF690" s="114" t="n">
        <v>0</v>
      </c>
      <c r="DG690" s="114" t="n"/>
      <c r="DH690" s="106" t="n"/>
      <c r="DI690" s="114" t="n">
        <v>0</v>
      </c>
      <c r="DJ690" s="114" t="n">
        <v>0</v>
      </c>
      <c r="DK690" s="114" t="n">
        <v>0</v>
      </c>
      <c r="DL690" s="114" t="n">
        <v>0</v>
      </c>
      <c r="DM690" s="114" t="n">
        <v>0</v>
      </c>
      <c r="DN690" s="114" t="n"/>
      <c r="DO690" s="114" t="n"/>
      <c r="DP690" s="240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</row>
    <row customFormat="true" hidden="false" ht="15" outlineLevel="0" r="691" s="1">
      <c r="A691" s="183" t="n">
        <f aca="false" ca="false" dt2D="false" dtr="false" t="normal">+A690+1</f>
        <v>669</v>
      </c>
      <c r="B691" s="117" t="n">
        <f aca="false" ca="false" dt2D="false" dtr="false" t="normal">+B690+1</f>
        <v>209</v>
      </c>
      <c r="C691" s="117" t="s">
        <v>207</v>
      </c>
      <c r="D691" s="117" t="s">
        <v>208</v>
      </c>
      <c r="E691" s="201" t="n">
        <v>1983</v>
      </c>
      <c r="F691" s="201" t="n">
        <v>1983</v>
      </c>
      <c r="G691" s="201" t="s">
        <v>68</v>
      </c>
      <c r="H691" s="201" t="n">
        <v>2</v>
      </c>
      <c r="I691" s="201" t="n">
        <v>2</v>
      </c>
      <c r="J691" s="114" t="n">
        <v>910.77</v>
      </c>
      <c r="K691" s="114" t="n">
        <v>841.26</v>
      </c>
      <c r="L691" s="114" t="n">
        <v>0</v>
      </c>
      <c r="M691" s="202" t="n">
        <v>34</v>
      </c>
      <c r="N691" s="108" t="n">
        <f aca="false" ca="false" dt2D="false" dtr="false" t="normal">SUM(P691:T691)</f>
        <v>839224.62</v>
      </c>
      <c r="O691" s="114" t="n"/>
      <c r="P691" s="113" t="n">
        <v>292805.47</v>
      </c>
      <c r="Q691" s="114" t="n"/>
      <c r="R691" s="113" t="n">
        <v>187044.89</v>
      </c>
      <c r="S691" s="113" t="n">
        <v>359374.26</v>
      </c>
      <c r="T691" s="114" t="n"/>
      <c r="U691" s="114" t="n">
        <v>1019.39562469244</v>
      </c>
      <c r="V691" s="114" t="n">
        <v>1347.283020064</v>
      </c>
      <c r="W691" s="110" t="n">
        <v>2024</v>
      </c>
      <c r="X691" s="9" t="e">
        <f aca="false" ca="false" dt2D="false" dtr="false" t="normal">+#REF!-'[9]Приложение №1'!$P1219</f>
        <v>#REF!</v>
      </c>
      <c r="Z691" s="113" t="n">
        <f aca="false" ca="false" dt2D="false" dtr="false" t="normal">SUM(AA691:AO691)</f>
        <v>6295969.41</v>
      </c>
      <c r="AA691" s="106" t="n">
        <v>2467129.67841522</v>
      </c>
      <c r="AB691" s="106" t="n">
        <v>1501213.4170404</v>
      </c>
      <c r="AC691" s="106" t="n">
        <v>707372.31680262</v>
      </c>
      <c r="AD691" s="106" t="n">
        <v>602841.43419444</v>
      </c>
      <c r="AE691" s="106" t="n">
        <v>0</v>
      </c>
      <c r="AF691" s="106" t="n"/>
      <c r="AG691" s="106" t="n">
        <v>262217.35903776</v>
      </c>
      <c r="AH691" s="106" t="n">
        <v>0</v>
      </c>
      <c r="AI691" s="106" t="n">
        <v>0</v>
      </c>
      <c r="AJ691" s="106" t="n">
        <v>0</v>
      </c>
      <c r="AK691" s="106" t="n">
        <v>0</v>
      </c>
      <c r="AL691" s="106" t="n">
        <v>0</v>
      </c>
      <c r="AM691" s="106" t="n">
        <v>571070.0005</v>
      </c>
      <c r="AN691" s="114" t="n">
        <v>62959.6941</v>
      </c>
      <c r="AO691" s="115" t="n">
        <v>121165.50990956</v>
      </c>
      <c r="AP691" s="112" t="n">
        <f aca="false" ca="false" dt2D="false" dtr="false" t="normal">+N691-'Приложение №2'!E691</f>
        <v>0</v>
      </c>
      <c r="AQ691" s="9" t="n">
        <f aca="false" ca="false" dt2D="false" dtr="false" t="normal">490264.08-R139</f>
        <v>96945.94</v>
      </c>
      <c r="AR691" s="3" t="n">
        <f aca="false" ca="false" dt2D="false" dtr="false" t="normal">+(K691*10.5+L691*21)*12*0.85</f>
        <v>90098.946</v>
      </c>
      <c r="AS691" s="3" t="n">
        <f aca="false" ca="false" dt2D="false" dtr="false" t="normal">+(K691*10.5+L691*21)*12*30-S139</f>
        <v>2654968.8899999997</v>
      </c>
      <c r="AT691" s="9" t="n">
        <f aca="false" ca="false" dt2D="false" dtr="false" t="normal">+S691-AS691</f>
        <v>-2295594.63</v>
      </c>
      <c r="AU691" s="9" t="e">
        <f aca="false" ca="false" dt2D="false" dtr="false" t="normal">+P691-'[5]Приложение №1'!$P627</f>
        <v>#REF!</v>
      </c>
      <c r="AV691" s="9" t="e">
        <f aca="false" ca="false" dt2D="false" dtr="false" t="normal">+Q691-'[5]Приложение №1'!$Q627</f>
        <v>#REF!</v>
      </c>
      <c r="AW691" s="186" t="n">
        <f aca="false" ca="true" dt2D="false" dtr="false" t="normal">SUBTOTAL(9, AX691:BL691)</f>
        <v>857576.7632287594</v>
      </c>
      <c r="AX691" s="106" t="n"/>
      <c r="AY691" s="106" t="n"/>
      <c r="AZ691" s="106" t="n">
        <v>839224.620495664</v>
      </c>
      <c r="BA691" s="106" t="n"/>
      <c r="BB691" s="106" t="n">
        <v>0</v>
      </c>
      <c r="BC691" s="106" t="n"/>
      <c r="BD691" s="106" t="n"/>
      <c r="BE691" s="106" t="n">
        <v>0</v>
      </c>
      <c r="BF691" s="106" t="n">
        <v>0</v>
      </c>
      <c r="BG691" s="106" t="n">
        <v>0</v>
      </c>
      <c r="BH691" s="106" t="n">
        <v>0</v>
      </c>
      <c r="BI691" s="106" t="n">
        <v>0</v>
      </c>
      <c r="BJ691" s="106" t="n"/>
      <c r="BK691" s="114" t="n"/>
      <c r="BL691" s="115" t="n">
        <v>18352.1427330955</v>
      </c>
      <c r="BM691" s="186" t="n">
        <f aca="false" ca="true" dt2D="false" dtr="false" t="normal">SUBTOTAL(9, BN691:CB691)</f>
        <v>857576.7632287594</v>
      </c>
      <c r="BN691" s="106" t="n"/>
      <c r="BO691" s="106" t="n"/>
      <c r="BP691" s="106" t="n">
        <v>839224.620495664</v>
      </c>
      <c r="BQ691" s="106" t="n"/>
      <c r="BR691" s="106" t="n">
        <v>0</v>
      </c>
      <c r="BS691" s="106" t="n"/>
      <c r="BT691" s="106" t="n"/>
      <c r="BU691" s="106" t="n">
        <v>0</v>
      </c>
      <c r="BV691" s="106" t="n">
        <v>0</v>
      </c>
      <c r="BW691" s="106" t="n">
        <v>0</v>
      </c>
      <c r="BX691" s="106" t="n">
        <v>0</v>
      </c>
      <c r="BY691" s="106" t="n">
        <v>0</v>
      </c>
      <c r="BZ691" s="106" t="n"/>
      <c r="CA691" s="114" t="n"/>
      <c r="CB691" s="115" t="n">
        <v>18352.1427330955</v>
      </c>
      <c r="CD691" s="116" t="e">
        <f aca="false" ca="false" dt2D="false" dtr="false" t="normal">+CD690+1</f>
        <v>#REF!</v>
      </c>
      <c r="CE691" s="117" t="e">
        <f aca="false" ca="false" dt2D="false" dtr="false" t="normal">+CE690+1</f>
        <v>#REF!</v>
      </c>
      <c r="CF691" s="104" t="s">
        <v>207</v>
      </c>
      <c r="CG691" s="104" t="s">
        <v>208</v>
      </c>
      <c r="CH691" s="232" t="n">
        <f aca="false" ca="true" dt2D="false" dtr="false" t="normal">SUBTOTAL(9, CI691:CW691)</f>
        <v>857576.76</v>
      </c>
      <c r="CI691" s="106" t="n"/>
      <c r="CJ691" s="114" t="n"/>
      <c r="CK691" s="114" t="n">
        <v>839224.62</v>
      </c>
      <c r="CL691" s="114" t="n"/>
      <c r="CM691" s="114" t="n">
        <v>0</v>
      </c>
      <c r="CN691" s="114" t="n"/>
      <c r="CO691" s="106" t="n"/>
      <c r="CP691" s="114" t="n">
        <v>0</v>
      </c>
      <c r="CQ691" s="114" t="n">
        <v>0</v>
      </c>
      <c r="CR691" s="114" t="n">
        <v>0</v>
      </c>
      <c r="CS691" s="114" t="n">
        <v>0</v>
      </c>
      <c r="CT691" s="114" t="n">
        <v>0</v>
      </c>
      <c r="CU691" s="114" t="n"/>
      <c r="CV691" s="114" t="n"/>
      <c r="CW691" s="115" t="n">
        <v>18352.14</v>
      </c>
      <c r="CX691" s="3" t="n">
        <f aca="false" ca="false" dt2D="false" dtr="false" t="normal">+N691-CH691</f>
        <v>-18352.140000000014</v>
      </c>
      <c r="CZ691" s="104" t="s">
        <v>208</v>
      </c>
      <c r="DA691" s="186" t="n">
        <f aca="false" ca="true" dt2D="false" dtr="false" t="normal">SUBTOTAL(9, DB691:DP691)</f>
        <v>839224.62</v>
      </c>
      <c r="DB691" s="106" t="n"/>
      <c r="DC691" s="114" t="n"/>
      <c r="DD691" s="114" t="n">
        <v>839224.62</v>
      </c>
      <c r="DE691" s="114" t="n"/>
      <c r="DF691" s="114" t="n">
        <v>0</v>
      </c>
      <c r="DG691" s="114" t="n"/>
      <c r="DH691" s="106" t="n"/>
      <c r="DI691" s="114" t="n">
        <v>0</v>
      </c>
      <c r="DJ691" s="114" t="n">
        <v>0</v>
      </c>
      <c r="DK691" s="114" t="n">
        <v>0</v>
      </c>
      <c r="DL691" s="114" t="n">
        <v>0</v>
      </c>
      <c r="DM691" s="114" t="n">
        <v>0</v>
      </c>
      <c r="DN691" s="114" t="n"/>
      <c r="DO691" s="114" t="n"/>
      <c r="DP691" s="240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</row>
    <row customFormat="true" hidden="false" ht="15" outlineLevel="0" r="692" s="1">
      <c r="A692" s="183" t="n">
        <f aca="false" ca="false" dt2D="false" dtr="false" t="normal">+A691+1</f>
        <v>670</v>
      </c>
      <c r="B692" s="117" t="n">
        <f aca="false" ca="false" dt2D="false" dtr="false" t="normal">+B691+1</f>
        <v>210</v>
      </c>
      <c r="C692" s="210" t="s">
        <v>207</v>
      </c>
      <c r="D692" s="210" t="s">
        <v>496</v>
      </c>
      <c r="E692" s="209" t="n">
        <v>1985</v>
      </c>
      <c r="F692" s="209" t="n">
        <v>2009</v>
      </c>
      <c r="G692" s="209" t="s">
        <v>68</v>
      </c>
      <c r="H692" s="209" t="n">
        <v>2</v>
      </c>
      <c r="I692" s="209" t="n">
        <v>3</v>
      </c>
      <c r="J692" s="212" t="n">
        <v>1493.5</v>
      </c>
      <c r="K692" s="212" t="n">
        <v>1376.8</v>
      </c>
      <c r="L692" s="212" t="n">
        <v>0</v>
      </c>
      <c r="M692" s="213" t="n">
        <v>60</v>
      </c>
      <c r="N692" s="108" t="n">
        <f aca="false" ca="false" dt2D="false" dtr="false" t="normal">SUM(P692:T692)</f>
        <v>1282797.7</v>
      </c>
      <c r="O692" s="212" t="n"/>
      <c r="P692" s="258" t="n">
        <v>192419.64</v>
      </c>
      <c r="Q692" s="114" t="n"/>
      <c r="R692" s="113" t="n">
        <v>102623.82</v>
      </c>
      <c r="S692" s="113" t="n">
        <v>987754.24</v>
      </c>
      <c r="T692" s="114" t="n"/>
      <c r="U692" s="114" t="n">
        <v>7465.96000145264</v>
      </c>
      <c r="V692" s="114" t="n">
        <v>1355.283020064</v>
      </c>
      <c r="W692" s="110" t="n">
        <v>2024</v>
      </c>
      <c r="X692" s="9" t="e">
        <f aca="false" ca="false" dt2D="false" dtr="false" t="normal">+#REF!-'[9]Приложение №1'!$P1816</f>
        <v>#REF!</v>
      </c>
      <c r="Z692" s="113" t="n">
        <f aca="false" ca="false" dt2D="false" dtr="false" t="normal">SUM(AA692:AO692)</f>
        <v>10279133.73</v>
      </c>
      <c r="AA692" s="106" t="n">
        <v>4027966.8255372</v>
      </c>
      <c r="AB692" s="106" t="n">
        <v>2450960.67448344</v>
      </c>
      <c r="AC692" s="106" t="n">
        <v>1154893.5828969</v>
      </c>
      <c r="AD692" s="106" t="n">
        <v>984230.91881016</v>
      </c>
      <c r="AE692" s="106" t="n">
        <v>0</v>
      </c>
      <c r="AF692" s="106" t="n"/>
      <c r="AG692" s="106" t="n">
        <v>428109.96493608</v>
      </c>
      <c r="AH692" s="106" t="n">
        <v>0</v>
      </c>
      <c r="AI692" s="106" t="n">
        <v>0</v>
      </c>
      <c r="AJ692" s="106" t="n">
        <v>0</v>
      </c>
      <c r="AK692" s="106" t="n">
        <v>0</v>
      </c>
      <c r="AL692" s="106" t="n">
        <v>0</v>
      </c>
      <c r="AM692" s="106" t="n">
        <v>932359.1854</v>
      </c>
      <c r="AN692" s="114" t="n">
        <v>102791.3373</v>
      </c>
      <c r="AO692" s="115" t="n">
        <v>197821.24063622</v>
      </c>
      <c r="AP692" s="112" t="n">
        <f aca="false" ca="false" dt2D="false" dtr="false" t="normal">+N692-'Приложение №2'!E690</f>
        <v>-37471.29000000004</v>
      </c>
      <c r="AQ692" s="121" t="n">
        <v>707700.33</v>
      </c>
      <c r="AR692" s="3" t="n">
        <f aca="false" ca="false" dt2D="false" dtr="false" t="normal">+(K692*10+L692*20)*12*0.85</f>
        <v>140433.6</v>
      </c>
      <c r="AS692" s="3" t="n">
        <f aca="false" ca="false" dt2D="false" dtr="false" t="normal">+(K692*10+L692*20)*12*30</f>
        <v>4956480</v>
      </c>
      <c r="AT692" s="9" t="n">
        <f aca="false" ca="false" dt2D="false" dtr="false" t="normal">+S692-AS692</f>
        <v>-3968725.76</v>
      </c>
      <c r="AU692" s="9" t="e">
        <f aca="false" ca="false" dt2D="false" dtr="false" t="normal">+P692-'[5]Приложение №1'!$P639</f>
        <v>#REF!</v>
      </c>
      <c r="AV692" s="9" t="e">
        <f aca="false" ca="false" dt2D="false" dtr="false" t="normal">+Q692-'[5]Приложение №1'!$Q639</f>
        <v>#REF!</v>
      </c>
      <c r="AW692" s="113" t="n">
        <f aca="false" ca="true" dt2D="false" dtr="false" t="normal">SUBTOTAL(9, AX692:BL692)</f>
        <v>10279133.729999997</v>
      </c>
      <c r="AX692" s="106" t="n">
        <v>4401647.229924</v>
      </c>
      <c r="AY692" s="106" t="n">
        <v>2728944.70632</v>
      </c>
      <c r="AZ692" s="106" t="n">
        <v>1282797.702354</v>
      </c>
      <c r="BA692" s="106" t="n">
        <v>1125093.53313</v>
      </c>
      <c r="BB692" s="106" t="n">
        <v>0</v>
      </c>
      <c r="BC692" s="106" t="n"/>
      <c r="BD692" s="106" t="n">
        <v>428109.96493608</v>
      </c>
      <c r="BE692" s="106" t="n">
        <v>0</v>
      </c>
      <c r="BF692" s="106" t="n">
        <v>0</v>
      </c>
      <c r="BG692" s="106" t="n">
        <v>0</v>
      </c>
      <c r="BH692" s="106" t="n">
        <v>0</v>
      </c>
      <c r="BI692" s="106" t="n">
        <v>0</v>
      </c>
      <c r="BJ692" s="106" t="n">
        <v>66127.3886</v>
      </c>
      <c r="BK692" s="114" t="n">
        <v>28463.9986</v>
      </c>
      <c r="BL692" s="187" t="n">
        <v>217949.20613592</v>
      </c>
      <c r="BM692" s="113" t="n">
        <f aca="false" ca="true" dt2D="false" dtr="false" t="normal">SUBTOTAL(9, BN692:CB692)</f>
        <v>10279133.729999997</v>
      </c>
      <c r="BN692" s="106" t="n">
        <v>4401647.229924</v>
      </c>
      <c r="BO692" s="106" t="n">
        <v>2728944.70632</v>
      </c>
      <c r="BP692" s="106" t="n">
        <v>1282797.702354</v>
      </c>
      <c r="BQ692" s="106" t="n">
        <v>1125093.53313</v>
      </c>
      <c r="BR692" s="106" t="n">
        <v>0</v>
      </c>
      <c r="BS692" s="106" t="n"/>
      <c r="BT692" s="106" t="n">
        <v>428109.96493608</v>
      </c>
      <c r="BU692" s="106" t="n">
        <v>0</v>
      </c>
      <c r="BV692" s="106" t="n">
        <v>0</v>
      </c>
      <c r="BW692" s="106" t="n">
        <v>0</v>
      </c>
      <c r="BX692" s="106" t="n">
        <v>0</v>
      </c>
      <c r="BY692" s="106" t="n">
        <v>0</v>
      </c>
      <c r="BZ692" s="106" t="n">
        <v>66127.3886</v>
      </c>
      <c r="CA692" s="114" t="n">
        <v>28463.9986</v>
      </c>
      <c r="CB692" s="115" t="n">
        <v>217949.20613592</v>
      </c>
      <c r="CD692" s="116" t="e">
        <f aca="false" ca="false" dt2D="false" dtr="false" t="normal">+CD691+1</f>
        <v>#REF!</v>
      </c>
      <c r="CE692" s="117" t="e">
        <f aca="false" ca="false" dt2D="false" dtr="false" t="normal">+CE691+1</f>
        <v>#REF!</v>
      </c>
      <c r="CF692" s="104" t="s">
        <v>207</v>
      </c>
      <c r="CG692" s="117" t="s">
        <v>496</v>
      </c>
      <c r="CH692" s="108" t="n">
        <f aca="false" ca="true" dt2D="false" dtr="false" t="normal">SUBTOTAL(9, CI692:CW692)</f>
        <v>1500746.91</v>
      </c>
      <c r="CI692" s="106" t="n"/>
      <c r="CJ692" s="114" t="n"/>
      <c r="CK692" s="114" t="n">
        <v>1282797.7</v>
      </c>
      <c r="CL692" s="114" t="n"/>
      <c r="CM692" s="114" t="n">
        <v>0</v>
      </c>
      <c r="CN692" s="114" t="n"/>
      <c r="CO692" s="106" t="n"/>
      <c r="CP692" s="114" t="n">
        <v>0</v>
      </c>
      <c r="CQ692" s="114" t="n">
        <v>0</v>
      </c>
      <c r="CR692" s="114" t="n">
        <v>0</v>
      </c>
      <c r="CS692" s="114" t="n">
        <v>0</v>
      </c>
      <c r="CT692" s="114" t="n">
        <v>0</v>
      </c>
      <c r="CU692" s="114" t="n"/>
      <c r="CV692" s="114" t="n"/>
      <c r="CW692" s="115" t="n">
        <v>217949.21</v>
      </c>
      <c r="CX692" s="3" t="n">
        <f aca="false" ca="false" dt2D="false" dtr="false" t="normal">+N692-CH692</f>
        <v>-217949.20999999996</v>
      </c>
      <c r="CZ692" s="117" t="s">
        <v>496</v>
      </c>
      <c r="DA692" s="113" t="n">
        <f aca="false" ca="true" dt2D="false" dtr="false" t="normal">SUBTOTAL(9, DB692:DP692)</f>
        <v>1282797.7</v>
      </c>
      <c r="DB692" s="106" t="n"/>
      <c r="DC692" s="114" t="n"/>
      <c r="DD692" s="114" t="n">
        <v>1282797.7</v>
      </c>
      <c r="DE692" s="114" t="n"/>
      <c r="DF692" s="114" t="n">
        <v>0</v>
      </c>
      <c r="DG692" s="114" t="n"/>
      <c r="DH692" s="106" t="n"/>
      <c r="DI692" s="114" t="n">
        <v>0</v>
      </c>
      <c r="DJ692" s="114" t="n">
        <v>0</v>
      </c>
      <c r="DK692" s="114" t="n">
        <v>0</v>
      </c>
      <c r="DL692" s="114" t="n">
        <v>0</v>
      </c>
      <c r="DM692" s="114" t="n">
        <v>0</v>
      </c>
      <c r="DN692" s="241" t="n"/>
      <c r="DO692" s="241" t="n"/>
      <c r="DP692" s="240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</row>
    <row customFormat="true" hidden="false" ht="15" outlineLevel="0" r="693" s="1">
      <c r="A693" s="183" t="n">
        <f aca="false" ca="false" dt2D="false" dtr="false" t="normal">+A692+1</f>
        <v>671</v>
      </c>
      <c r="B693" s="117" t="n">
        <f aca="false" ca="false" dt2D="false" dtr="false" t="normal">+B692+1</f>
        <v>211</v>
      </c>
      <c r="C693" s="117" t="s">
        <v>653</v>
      </c>
      <c r="D693" s="117" t="s">
        <v>654</v>
      </c>
      <c r="E693" s="201" t="n">
        <v>1989</v>
      </c>
      <c r="F693" s="201" t="n">
        <v>1989</v>
      </c>
      <c r="G693" s="201" t="s">
        <v>68</v>
      </c>
      <c r="H693" s="201" t="n">
        <v>2</v>
      </c>
      <c r="I693" s="201" t="n">
        <v>1</v>
      </c>
      <c r="J693" s="114" t="n">
        <v>390.65</v>
      </c>
      <c r="K693" s="114" t="n">
        <v>349.25</v>
      </c>
      <c r="L693" s="114" t="n">
        <v>0</v>
      </c>
      <c r="M693" s="202" t="n">
        <v>1</v>
      </c>
      <c r="N693" s="108" t="n">
        <f aca="false" ca="false" dt2D="false" dtr="false" t="normal">SUM(P693:T693)</f>
        <v>900615.4199999999</v>
      </c>
      <c r="O693" s="114" t="n"/>
      <c r="P693" s="113" t="n">
        <v>293063.05</v>
      </c>
      <c r="Q693" s="114" t="n"/>
      <c r="R693" s="113" t="n">
        <v>202682.37</v>
      </c>
      <c r="S693" s="113" t="n">
        <v>404870</v>
      </c>
      <c r="T693" s="113" t="n"/>
      <c r="U693" s="114" t="n">
        <v>8878.94922191218</v>
      </c>
      <c r="V693" s="114" t="n">
        <v>1359.283020064</v>
      </c>
      <c r="W693" s="110" t="n">
        <v>2024</v>
      </c>
      <c r="X693" s="9" t="e">
        <f aca="false" ca="false" dt2D="false" dtr="false" t="normal">+#REF!-'[9]Приложение №1'!$P1124</f>
        <v>#REF!</v>
      </c>
      <c r="Z693" s="113" t="n">
        <f aca="false" ca="false" dt2D="false" dtr="false" t="normal">SUM(AA693:AO693)</f>
        <v>2736423.66</v>
      </c>
      <c r="AA693" s="106" t="n">
        <v>1072291.11047058</v>
      </c>
      <c r="AB693" s="106" t="n">
        <v>652473.9262167</v>
      </c>
      <c r="AC693" s="106" t="n">
        <v>307445.96072232</v>
      </c>
      <c r="AD693" s="106" t="n">
        <v>262013.59455432</v>
      </c>
      <c r="AE693" s="106" t="n">
        <v>0</v>
      </c>
      <c r="AF693" s="106" t="n"/>
      <c r="AG693" s="106" t="n">
        <v>113967.79944984</v>
      </c>
      <c r="AH693" s="106" t="n">
        <v>0</v>
      </c>
      <c r="AI693" s="106" t="n">
        <v>0</v>
      </c>
      <c r="AJ693" s="106" t="n">
        <v>0</v>
      </c>
      <c r="AK693" s="106" t="n">
        <v>0</v>
      </c>
      <c r="AL693" s="106" t="n">
        <v>0</v>
      </c>
      <c r="AM693" s="106" t="n">
        <v>248204.7418</v>
      </c>
      <c r="AN693" s="114" t="n">
        <v>27364.2366</v>
      </c>
      <c r="AO693" s="115" t="n">
        <v>52662.29018624</v>
      </c>
      <c r="AP693" s="112" t="n">
        <f aca="false" ca="false" dt2D="false" dtr="false" t="normal">+N693-'Приложение №2'!E693</f>
        <v>0</v>
      </c>
      <c r="AQ693" s="121" t="n">
        <v>189277.69</v>
      </c>
      <c r="AR693" s="3" t="n">
        <f aca="false" ca="false" dt2D="false" dtr="false" t="normal">+(K693*10.5+L693*21)*12*0.85</f>
        <v>37404.674999999996</v>
      </c>
      <c r="AS693" s="3" t="n">
        <f aca="false" ca="false" dt2D="false" dtr="false" t="normal">+(K693*10.5+L693*21)*12*30</f>
        <v>1320165</v>
      </c>
      <c r="AT693" s="9" t="n">
        <f aca="false" ca="false" dt2D="false" dtr="false" t="normal">+S693-AS693</f>
        <v>-915295</v>
      </c>
      <c r="AU693" s="9" t="e">
        <f aca="false" ca="false" dt2D="false" dtr="false" t="normal">+P693-'[5]Приложение №1'!$P639</f>
        <v>#REF!</v>
      </c>
      <c r="AV693" s="9" t="e">
        <f aca="false" ca="false" dt2D="false" dtr="false" t="normal">+Q693-'[5]Приложение №1'!$Q639</f>
        <v>#REF!</v>
      </c>
      <c r="AW693" s="186" t="n">
        <f aca="false" ca="true" dt2D="false" dtr="false" t="normal">SUBTOTAL(9, AX693:BL693)</f>
        <v>3100973.0157528245</v>
      </c>
      <c r="AX693" s="106" t="n">
        <v>1317992.10136421</v>
      </c>
      <c r="AY693" s="106" t="n">
        <v>812946.767046028</v>
      </c>
      <c r="AZ693" s="106" t="n">
        <v>379638.953550791</v>
      </c>
      <c r="BA693" s="106" t="n">
        <v>329956.814823073</v>
      </c>
      <c r="BB693" s="106" t="n">
        <v>0</v>
      </c>
      <c r="BC693" s="106" t="n"/>
      <c r="BD693" s="106" t="n">
        <v>129150.51650498</v>
      </c>
      <c r="BE693" s="106" t="n">
        <v>0</v>
      </c>
      <c r="BF693" s="106" t="n">
        <v>0</v>
      </c>
      <c r="BG693" s="106" t="n">
        <v>0</v>
      </c>
      <c r="BH693" s="106" t="n">
        <v>0</v>
      </c>
      <c r="BI693" s="106" t="n">
        <v>0</v>
      </c>
      <c r="BJ693" s="106" t="n">
        <v>41000.1813951728</v>
      </c>
      <c r="BK693" s="114" t="n">
        <v>25346.6813951728</v>
      </c>
      <c r="BL693" s="115" t="n">
        <v>64940.9996733971</v>
      </c>
      <c r="BM693" s="186" t="n">
        <f aca="false" ca="true" dt2D="false" dtr="false" t="normal">SUBTOTAL(9, BN693:CB693)</f>
        <v>3100973.0157528245</v>
      </c>
      <c r="BN693" s="106" t="n">
        <v>1317992.10136421</v>
      </c>
      <c r="BO693" s="106" t="n">
        <v>812946.767046028</v>
      </c>
      <c r="BP693" s="106" t="n">
        <v>379638.953550791</v>
      </c>
      <c r="BQ693" s="106" t="n">
        <v>329956.814823073</v>
      </c>
      <c r="BR693" s="106" t="n">
        <v>0</v>
      </c>
      <c r="BS693" s="106" t="n"/>
      <c r="BT693" s="106" t="n">
        <v>129150.51650498</v>
      </c>
      <c r="BU693" s="106" t="n">
        <v>0</v>
      </c>
      <c r="BV693" s="106" t="n">
        <v>0</v>
      </c>
      <c r="BW693" s="106" t="n">
        <v>0</v>
      </c>
      <c r="BX693" s="106" t="n">
        <v>0</v>
      </c>
      <c r="BY693" s="106" t="n">
        <v>0</v>
      </c>
      <c r="BZ693" s="106" t="n">
        <v>41000.1813951728</v>
      </c>
      <c r="CA693" s="114" t="n">
        <v>25346.6813951728</v>
      </c>
      <c r="CB693" s="115" t="n">
        <v>64940.9996733971</v>
      </c>
      <c r="CD693" s="116" t="e">
        <f aca="false" ca="false" dt2D="false" dtr="false" t="normal">+#REF!+1</f>
        <v>#REF!</v>
      </c>
      <c r="CE693" s="117" t="e">
        <f aca="false" ca="false" dt2D="false" dtr="false" t="normal">+#REF!+1</f>
        <v>#REF!</v>
      </c>
      <c r="CF693" s="104" t="s">
        <v>653</v>
      </c>
      <c r="CG693" s="104" t="s">
        <v>654</v>
      </c>
      <c r="CH693" s="232" t="n">
        <f aca="false" ca="true" dt2D="false" dtr="false" t="normal">SUBTOTAL(9, CI693:CW693)</f>
        <v>1587483.53</v>
      </c>
      <c r="CI693" s="106" t="n"/>
      <c r="CJ693" s="114" t="n">
        <v>812946.77</v>
      </c>
      <c r="CK693" s="114" t="n">
        <v>379638.95</v>
      </c>
      <c r="CL693" s="114" t="n">
        <v>329956.81</v>
      </c>
      <c r="CM693" s="114" t="n">
        <v>0</v>
      </c>
      <c r="CN693" s="114" t="n"/>
      <c r="CO693" s="106" t="n"/>
      <c r="CP693" s="114" t="n">
        <v>0</v>
      </c>
      <c r="CQ693" s="114" t="n">
        <v>0</v>
      </c>
      <c r="CR693" s="114" t="n">
        <v>0</v>
      </c>
      <c r="CS693" s="114" t="n">
        <v>0</v>
      </c>
      <c r="CT693" s="114" t="n">
        <v>0</v>
      </c>
      <c r="CU693" s="114" t="n"/>
      <c r="CV693" s="114" t="n"/>
      <c r="CW693" s="115" t="n">
        <v>64941</v>
      </c>
      <c r="CX693" s="3" t="n">
        <f aca="false" ca="false" dt2D="false" dtr="false" t="normal">+N693-CH693</f>
        <v>-686868.1100000001</v>
      </c>
      <c r="CZ693" s="104" t="s">
        <v>654</v>
      </c>
      <c r="DA693" s="186" t="n">
        <f aca="false" ca="true" dt2D="false" dtr="false" t="normal">SUBTOTAL(9, DB693:DP693)</f>
        <v>1522542.53</v>
      </c>
      <c r="DB693" s="106" t="n"/>
      <c r="DC693" s="114" t="n">
        <v>812946.77</v>
      </c>
      <c r="DD693" s="114" t="n">
        <v>379638.95</v>
      </c>
      <c r="DE693" s="114" t="n">
        <v>329956.81</v>
      </c>
      <c r="DF693" s="114" t="n">
        <v>0</v>
      </c>
      <c r="DG693" s="114" t="n"/>
      <c r="DH693" s="106" t="n"/>
      <c r="DI693" s="114" t="n">
        <v>0</v>
      </c>
      <c r="DJ693" s="114" t="n">
        <v>0</v>
      </c>
      <c r="DK693" s="114" t="n">
        <v>0</v>
      </c>
      <c r="DL693" s="114" t="n">
        <v>0</v>
      </c>
      <c r="DM693" s="114" t="n">
        <v>0</v>
      </c>
      <c r="DN693" s="241" t="n"/>
      <c r="DO693" s="241" t="n"/>
      <c r="DP693" s="240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</row>
    <row customFormat="true" hidden="false" ht="15" outlineLevel="0" r="694" s="1">
      <c r="A694" s="183" t="n">
        <f aca="false" ca="false" dt2D="false" dtr="false" t="normal">+A693+1</f>
        <v>672</v>
      </c>
      <c r="B694" s="117" t="n">
        <f aca="false" ca="false" dt2D="false" dtr="false" t="normal">+B693+1</f>
        <v>212</v>
      </c>
      <c r="C694" s="117" t="s">
        <v>653</v>
      </c>
      <c r="D694" s="117" t="s">
        <v>655</v>
      </c>
      <c r="E694" s="201" t="n">
        <v>1989</v>
      </c>
      <c r="F694" s="201" t="n">
        <v>1989</v>
      </c>
      <c r="G694" s="201" t="s">
        <v>68</v>
      </c>
      <c r="H694" s="201" t="n">
        <v>5</v>
      </c>
      <c r="I694" s="201" t="n">
        <v>2</v>
      </c>
      <c r="J694" s="114" t="n">
        <v>1113.04</v>
      </c>
      <c r="K694" s="114" t="n">
        <v>865.12</v>
      </c>
      <c r="L694" s="114" t="n">
        <v>0</v>
      </c>
      <c r="M694" s="202" t="n">
        <v>28</v>
      </c>
      <c r="N694" s="108" t="n">
        <f aca="false" ca="false" dt2D="false" dtr="false" t="normal">SUM(P694:T694)</f>
        <v>1052893.3199999998</v>
      </c>
      <c r="O694" s="114" t="n"/>
      <c r="P694" s="114" t="n"/>
      <c r="Q694" s="114" t="n"/>
      <c r="R694" s="113" t="n">
        <v>143531.74</v>
      </c>
      <c r="S694" s="113" t="n">
        <v>897307.58</v>
      </c>
      <c r="T694" s="114" t="n">
        <v>12054</v>
      </c>
      <c r="U694" s="114" t="n">
        <v>4445.00451545724</v>
      </c>
      <c r="V694" s="114" t="n">
        <v>1360.283020064</v>
      </c>
      <c r="W694" s="110" t="n">
        <v>2024</v>
      </c>
      <c r="X694" s="9" t="e">
        <f aca="false" ca="false" dt2D="false" dtr="false" t="normal">+#REF!-'[9]Приложение №1'!$P1125</f>
        <v>#REF!</v>
      </c>
      <c r="Z694" s="113" t="n">
        <f aca="false" ca="false" dt2D="false" dtr="false" t="normal">SUM(AA694:AO694)</f>
        <v>3813311.24</v>
      </c>
      <c r="AA694" s="106" t="n">
        <v>2150190.86945754</v>
      </c>
      <c r="AB694" s="106" t="n">
        <v>760761.9015171</v>
      </c>
      <c r="AC694" s="106" t="n">
        <v>380042.3020695</v>
      </c>
      <c r="AD694" s="106" t="n">
        <v>0</v>
      </c>
      <c r="AE694" s="106" t="n">
        <v>0</v>
      </c>
      <c r="AF694" s="106" t="n"/>
      <c r="AG694" s="106" t="n">
        <v>85315.6583454</v>
      </c>
      <c r="AH694" s="106" t="n">
        <v>0</v>
      </c>
      <c r="AI694" s="106" t="n">
        <v>0</v>
      </c>
      <c r="AJ694" s="106" t="n">
        <v>0</v>
      </c>
      <c r="AK694" s="106" t="n">
        <v>0</v>
      </c>
      <c r="AL694" s="106" t="n">
        <v>0</v>
      </c>
      <c r="AM694" s="106" t="n">
        <v>325034.3187</v>
      </c>
      <c r="AN694" s="114" t="n">
        <v>38133.1124</v>
      </c>
      <c r="AO694" s="115" t="n">
        <v>73833.07751046</v>
      </c>
      <c r="AP694" s="112" t="n">
        <f aca="false" ca="false" dt2D="false" dtr="false" t="normal">+N694-'Приложение №2'!E694</f>
        <v>0</v>
      </c>
      <c r="AQ694" s="121" t="n">
        <v>507033.1</v>
      </c>
      <c r="AR694" s="3" t="n">
        <f aca="false" ca="false" dt2D="false" dtr="false" t="normal">+(K694*10.5+L694*21)*12*0.85</f>
        <v>92654.352</v>
      </c>
      <c r="AS694" s="3" t="n">
        <f aca="false" ca="false" dt2D="false" dtr="false" t="normal">+(K694*10.5+L694*21)*12*30</f>
        <v>3270153.5999999996</v>
      </c>
      <c r="AT694" s="9" t="n">
        <f aca="false" ca="false" dt2D="false" dtr="false" t="normal">+S694-AS694</f>
        <v>-2372846.0199999996</v>
      </c>
      <c r="AU694" s="9" t="e">
        <f aca="false" ca="false" dt2D="false" dtr="false" t="normal">+P694-'[5]Приложение №1'!$P640</f>
        <v>#REF!</v>
      </c>
      <c r="AV694" s="9" t="e">
        <f aca="false" ca="false" dt2D="false" dtr="false" t="normal">+Q694-'[5]Приложение №1'!$Q640</f>
        <v>#REF!</v>
      </c>
      <c r="AW694" s="186" t="n">
        <f aca="false" ca="true" dt2D="false" dtr="false" t="normal">SUBTOTAL(9, AX694:BL694)</f>
        <v>3845462.306412371</v>
      </c>
      <c r="AX694" s="106" t="n">
        <v>2560605.40599066</v>
      </c>
      <c r="AY694" s="106" t="n">
        <v>1040839.31581896</v>
      </c>
      <c r="AZ694" s="106" t="n">
        <v>0</v>
      </c>
      <c r="BA694" s="106" t="n">
        <v>0</v>
      </c>
      <c r="BB694" s="106" t="n">
        <v>0</v>
      </c>
      <c r="BC694" s="106" t="n"/>
      <c r="BD694" s="106" t="n">
        <v>93686.4984670556</v>
      </c>
      <c r="BE694" s="106" t="n">
        <v>0</v>
      </c>
      <c r="BF694" s="106" t="n"/>
      <c r="BG694" s="106" t="n">
        <v>0</v>
      </c>
      <c r="BH694" s="106" t="n">
        <v>0</v>
      </c>
      <c r="BI694" s="106" t="n">
        <v>0</v>
      </c>
      <c r="BJ694" s="106" t="n">
        <v>52549.160126952</v>
      </c>
      <c r="BK694" s="114" t="n">
        <v>16976.890126952</v>
      </c>
      <c r="BL694" s="115" t="n">
        <v>80805.0358817911</v>
      </c>
      <c r="BM694" s="186" t="n">
        <f aca="false" ca="true" dt2D="false" dtr="false" t="normal">SUBTOTAL(9, BN694:CB694)</f>
        <v>3845462.306412371</v>
      </c>
      <c r="BN694" s="106" t="n">
        <v>2560605.40599066</v>
      </c>
      <c r="BO694" s="106" t="n">
        <v>1040839.31581896</v>
      </c>
      <c r="BP694" s="106" t="n">
        <v>0</v>
      </c>
      <c r="BQ694" s="106" t="n">
        <v>0</v>
      </c>
      <c r="BR694" s="106" t="n">
        <v>0</v>
      </c>
      <c r="BS694" s="106" t="n"/>
      <c r="BT694" s="106" t="n">
        <v>93686.4984670556</v>
      </c>
      <c r="BU694" s="106" t="n">
        <v>0</v>
      </c>
      <c r="BV694" s="106" t="n"/>
      <c r="BW694" s="106" t="n">
        <v>0</v>
      </c>
      <c r="BX694" s="106" t="n">
        <v>0</v>
      </c>
      <c r="BY694" s="106" t="n">
        <v>0</v>
      </c>
      <c r="BZ694" s="106" t="n">
        <v>52549.160126952</v>
      </c>
      <c r="CA694" s="114" t="n">
        <v>16976.890126952</v>
      </c>
      <c r="CB694" s="115" t="n">
        <v>80805.0358817911</v>
      </c>
      <c r="CD694" s="116" t="e">
        <f aca="false" ca="false" dt2D="false" dtr="false" t="normal">+CD693+1</f>
        <v>#REF!</v>
      </c>
      <c r="CE694" s="117" t="e">
        <f aca="false" ca="false" dt2D="false" dtr="false" t="normal">+CE693+1</f>
        <v>#REF!</v>
      </c>
      <c r="CF694" s="104" t="s">
        <v>653</v>
      </c>
      <c r="CG694" s="104" t="s">
        <v>655</v>
      </c>
      <c r="CH694" s="232" t="n">
        <f aca="false" ca="true" dt2D="false" dtr="false" t="normal">SUBTOTAL(9, CI694:CW694)</f>
        <v>1121644.3599999999</v>
      </c>
      <c r="CI694" s="106" t="n"/>
      <c r="CJ694" s="114" t="n">
        <v>1040839.32</v>
      </c>
      <c r="CK694" s="114" t="n">
        <v>0</v>
      </c>
      <c r="CL694" s="114" t="n">
        <v>0</v>
      </c>
      <c r="CM694" s="114" t="n">
        <v>0</v>
      </c>
      <c r="CN694" s="114" t="n"/>
      <c r="CO694" s="106" t="n"/>
      <c r="CP694" s="114" t="n">
        <v>0</v>
      </c>
      <c r="CQ694" s="114" t="n"/>
      <c r="CR694" s="114" t="n">
        <v>0</v>
      </c>
      <c r="CS694" s="114" t="n">
        <v>0</v>
      </c>
      <c r="CT694" s="114" t="n">
        <v>0</v>
      </c>
      <c r="CU694" s="114" t="n"/>
      <c r="CV694" s="114" t="n"/>
      <c r="CW694" s="115" t="n">
        <v>80805.04</v>
      </c>
      <c r="CX694" s="3" t="n">
        <f aca="false" ca="false" dt2D="false" dtr="false" t="normal">+N694-CH694</f>
        <v>-68751.04000000004</v>
      </c>
      <c r="CZ694" s="104" t="s">
        <v>655</v>
      </c>
      <c r="DA694" s="186" t="n">
        <f aca="false" ca="true" dt2D="false" dtr="false" t="normal">SUBTOTAL(9, DB694:DP694)</f>
        <v>1040839.32</v>
      </c>
      <c r="DB694" s="106" t="n"/>
      <c r="DC694" s="114" t="n">
        <v>1040839.32</v>
      </c>
      <c r="DD694" s="114" t="n">
        <v>0</v>
      </c>
      <c r="DE694" s="114" t="n">
        <v>0</v>
      </c>
      <c r="DF694" s="114" t="n">
        <v>0</v>
      </c>
      <c r="DG694" s="114" t="n"/>
      <c r="DH694" s="106" t="n"/>
      <c r="DI694" s="114" t="n">
        <v>0</v>
      </c>
      <c r="DJ694" s="114" t="n"/>
      <c r="DK694" s="114" t="n">
        <v>0</v>
      </c>
      <c r="DL694" s="114" t="n">
        <v>0</v>
      </c>
      <c r="DM694" s="114" t="n">
        <v>0</v>
      </c>
      <c r="DN694" s="241" t="n"/>
      <c r="DO694" s="241" t="n"/>
      <c r="DP694" s="240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</row>
    <row customFormat="true" hidden="false" ht="15" outlineLevel="0" r="695" s="1">
      <c r="A695" s="183" t="n">
        <f aca="false" ca="false" dt2D="false" dtr="false" t="normal">+A694+1</f>
        <v>673</v>
      </c>
      <c r="B695" s="117" t="n">
        <f aca="false" ca="false" dt2D="false" dtr="false" t="normal">+B694+1</f>
        <v>213</v>
      </c>
      <c r="C695" s="117" t="s">
        <v>653</v>
      </c>
      <c r="D695" s="117" t="s">
        <v>656</v>
      </c>
      <c r="E695" s="201" t="n">
        <v>1984</v>
      </c>
      <c r="F695" s="201" t="n">
        <v>1984</v>
      </c>
      <c r="G695" s="201" t="s">
        <v>68</v>
      </c>
      <c r="H695" s="201" t="n">
        <v>2</v>
      </c>
      <c r="I695" s="201" t="n">
        <v>2</v>
      </c>
      <c r="J695" s="114" t="n">
        <v>638.8</v>
      </c>
      <c r="K695" s="114" t="n">
        <v>591.8</v>
      </c>
      <c r="L695" s="114" t="n">
        <v>0</v>
      </c>
      <c r="M695" s="202" t="n">
        <v>27</v>
      </c>
      <c r="N695" s="108" t="n">
        <f aca="false" ca="false" dt2D="false" dtr="false" t="normal">SUM(P695:T695)</f>
        <v>4249676.14</v>
      </c>
      <c r="O695" s="114" t="n"/>
      <c r="P695" s="113" t="n">
        <v>254212.72</v>
      </c>
      <c r="Q695" s="114" t="n"/>
      <c r="R695" s="113" t="n">
        <v>325253</v>
      </c>
      <c r="S695" s="113" t="n">
        <v>2237004</v>
      </c>
      <c r="T695" s="113" t="n">
        <v>1433206.42</v>
      </c>
      <c r="U695" s="114" t="n">
        <v>7984.80281059028</v>
      </c>
      <c r="V695" s="114" t="n">
        <v>1348.283020064</v>
      </c>
      <c r="W695" s="110" t="n">
        <v>2024</v>
      </c>
      <c r="X695" s="9" t="e">
        <f aca="false" ca="false" dt2D="false" dtr="false" t="normal">+#REF!-'[9]Приложение №1'!$P743</f>
        <v>#REF!</v>
      </c>
      <c r="Z695" s="113" t="n">
        <f aca="false" ca="false" dt2D="false" dtr="false" t="normal">SUM(AA695:AO695)</f>
        <v>4418355.130000001</v>
      </c>
      <c r="AA695" s="106" t="n">
        <v>1731370.4004597</v>
      </c>
      <c r="AB695" s="106" t="n">
        <v>1053514.32826794</v>
      </c>
      <c r="AC695" s="106" t="n">
        <v>496416.344949</v>
      </c>
      <c r="AD695" s="106" t="n">
        <v>423059.16646896</v>
      </c>
      <c r="AE695" s="106" t="n">
        <v>0</v>
      </c>
      <c r="AF695" s="106" t="n"/>
      <c r="AG695" s="106" t="n">
        <v>184017.63091068</v>
      </c>
      <c r="AH695" s="106" t="n">
        <v>0</v>
      </c>
      <c r="AI695" s="106" t="n">
        <v>0</v>
      </c>
      <c r="AJ695" s="106" t="n">
        <v>0</v>
      </c>
      <c r="AK695" s="106" t="n">
        <v>0</v>
      </c>
      <c r="AL695" s="106" t="n">
        <v>0</v>
      </c>
      <c r="AM695" s="106" t="n">
        <v>400762.7589</v>
      </c>
      <c r="AN695" s="114" t="n">
        <v>44183.5513</v>
      </c>
      <c r="AO695" s="115" t="n">
        <v>85030.94874372</v>
      </c>
      <c r="AP695" s="112" t="n">
        <f aca="false" ca="false" dt2D="false" dtr="false" t="normal">+N695-'Приложение №2'!E695</f>
        <v>0</v>
      </c>
      <c r="AQ695" s="121" t="n">
        <v>261871.22</v>
      </c>
      <c r="AR695" s="3" t="n">
        <f aca="false" ca="false" dt2D="false" dtr="false" t="normal">+(K695*10.5+L695*21)*12*0.85</f>
        <v>63381.77999999999</v>
      </c>
      <c r="AS695" s="3" t="n">
        <f aca="false" ca="false" dt2D="false" dtr="false" t="normal">+(K695*10.5+L695*21)*12*30</f>
        <v>2237003.9999999995</v>
      </c>
      <c r="AT695" s="9" t="n">
        <f aca="false" ca="false" dt2D="false" dtr="false" t="normal">+S695-AS695</f>
        <v>0</v>
      </c>
      <c r="AU695" s="9" t="e">
        <f aca="false" ca="false" dt2D="false" dtr="false" t="normal">+P695-'[5]Приложение №1'!$P628</f>
        <v>#REF!</v>
      </c>
      <c r="AV695" s="9" t="e">
        <f aca="false" ca="false" dt2D="false" dtr="false" t="normal">+Q695-'[5]Приложение №1'!$Q628</f>
        <v>#REF!</v>
      </c>
      <c r="AW695" s="186" t="n">
        <f aca="false" ca="true" dt2D="false" dtr="false" t="normal">SUBTOTAL(9, AX695:BL695)</f>
        <v>4725406.303307327</v>
      </c>
      <c r="AX695" s="106" t="n">
        <v>2059043.85289681</v>
      </c>
      <c r="AY695" s="106" t="n">
        <v>1252899.44729837</v>
      </c>
      <c r="AZ695" s="106" t="n">
        <v>590368.174416154</v>
      </c>
      <c r="BA695" s="106" t="n">
        <v>503127.108987329</v>
      </c>
      <c r="BB695" s="106" t="n">
        <v>0</v>
      </c>
      <c r="BC695" s="106" t="n"/>
      <c r="BD695" s="106" t="n">
        <v>218844.024817888</v>
      </c>
      <c r="BE695" s="106" t="n">
        <v>0</v>
      </c>
      <c r="BF695" s="106" t="n">
        <v>0</v>
      </c>
      <c r="BG695" s="106" t="n">
        <v>0</v>
      </c>
      <c r="BH695" s="106" t="n">
        <v>0</v>
      </c>
      <c r="BI695" s="106" t="n">
        <v>0</v>
      </c>
      <c r="BJ695" s="106" t="n"/>
      <c r="BK695" s="114" t="n"/>
      <c r="BL695" s="115" t="n">
        <v>101123.694890777</v>
      </c>
      <c r="BM695" s="186" t="n">
        <f aca="false" ca="true" dt2D="false" dtr="false" t="normal">SUBTOTAL(9, BN695:CB695)</f>
        <v>4725406.303307327</v>
      </c>
      <c r="BN695" s="106" t="n">
        <v>2059043.85289681</v>
      </c>
      <c r="BO695" s="106" t="n">
        <v>1252899.44729837</v>
      </c>
      <c r="BP695" s="106" t="n">
        <v>590368.174416154</v>
      </c>
      <c r="BQ695" s="106" t="n">
        <v>503127.108987329</v>
      </c>
      <c r="BR695" s="106" t="n">
        <v>0</v>
      </c>
      <c r="BS695" s="106" t="n"/>
      <c r="BT695" s="106" t="n">
        <v>218844.024817888</v>
      </c>
      <c r="BU695" s="106" t="n">
        <v>0</v>
      </c>
      <c r="BV695" s="106" t="n">
        <v>0</v>
      </c>
      <c r="BW695" s="106" t="n">
        <v>0</v>
      </c>
      <c r="BX695" s="106" t="n">
        <v>0</v>
      </c>
      <c r="BY695" s="106" t="n">
        <v>0</v>
      </c>
      <c r="BZ695" s="106" t="n"/>
      <c r="CA695" s="114" t="n"/>
      <c r="CB695" s="115" t="n">
        <v>101123.694890777</v>
      </c>
      <c r="CD695" s="116" t="e">
        <f aca="false" ca="false" dt2D="false" dtr="false" t="normal">+CD694+1</f>
        <v>#REF!</v>
      </c>
      <c r="CE695" s="117" t="e">
        <f aca="false" ca="false" dt2D="false" dtr="false" t="normal">+CE694+1</f>
        <v>#REF!</v>
      </c>
      <c r="CF695" s="104" t="s">
        <v>653</v>
      </c>
      <c r="CG695" s="104" t="s">
        <v>656</v>
      </c>
      <c r="CH695" s="232" t="n">
        <f aca="false" ca="true" dt2D="false" dtr="false" t="normal">SUBTOTAL(9, CI695:CW695)</f>
        <v>4350799.83</v>
      </c>
      <c r="CI695" s="192" t="n">
        <v>1948256.76</v>
      </c>
      <c r="CJ695" s="114" t="n">
        <v>1252899.45</v>
      </c>
      <c r="CK695" s="243" t="n">
        <v>545392.82</v>
      </c>
      <c r="CL695" s="114" t="n">
        <v>503127.11</v>
      </c>
      <c r="CM695" s="114" t="n">
        <v>0</v>
      </c>
      <c r="CN695" s="114" t="n"/>
      <c r="CO695" s="106" t="n"/>
      <c r="CP695" s="114" t="n">
        <v>0</v>
      </c>
      <c r="CQ695" s="114" t="n">
        <v>0</v>
      </c>
      <c r="CR695" s="114" t="n">
        <v>0</v>
      </c>
      <c r="CS695" s="114" t="n">
        <v>0</v>
      </c>
      <c r="CT695" s="114" t="n">
        <v>0</v>
      </c>
      <c r="CU695" s="114" t="n"/>
      <c r="CV695" s="114" t="n"/>
      <c r="CW695" s="115" t="n">
        <v>101123.69</v>
      </c>
      <c r="CX695" s="3" t="n">
        <f aca="false" ca="false" dt2D="false" dtr="false" t="normal">+N695-CH695</f>
        <v>-101123.69000000041</v>
      </c>
      <c r="CZ695" s="104" t="s">
        <v>656</v>
      </c>
      <c r="DA695" s="186" t="n">
        <f aca="false" ca="true" dt2D="false" dtr="false" t="normal">SUBTOTAL(9, DB695:DP695)</f>
        <v>4249676.14</v>
      </c>
      <c r="DB695" s="192" t="n">
        <v>1948256.76</v>
      </c>
      <c r="DC695" s="114" t="n">
        <v>1252899.45</v>
      </c>
      <c r="DD695" s="243" t="n">
        <v>545392.82</v>
      </c>
      <c r="DE695" s="114" t="n">
        <v>503127.11</v>
      </c>
      <c r="DF695" s="114" t="n">
        <v>0</v>
      </c>
      <c r="DG695" s="114" t="n"/>
      <c r="DH695" s="106" t="n"/>
      <c r="DI695" s="114" t="n">
        <v>0</v>
      </c>
      <c r="DJ695" s="114" t="n">
        <v>0</v>
      </c>
      <c r="DK695" s="114" t="n">
        <v>0</v>
      </c>
      <c r="DL695" s="114" t="n">
        <v>0</v>
      </c>
      <c r="DM695" s="114" t="n">
        <v>0</v>
      </c>
      <c r="DN695" s="114" t="n"/>
      <c r="DO695" s="114" t="n"/>
      <c r="DP695" s="240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</row>
    <row customFormat="true" hidden="false" ht="15" outlineLevel="0" r="696" s="1">
      <c r="A696" s="183" t="n">
        <f aca="false" ca="false" dt2D="false" dtr="false" t="normal">+A695+1</f>
        <v>674</v>
      </c>
      <c r="B696" s="117" t="n">
        <f aca="false" ca="false" dt2D="false" dtr="false" t="normal">+B695+1</f>
        <v>214</v>
      </c>
      <c r="C696" s="117" t="s">
        <v>209</v>
      </c>
      <c r="D696" s="117" t="s">
        <v>657</v>
      </c>
      <c r="E696" s="201" t="n">
        <v>1961</v>
      </c>
      <c r="F696" s="201" t="n">
        <v>2009</v>
      </c>
      <c r="G696" s="201" t="s">
        <v>68</v>
      </c>
      <c r="H696" s="201" t="n">
        <v>2</v>
      </c>
      <c r="I696" s="201" t="n">
        <v>2</v>
      </c>
      <c r="J696" s="114" t="n">
        <v>1068.62</v>
      </c>
      <c r="K696" s="114" t="n">
        <v>637.97</v>
      </c>
      <c r="L696" s="114" t="n">
        <v>254.2</v>
      </c>
      <c r="M696" s="202" t="n">
        <v>27</v>
      </c>
      <c r="N696" s="108" t="n">
        <f aca="false" ca="false" dt2D="false" dtr="false" t="normal">SUM(P696:T696)</f>
        <v>733127.6599999999</v>
      </c>
      <c r="O696" s="114" t="n"/>
      <c r="P696" s="114" t="n"/>
      <c r="Q696" s="114" t="n"/>
      <c r="R696" s="113" t="n">
        <v>161022.22</v>
      </c>
      <c r="S696" s="113" t="n">
        <v>572105.44</v>
      </c>
      <c r="T696" s="114" t="n">
        <v>0</v>
      </c>
      <c r="U696" s="114" t="n">
        <v>1174.28669391319</v>
      </c>
      <c r="V696" s="114" t="n">
        <v>1349.283020064</v>
      </c>
      <c r="W696" s="110" t="n">
        <v>2024</v>
      </c>
      <c r="X696" s="9" t="e">
        <f aca="false" ca="false" dt2D="false" dtr="false" t="normal">+#REF!-'[9]Приложение №1'!$P744</f>
        <v>#REF!</v>
      </c>
      <c r="Z696" s="113" t="n">
        <f aca="false" ca="false" dt2D="false" dtr="false" t="normal">SUM(AA696:AO696)</f>
        <v>614213.7699999999</v>
      </c>
      <c r="AA696" s="106" t="n">
        <v>0</v>
      </c>
      <c r="AB696" s="106" t="n">
        <v>0</v>
      </c>
      <c r="AC696" s="106" t="n">
        <v>534951.93983658</v>
      </c>
      <c r="AD696" s="106" t="n">
        <v>0</v>
      </c>
      <c r="AE696" s="106" t="n">
        <v>0</v>
      </c>
      <c r="AF696" s="106" t="n"/>
      <c r="AG696" s="106" t="n">
        <v>0</v>
      </c>
      <c r="AH696" s="106" t="n">
        <v>0</v>
      </c>
      <c r="AI696" s="106" t="n">
        <v>0</v>
      </c>
      <c r="AJ696" s="106" t="n">
        <v>0</v>
      </c>
      <c r="AK696" s="106" t="n">
        <v>0</v>
      </c>
      <c r="AL696" s="106" t="n">
        <v>0</v>
      </c>
      <c r="AM696" s="106" t="n">
        <v>61421.377</v>
      </c>
      <c r="AN696" s="114" t="n">
        <v>6142.1377</v>
      </c>
      <c r="AO696" s="115" t="n">
        <v>11698.31546342</v>
      </c>
      <c r="AP696" s="112" t="n">
        <f aca="false" ca="false" dt2D="false" dtr="false" t="normal">+N696-'Приложение №2'!E696</f>
        <v>0</v>
      </c>
      <c r="AQ696" s="1" t="n">
        <f aca="false" ca="false" dt2D="false" dtr="false" t="normal">326698.29-288452.3</f>
        <v>38245.98999999999</v>
      </c>
      <c r="AR696" s="3" t="n">
        <f aca="false" ca="false" dt2D="false" dtr="false" t="normal">+(K696*10.5+L696*21)*12*0.85</f>
        <v>122776.227</v>
      </c>
      <c r="AS696" s="3" t="n">
        <f aca="false" ca="false" dt2D="false" dtr="false" t="normal">+(K696*10.5+L696*21)*12*30-886844.04</f>
        <v>3446434.5599999996</v>
      </c>
      <c r="AT696" s="9" t="n">
        <f aca="false" ca="false" dt2D="false" dtr="false" t="normal">+S696-AS696</f>
        <v>-2874329.1199999996</v>
      </c>
      <c r="AU696" s="9" t="e">
        <f aca="false" ca="false" dt2D="false" dtr="false" t="normal">+P696-'[5]Приложение №1'!$P629</f>
        <v>#REF!</v>
      </c>
      <c r="AV696" s="9" t="e">
        <f aca="false" ca="false" dt2D="false" dtr="false" t="normal">+Q696-'[5]Приложение №1'!$Q629</f>
        <v>#REF!</v>
      </c>
      <c r="AW696" s="186" t="n">
        <f aca="false" ca="true" dt2D="false" dtr="false" t="normal">SUBTOTAL(9, AX696:BL696)</f>
        <v>749159.6821158001</v>
      </c>
      <c r="AX696" s="106" t="n">
        <v>0</v>
      </c>
      <c r="AY696" s="106" t="n">
        <v>0</v>
      </c>
      <c r="AZ696" s="106" t="n">
        <v>733127.664918522</v>
      </c>
      <c r="BA696" s="106" t="n">
        <v>0</v>
      </c>
      <c r="BB696" s="106" t="n">
        <v>0</v>
      </c>
      <c r="BC696" s="106" t="n"/>
      <c r="BD696" s="106" t="n"/>
      <c r="BE696" s="106" t="n">
        <v>0</v>
      </c>
      <c r="BF696" s="106" t="n">
        <v>0</v>
      </c>
      <c r="BG696" s="106" t="n">
        <v>0</v>
      </c>
      <c r="BH696" s="106" t="n">
        <v>0</v>
      </c>
      <c r="BI696" s="106" t="n">
        <v>0</v>
      </c>
      <c r="BJ696" s="106" t="n"/>
      <c r="BK696" s="114" t="n"/>
      <c r="BL696" s="115" t="n">
        <v>16032.0171972781</v>
      </c>
      <c r="BM696" s="186" t="n">
        <f aca="false" ca="true" dt2D="false" dtr="false" t="normal">SUBTOTAL(9, BN696:CB696)</f>
        <v>749159.6821158001</v>
      </c>
      <c r="BN696" s="106" t="n">
        <v>0</v>
      </c>
      <c r="BO696" s="106" t="n">
        <v>0</v>
      </c>
      <c r="BP696" s="106" t="n">
        <v>733127.664918522</v>
      </c>
      <c r="BQ696" s="106" t="n">
        <v>0</v>
      </c>
      <c r="BR696" s="106" t="n">
        <v>0</v>
      </c>
      <c r="BS696" s="106" t="n"/>
      <c r="BT696" s="106" t="n"/>
      <c r="BU696" s="106" t="n">
        <v>0</v>
      </c>
      <c r="BV696" s="106" t="n">
        <v>0</v>
      </c>
      <c r="BW696" s="106" t="n">
        <v>0</v>
      </c>
      <c r="BX696" s="106" t="n">
        <v>0</v>
      </c>
      <c r="BY696" s="106" t="n">
        <v>0</v>
      </c>
      <c r="BZ696" s="106" t="n"/>
      <c r="CA696" s="114" t="n"/>
      <c r="CB696" s="115" t="n">
        <v>16032.0171972781</v>
      </c>
      <c r="CD696" s="116" t="e">
        <f aca="false" ca="false" dt2D="false" dtr="false" t="normal">+CD695+1</f>
        <v>#REF!</v>
      </c>
      <c r="CE696" s="117" t="e">
        <f aca="false" ca="false" dt2D="false" dtr="false" t="normal">+CE695+1</f>
        <v>#REF!</v>
      </c>
      <c r="CF696" s="104" t="s">
        <v>209</v>
      </c>
      <c r="CG696" s="104" t="s">
        <v>657</v>
      </c>
      <c r="CH696" s="232" t="n">
        <f aca="false" ca="true" dt2D="false" dtr="false" t="normal">SUBTOTAL(9, CI696:CW696)</f>
        <v>733127.66</v>
      </c>
      <c r="CI696" s="106" t="n">
        <v>0</v>
      </c>
      <c r="CJ696" s="114" t="n">
        <v>0</v>
      </c>
      <c r="CK696" s="114" t="n">
        <v>733127.66</v>
      </c>
      <c r="CL696" s="114" t="n">
        <v>0</v>
      </c>
      <c r="CM696" s="114" t="n">
        <v>0</v>
      </c>
      <c r="CN696" s="114" t="n"/>
      <c r="CO696" s="106" t="n"/>
      <c r="CP696" s="114" t="n">
        <v>0</v>
      </c>
      <c r="CQ696" s="114" t="n">
        <v>0</v>
      </c>
      <c r="CR696" s="114" t="n">
        <v>0</v>
      </c>
      <c r="CS696" s="114" t="n">
        <v>0</v>
      </c>
      <c r="CT696" s="114" t="n">
        <v>0</v>
      </c>
      <c r="CU696" s="114" t="n"/>
      <c r="CV696" s="114" t="n"/>
      <c r="CW696" s="115" t="n"/>
      <c r="CX696" s="3" t="n">
        <f aca="false" ca="false" dt2D="false" dtr="false" t="normal">+N696-CH696</f>
        <v>0</v>
      </c>
      <c r="CZ696" s="104" t="s">
        <v>657</v>
      </c>
      <c r="DA696" s="186" t="n">
        <f aca="false" ca="true" dt2D="false" dtr="false" t="normal">SUBTOTAL(9, DB696:DP696)</f>
        <v>733127.66</v>
      </c>
      <c r="DB696" s="106" t="n">
        <v>0</v>
      </c>
      <c r="DC696" s="114" t="n">
        <v>0</v>
      </c>
      <c r="DD696" s="114" t="n">
        <v>733127.66</v>
      </c>
      <c r="DE696" s="114" t="n">
        <v>0</v>
      </c>
      <c r="DF696" s="114" t="n">
        <v>0</v>
      </c>
      <c r="DG696" s="114" t="n"/>
      <c r="DH696" s="106" t="n"/>
      <c r="DI696" s="114" t="n">
        <v>0</v>
      </c>
      <c r="DJ696" s="114" t="n">
        <v>0</v>
      </c>
      <c r="DK696" s="114" t="n">
        <v>0</v>
      </c>
      <c r="DL696" s="114" t="n">
        <v>0</v>
      </c>
      <c r="DM696" s="114" t="n">
        <v>0</v>
      </c>
      <c r="DN696" s="114" t="n"/>
      <c r="DO696" s="114" t="n"/>
      <c r="DP696" s="240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</row>
    <row customFormat="true" hidden="false" ht="15" outlineLevel="0" r="697" s="1">
      <c r="A697" s="183" t="n">
        <f aca="false" ca="false" dt2D="false" dtr="false" t="normal">+A696+1</f>
        <v>675</v>
      </c>
      <c r="B697" s="117" t="n">
        <f aca="false" ca="false" dt2D="false" dtr="false" t="normal">+B696+1</f>
        <v>215</v>
      </c>
      <c r="C697" s="117" t="s">
        <v>209</v>
      </c>
      <c r="D697" s="117" t="s">
        <v>658</v>
      </c>
      <c r="E697" s="201" t="n">
        <v>1964</v>
      </c>
      <c r="F697" s="201" t="n">
        <v>2009</v>
      </c>
      <c r="G697" s="201" t="s">
        <v>68</v>
      </c>
      <c r="H697" s="201" t="n">
        <v>2</v>
      </c>
      <c r="I697" s="201" t="n">
        <v>2</v>
      </c>
      <c r="J697" s="114" t="n">
        <v>814.22</v>
      </c>
      <c r="K697" s="114" t="n">
        <v>596</v>
      </c>
      <c r="L697" s="114" t="n">
        <v>218.22</v>
      </c>
      <c r="M697" s="202" t="n">
        <v>18</v>
      </c>
      <c r="N697" s="108" t="n">
        <f aca="false" ca="false" dt2D="false" dtr="false" t="normal">SUM(P697:T697)</f>
        <v>669073.39</v>
      </c>
      <c r="O697" s="114" t="n"/>
      <c r="P697" s="114" t="n"/>
      <c r="Q697" s="114" t="n"/>
      <c r="R697" s="113" t="n">
        <v>174798.85</v>
      </c>
      <c r="S697" s="113" t="n">
        <v>494274.54</v>
      </c>
      <c r="T697" s="114" t="n">
        <v>0</v>
      </c>
      <c r="U697" s="114" t="n">
        <v>1147.15548834203</v>
      </c>
      <c r="V697" s="114" t="n">
        <v>1350.283020064</v>
      </c>
      <c r="W697" s="110" t="n">
        <v>2024</v>
      </c>
      <c r="X697" s="9" t="e">
        <f aca="false" ca="false" dt2D="false" dtr="false" t="normal">+#REF!-'[9]Приложение №1'!$P745</f>
        <v>#REF!</v>
      </c>
      <c r="Z697" s="113" t="n">
        <f aca="false" ca="false" dt2D="false" dtr="false" t="normal">SUM(AA697:AO697)</f>
        <v>574052.0800000001</v>
      </c>
      <c r="AA697" s="106" t="n">
        <v>0</v>
      </c>
      <c r="AB697" s="106" t="n">
        <v>0</v>
      </c>
      <c r="AC697" s="106" t="n">
        <v>499972.95528432</v>
      </c>
      <c r="AD697" s="106" t="n">
        <v>0</v>
      </c>
      <c r="AE697" s="106" t="n">
        <v>0</v>
      </c>
      <c r="AF697" s="106" t="n"/>
      <c r="AG697" s="106" t="n">
        <v>0</v>
      </c>
      <c r="AH697" s="106" t="n">
        <v>0</v>
      </c>
      <c r="AI697" s="106" t="n">
        <v>0</v>
      </c>
      <c r="AJ697" s="106" t="n">
        <v>0</v>
      </c>
      <c r="AK697" s="106" t="n">
        <v>0</v>
      </c>
      <c r="AL697" s="106" t="n">
        <v>0</v>
      </c>
      <c r="AM697" s="106" t="n">
        <v>57405.208</v>
      </c>
      <c r="AN697" s="114" t="n">
        <v>5740.5208</v>
      </c>
      <c r="AO697" s="115" t="n">
        <v>10933.39591568</v>
      </c>
      <c r="AP697" s="112" t="n">
        <f aca="false" ca="false" dt2D="false" dtr="false" t="normal">+N697-'Приложение №2'!E697</f>
        <v>0</v>
      </c>
      <c r="AQ697" s="1" t="n">
        <f aca="false" ca="false" dt2D="false" dtr="false" t="normal">341501.29-277276.76</f>
        <v>64224.52999999997</v>
      </c>
      <c r="AR697" s="3" t="n">
        <f aca="false" ca="false" dt2D="false" dtr="false" t="normal">+(K697*10.5+L697*21)*12*0.85</f>
        <v>110574.324</v>
      </c>
      <c r="AS697" s="3" t="n">
        <f aca="false" ca="false" dt2D="false" dtr="false" t="normal">+(K697*10.5+L697*21)*12*30-756724.06</f>
        <v>3145899.1399999997</v>
      </c>
      <c r="AT697" s="9" t="n">
        <f aca="false" ca="false" dt2D="false" dtr="false" t="normal">+S697-AS697</f>
        <v>-2651624.5999999996</v>
      </c>
      <c r="AU697" s="9" t="e">
        <f aca="false" ca="false" dt2D="false" dtr="false" t="normal">+P697-'[5]Приложение №1'!$P630</f>
        <v>#REF!</v>
      </c>
      <c r="AV697" s="9" t="e">
        <f aca="false" ca="false" dt2D="false" dtr="false" t="normal">+Q697-'[5]Приложение №1'!$Q630</f>
        <v>#REF!</v>
      </c>
      <c r="AW697" s="186" t="n">
        <f aca="false" ca="true" dt2D="false" dtr="false" t="normal">SUBTOTAL(9, AX697:BL697)</f>
        <v>683704.6710518475</v>
      </c>
      <c r="AX697" s="106" t="n">
        <v>0</v>
      </c>
      <c r="AY697" s="106" t="n">
        <v>0</v>
      </c>
      <c r="AZ697" s="106" t="n">
        <v>669073.391091338</v>
      </c>
      <c r="BA697" s="106" t="n">
        <v>0</v>
      </c>
      <c r="BB697" s="106" t="n">
        <v>0</v>
      </c>
      <c r="BC697" s="106" t="n"/>
      <c r="BD697" s="106" t="n"/>
      <c r="BE697" s="106" t="n">
        <v>0</v>
      </c>
      <c r="BF697" s="106" t="n">
        <v>0</v>
      </c>
      <c r="BG697" s="106" t="n">
        <v>0</v>
      </c>
      <c r="BH697" s="106" t="n">
        <v>0</v>
      </c>
      <c r="BI697" s="106" t="n">
        <v>0</v>
      </c>
      <c r="BJ697" s="106" t="n"/>
      <c r="BK697" s="114" t="n"/>
      <c r="BL697" s="115" t="n">
        <v>14631.2799605095</v>
      </c>
      <c r="BM697" s="186" t="n">
        <f aca="false" ca="true" dt2D="false" dtr="false" t="normal">SUBTOTAL(9, BN697:CB697)</f>
        <v>683704.6710518475</v>
      </c>
      <c r="BN697" s="106" t="n">
        <v>0</v>
      </c>
      <c r="BO697" s="106" t="n">
        <v>0</v>
      </c>
      <c r="BP697" s="106" t="n">
        <v>669073.391091338</v>
      </c>
      <c r="BQ697" s="106" t="n">
        <v>0</v>
      </c>
      <c r="BR697" s="106" t="n">
        <v>0</v>
      </c>
      <c r="BS697" s="106" t="n"/>
      <c r="BT697" s="106" t="n"/>
      <c r="BU697" s="106" t="n">
        <v>0</v>
      </c>
      <c r="BV697" s="106" t="n">
        <v>0</v>
      </c>
      <c r="BW697" s="106" t="n">
        <v>0</v>
      </c>
      <c r="BX697" s="106" t="n">
        <v>0</v>
      </c>
      <c r="BY697" s="106" t="n">
        <v>0</v>
      </c>
      <c r="BZ697" s="106" t="n"/>
      <c r="CA697" s="114" t="n"/>
      <c r="CB697" s="115" t="n">
        <v>14631.2799605095</v>
      </c>
      <c r="CD697" s="116" t="e">
        <f aca="false" ca="false" dt2D="false" dtr="false" t="normal">+CD696+1</f>
        <v>#REF!</v>
      </c>
      <c r="CE697" s="117" t="e">
        <f aca="false" ca="false" dt2D="false" dtr="false" t="normal">+CE696+1</f>
        <v>#REF!</v>
      </c>
      <c r="CF697" s="104" t="s">
        <v>209</v>
      </c>
      <c r="CG697" s="104" t="s">
        <v>658</v>
      </c>
      <c r="CH697" s="232" t="n">
        <f aca="false" ca="true" dt2D="false" dtr="false" t="normal">SUBTOTAL(9, CI697:CW697)</f>
        <v>669073.39</v>
      </c>
      <c r="CI697" s="106" t="n">
        <v>0</v>
      </c>
      <c r="CJ697" s="114" t="n">
        <v>0</v>
      </c>
      <c r="CK697" s="114" t="n">
        <v>669073.39</v>
      </c>
      <c r="CL697" s="114" t="n">
        <v>0</v>
      </c>
      <c r="CM697" s="114" t="n">
        <v>0</v>
      </c>
      <c r="CN697" s="114" t="n"/>
      <c r="CO697" s="106" t="n"/>
      <c r="CP697" s="114" t="n">
        <v>0</v>
      </c>
      <c r="CQ697" s="114" t="n">
        <v>0</v>
      </c>
      <c r="CR697" s="114" t="n">
        <v>0</v>
      </c>
      <c r="CS697" s="114" t="n">
        <v>0</v>
      </c>
      <c r="CT697" s="114" t="n">
        <v>0</v>
      </c>
      <c r="CU697" s="114" t="n"/>
      <c r="CV697" s="114" t="n"/>
      <c r="CW697" s="115" t="n"/>
      <c r="CX697" s="3" t="n">
        <f aca="false" ca="false" dt2D="false" dtr="false" t="normal">+N697-CH697</f>
        <v>0</v>
      </c>
      <c r="CZ697" s="104" t="s">
        <v>658</v>
      </c>
      <c r="DA697" s="186" t="n">
        <f aca="false" ca="true" dt2D="false" dtr="false" t="normal">SUBTOTAL(9, DB697:DP697)</f>
        <v>669073.39</v>
      </c>
      <c r="DB697" s="106" t="n">
        <v>0</v>
      </c>
      <c r="DC697" s="114" t="n">
        <v>0</v>
      </c>
      <c r="DD697" s="114" t="n">
        <v>669073.39</v>
      </c>
      <c r="DE697" s="114" t="n">
        <v>0</v>
      </c>
      <c r="DF697" s="114" t="n">
        <v>0</v>
      </c>
      <c r="DG697" s="114" t="n"/>
      <c r="DH697" s="106" t="n"/>
      <c r="DI697" s="114" t="n">
        <v>0</v>
      </c>
      <c r="DJ697" s="114" t="n">
        <v>0</v>
      </c>
      <c r="DK697" s="114" t="n">
        <v>0</v>
      </c>
      <c r="DL697" s="114" t="n">
        <v>0</v>
      </c>
      <c r="DM697" s="114" t="n">
        <v>0</v>
      </c>
      <c r="DN697" s="114" t="n"/>
      <c r="DO697" s="114" t="n"/>
      <c r="DP697" s="240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</row>
    <row customFormat="true" hidden="false" ht="15" outlineLevel="0" r="698" s="1">
      <c r="A698" s="183" t="n">
        <f aca="false" ca="false" dt2D="false" dtr="false" t="normal">+A697+1</f>
        <v>676</v>
      </c>
      <c r="B698" s="117" t="n">
        <f aca="false" ca="false" dt2D="false" dtr="false" t="normal">+B697+1</f>
        <v>216</v>
      </c>
      <c r="C698" s="117" t="s">
        <v>209</v>
      </c>
      <c r="D698" s="117" t="s">
        <v>498</v>
      </c>
      <c r="E698" s="201" t="n">
        <v>1984</v>
      </c>
      <c r="F698" s="201" t="n">
        <v>2009</v>
      </c>
      <c r="G698" s="201" t="s">
        <v>68</v>
      </c>
      <c r="H698" s="201" t="n">
        <v>2</v>
      </c>
      <c r="I698" s="201" t="n">
        <v>2</v>
      </c>
      <c r="J698" s="114" t="n">
        <v>1164.7</v>
      </c>
      <c r="K698" s="114" t="n">
        <v>745.9</v>
      </c>
      <c r="L698" s="114" t="n">
        <v>304.1</v>
      </c>
      <c r="M698" s="202" t="n">
        <v>37</v>
      </c>
      <c r="N698" s="108" t="n">
        <f aca="false" ca="false" dt2D="false" dtr="false" t="normal">SUM(P698:T698)</f>
        <v>2221722.06</v>
      </c>
      <c r="O698" s="114" t="n"/>
      <c r="P698" s="113" t="n">
        <v>502847.81</v>
      </c>
      <c r="Q698" s="114" t="n"/>
      <c r="R698" s="113" t="n">
        <v>115647.13</v>
      </c>
      <c r="S698" s="113" t="n">
        <v>1052071.52</v>
      </c>
      <c r="T698" s="113" t="n">
        <v>551155.6</v>
      </c>
      <c r="U698" s="114" t="n">
        <v>6750.03475726766</v>
      </c>
      <c r="V698" s="114" t="n">
        <v>6750.03475726766</v>
      </c>
      <c r="W698" s="110" t="n">
        <v>2024</v>
      </c>
      <c r="X698" s="9" t="e">
        <f aca="false" ca="false" dt2D="false" dtr="false" t="normal">+#REF!-'[9]Приложение №1'!$P1863</f>
        <v>#REF!</v>
      </c>
      <c r="Z698" s="113" t="n">
        <f aca="false" ca="false" dt2D="false" dtr="false" t="normal">SUM(AA698:AO698)</f>
        <v>12533218.82</v>
      </c>
      <c r="AA698" s="106" t="n">
        <v>2147390.797461</v>
      </c>
      <c r="AB698" s="106" t="n">
        <v>1306656.8383722</v>
      </c>
      <c r="AC698" s="106" t="n">
        <v>615697.18809396</v>
      </c>
      <c r="AD698" s="106" t="n">
        <v>524713.46015088</v>
      </c>
      <c r="AE698" s="106" t="n">
        <v>0</v>
      </c>
      <c r="AF698" s="106" t="n"/>
      <c r="AG698" s="106" t="n">
        <v>228234.10595496</v>
      </c>
      <c r="AH698" s="106" t="n">
        <v>0</v>
      </c>
      <c r="AI698" s="106" t="n">
        <v>6212039.0494932</v>
      </c>
      <c r="AJ698" s="106" t="n">
        <v>0</v>
      </c>
      <c r="AK698" s="106" t="n">
        <v>0</v>
      </c>
      <c r="AL698" s="106" t="n">
        <v>0</v>
      </c>
      <c r="AM698" s="106" t="n">
        <v>1131847.9648</v>
      </c>
      <c r="AN698" s="114" t="n">
        <v>125332.1882</v>
      </c>
      <c r="AO698" s="115" t="n">
        <v>241307.2274738</v>
      </c>
      <c r="AP698" s="112" t="n">
        <f aca="false" ca="false" dt2D="false" dtr="false" t="normal">+N698-'Приложение №2'!E698</f>
        <v>0</v>
      </c>
      <c r="AQ698" s="9" t="e">
        <f aca="false" ca="false" dt2D="false" dtr="false" t="normal">397731.31-#REF!</f>
        <v>#REF!</v>
      </c>
      <c r="AR698" s="3" t="n">
        <f aca="false" ca="false" dt2D="false" dtr="false" t="normal">+(K698*10+L698*20)*12*0.85</f>
        <v>138118.19999999998</v>
      </c>
      <c r="AS698" s="3" t="e">
        <f aca="false" ca="false" dt2D="false" dtr="false" t="normal">+(K698*10+L698*20)*12*30-#REF!</f>
        <v>#REF!</v>
      </c>
      <c r="AT698" s="9" t="e">
        <f aca="false" ca="false" dt2D="false" dtr="false" t="normal">+S698-AS698</f>
        <v>#REF!</v>
      </c>
      <c r="AU698" s="9" t="e">
        <f aca="false" ca="false" dt2D="false" dtr="false" t="normal">+P698-'[5]Приложение №1'!$P680</f>
        <v>#REF!</v>
      </c>
      <c r="AV698" s="9" t="e">
        <f aca="false" ca="false" dt2D="false" dtr="false" t="normal">+Q698-'[5]Приложение №1'!$Q680</f>
        <v>#REF!</v>
      </c>
      <c r="AW698" s="113" t="n">
        <f aca="false" ca="true" dt2D="false" dtr="false" t="normal">SUBTOTAL(9, AX698:BL698)</f>
        <v>7087536.49513104</v>
      </c>
      <c r="AX698" s="106" t="n"/>
      <c r="AY698" s="106" t="n"/>
      <c r="AZ698" s="106" t="n"/>
      <c r="BA698" s="106" t="n"/>
      <c r="BB698" s="106" t="n">
        <v>0</v>
      </c>
      <c r="BC698" s="106" t="n"/>
      <c r="BD698" s="106" t="n"/>
      <c r="BE698" s="106" t="n">
        <v>0</v>
      </c>
      <c r="BF698" s="106" t="n">
        <v>6850480.828842</v>
      </c>
      <c r="BG698" s="106" t="n">
        <v>0</v>
      </c>
      <c r="BH698" s="106" t="n">
        <v>0</v>
      </c>
      <c r="BI698" s="106" t="n">
        <v>0</v>
      </c>
      <c r="BJ698" s="106" t="n"/>
      <c r="BK698" s="114" t="n"/>
      <c r="BL698" s="115" t="n">
        <v>237055.66628904</v>
      </c>
      <c r="BM698" s="113" t="n">
        <f aca="false" ca="true" dt2D="false" dtr="false" t="normal">SUBTOTAL(9, BN698:CB698)</f>
        <v>7087536.49513104</v>
      </c>
      <c r="BN698" s="106" t="n"/>
      <c r="BO698" s="106" t="n"/>
      <c r="BP698" s="106" t="n"/>
      <c r="BQ698" s="106" t="n"/>
      <c r="BR698" s="106" t="n">
        <v>0</v>
      </c>
      <c r="BS698" s="106" t="n"/>
      <c r="BT698" s="106" t="n"/>
      <c r="BU698" s="106" t="n">
        <v>0</v>
      </c>
      <c r="BV698" s="106" t="n">
        <v>6850480.828842</v>
      </c>
      <c r="BW698" s="106" t="n">
        <v>0</v>
      </c>
      <c r="BX698" s="106" t="n">
        <v>0</v>
      </c>
      <c r="BY698" s="106" t="n">
        <v>0</v>
      </c>
      <c r="BZ698" s="106" t="n"/>
      <c r="CA698" s="114" t="n"/>
      <c r="CB698" s="115" t="n">
        <v>237055.66628904</v>
      </c>
      <c r="CD698" s="116" t="e">
        <f aca="false" ca="false" dt2D="false" dtr="false" t="normal">+CD697+1</f>
        <v>#REF!</v>
      </c>
      <c r="CE698" s="117" t="e">
        <f aca="false" ca="false" dt2D="false" dtr="false" t="normal">+CE697+1</f>
        <v>#REF!</v>
      </c>
      <c r="CF698" s="104" t="s">
        <v>209</v>
      </c>
      <c r="CG698" s="104" t="s">
        <v>498</v>
      </c>
      <c r="CH698" s="108" t="n">
        <f aca="false" ca="true" dt2D="false" dtr="false" t="normal">SUBTOTAL(9, CI698:CW698)</f>
        <v>2221722.06</v>
      </c>
      <c r="CI698" s="106" t="n">
        <v>2221722.06</v>
      </c>
      <c r="CJ698" s="114" t="n"/>
      <c r="CK698" s="114" t="n"/>
      <c r="CL698" s="114" t="n"/>
      <c r="CM698" s="114" t="n">
        <v>0</v>
      </c>
      <c r="CN698" s="114" t="n"/>
      <c r="CO698" s="106" t="n"/>
      <c r="CP698" s="114" t="n">
        <v>0</v>
      </c>
      <c r="CQ698" s="114" t="n"/>
      <c r="CR698" s="114" t="n">
        <v>0</v>
      </c>
      <c r="CS698" s="114" t="n">
        <v>0</v>
      </c>
      <c r="CT698" s="114" t="n">
        <v>0</v>
      </c>
      <c r="CU698" s="114" t="n"/>
      <c r="CV698" s="114" t="n"/>
      <c r="CW698" s="115" t="n"/>
      <c r="CX698" s="3" t="n">
        <f aca="false" ca="false" dt2D="false" dtr="false" t="normal">+N698-CH698</f>
        <v>0</v>
      </c>
      <c r="CZ698" s="104" t="s">
        <v>498</v>
      </c>
      <c r="DA698" s="113" t="n">
        <f aca="false" ca="true" dt2D="false" dtr="false" t="normal">SUBTOTAL(9, DB698:DP698)</f>
        <v>2221722.06</v>
      </c>
      <c r="DB698" s="106" t="n">
        <v>2221722.06</v>
      </c>
      <c r="DC698" s="114" t="n"/>
      <c r="DD698" s="114" t="n"/>
      <c r="DE698" s="114" t="n"/>
      <c r="DF698" s="114" t="n">
        <v>0</v>
      </c>
      <c r="DG698" s="114" t="n"/>
      <c r="DH698" s="106" t="n"/>
      <c r="DI698" s="114" t="n">
        <v>0</v>
      </c>
      <c r="DJ698" s="114" t="n"/>
      <c r="DK698" s="114" t="n">
        <v>0</v>
      </c>
      <c r="DL698" s="114" t="n">
        <v>0</v>
      </c>
      <c r="DM698" s="114" t="n">
        <v>0</v>
      </c>
      <c r="DN698" s="241" t="n"/>
      <c r="DO698" s="241" t="n"/>
      <c r="DP698" s="240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</row>
    <row customFormat="true" hidden="false" ht="15" outlineLevel="0" r="699" s="1">
      <c r="A699" s="183" t="n">
        <f aca="false" ca="false" dt2D="false" dtr="false" t="normal">+A698+1</f>
        <v>677</v>
      </c>
      <c r="B699" s="117" t="n">
        <f aca="false" ca="false" dt2D="false" dtr="false" t="normal">+B698+1</f>
        <v>217</v>
      </c>
      <c r="C699" s="117" t="s">
        <v>209</v>
      </c>
      <c r="D699" s="117" t="s">
        <v>659</v>
      </c>
      <c r="E699" s="201" t="n">
        <v>1975</v>
      </c>
      <c r="F699" s="201" t="n">
        <v>2008</v>
      </c>
      <c r="G699" s="201" t="s">
        <v>68</v>
      </c>
      <c r="H699" s="201" t="n">
        <v>2</v>
      </c>
      <c r="I699" s="201" t="n">
        <v>2</v>
      </c>
      <c r="J699" s="114" t="n">
        <v>772.26</v>
      </c>
      <c r="K699" s="114" t="n">
        <v>695.29</v>
      </c>
      <c r="L699" s="114" t="n">
        <v>0</v>
      </c>
      <c r="M699" s="202" t="n">
        <v>34</v>
      </c>
      <c r="N699" s="108" t="n">
        <f aca="false" ca="false" dt2D="false" dtr="false" t="normal">SUM(P699:T699)</f>
        <v>4466239.98</v>
      </c>
      <c r="O699" s="114" t="n"/>
      <c r="P699" s="113" t="n">
        <v>353690.85</v>
      </c>
      <c r="Q699" s="114" t="n"/>
      <c r="R699" s="113" t="n">
        <v>362643.93</v>
      </c>
      <c r="S699" s="113" t="n">
        <v>2628196.2</v>
      </c>
      <c r="T699" s="113" t="n">
        <v>1121709</v>
      </c>
      <c r="U699" s="114" t="n">
        <v>7642.46097336258</v>
      </c>
      <c r="V699" s="114" t="n">
        <v>1354.283020064</v>
      </c>
      <c r="W699" s="110" t="n">
        <v>2024</v>
      </c>
      <c r="X699" s="9" t="e">
        <f aca="false" ca="false" dt2D="false" dtr="false" t="normal">+#REF!-'[9]Приложение №1'!$P759</f>
        <v>#REF!</v>
      </c>
      <c r="Z699" s="113" t="n">
        <f aca="false" ca="false" dt2D="false" dtr="false" t="normal">SUM(AA699:AO699)</f>
        <v>3527367.4699999997</v>
      </c>
      <c r="AA699" s="106" t="n">
        <v>1382229.23628972</v>
      </c>
      <c r="AB699" s="106" t="n">
        <v>841066.88252748</v>
      </c>
      <c r="AC699" s="106" t="n">
        <v>396311.0260263</v>
      </c>
      <c r="AD699" s="106" t="n">
        <v>337746.75668412</v>
      </c>
      <c r="AE699" s="106" t="n">
        <v>0</v>
      </c>
      <c r="AF699" s="106" t="n"/>
      <c r="AG699" s="106" t="n">
        <v>146909.38508988</v>
      </c>
      <c r="AH699" s="106" t="n">
        <v>0</v>
      </c>
      <c r="AI699" s="106" t="n">
        <v>0</v>
      </c>
      <c r="AJ699" s="106" t="n">
        <v>0</v>
      </c>
      <c r="AK699" s="106" t="n">
        <v>0</v>
      </c>
      <c r="AL699" s="106" t="n">
        <v>0</v>
      </c>
      <c r="AM699" s="106" t="n">
        <v>319946.5578</v>
      </c>
      <c r="AN699" s="114" t="n">
        <v>35273.6747</v>
      </c>
      <c r="AO699" s="115" t="n">
        <v>67883.9508825</v>
      </c>
      <c r="AP699" s="112" t="n">
        <f aca="false" ca="false" dt2D="false" dtr="false" t="normal">+N699-'Приложение №2'!E699</f>
        <v>0</v>
      </c>
      <c r="AQ699" s="121" t="n">
        <v>288178.37</v>
      </c>
      <c r="AR699" s="3" t="n">
        <f aca="false" ca="false" dt2D="false" dtr="false" t="normal">+(K699*10.5+L699*21)*12*0.85</f>
        <v>74465.55900000001</v>
      </c>
      <c r="AS699" s="3" t="n">
        <f aca="false" ca="false" dt2D="false" dtr="false" t="normal">+(K699*10.5+L699*21)*12*30</f>
        <v>2628196.2</v>
      </c>
      <c r="AT699" s="9" t="n">
        <f aca="false" ca="false" dt2D="false" dtr="false" t="normal">+S699-AS699</f>
        <v>0</v>
      </c>
      <c r="AU699" s="9" t="e">
        <f aca="false" ca="false" dt2D="false" dtr="false" t="normal">+P699-'[5]Приложение №1'!$P634</f>
        <v>#REF!</v>
      </c>
      <c r="AV699" s="9" t="e">
        <f aca="false" ca="false" dt2D="false" dtr="false" t="normal">+Q699-'[5]Приложение №1'!$Q634</f>
        <v>#REF!</v>
      </c>
      <c r="AW699" s="186" t="n">
        <f aca="false" ca="true" dt2D="false" dtr="false" t="normal">SUBTOTAL(9, AX699:BL699)</f>
        <v>5313726.690169261</v>
      </c>
      <c r="AX699" s="106" t="n">
        <v>2358976.68175696</v>
      </c>
      <c r="AY699" s="106" t="n">
        <v>1427054.77949632</v>
      </c>
      <c r="AZ699" s="106" t="n">
        <v>571344.400889067</v>
      </c>
      <c r="BA699" s="106" t="n">
        <v>585497.252019647</v>
      </c>
      <c r="BB699" s="106" t="n">
        <v>0</v>
      </c>
      <c r="BC699" s="106" t="n"/>
      <c r="BD699" s="106" t="n">
        <v>257139.824837645</v>
      </c>
      <c r="BE699" s="106" t="n">
        <v>0</v>
      </c>
      <c r="BF699" s="106" t="n">
        <v>0</v>
      </c>
      <c r="BG699" s="106" t="n">
        <v>0</v>
      </c>
      <c r="BH699" s="106" t="n">
        <v>0</v>
      </c>
      <c r="BI699" s="106" t="n">
        <v>0</v>
      </c>
      <c r="BJ699" s="106" t="n"/>
      <c r="BK699" s="114" t="n"/>
      <c r="BL699" s="115" t="n">
        <v>113713.751169622</v>
      </c>
      <c r="BM699" s="186" t="n">
        <f aca="false" ca="true" dt2D="false" dtr="false" t="normal">SUBTOTAL(9, BN699:CB699)</f>
        <v>5313726.690169261</v>
      </c>
      <c r="BN699" s="106" t="n">
        <v>2358976.68175696</v>
      </c>
      <c r="BO699" s="106" t="n">
        <v>1427054.77949632</v>
      </c>
      <c r="BP699" s="106" t="n">
        <v>571344.400889067</v>
      </c>
      <c r="BQ699" s="106" t="n">
        <v>585497.252019647</v>
      </c>
      <c r="BR699" s="106" t="n">
        <v>0</v>
      </c>
      <c r="BS699" s="106" t="n"/>
      <c r="BT699" s="106" t="n">
        <v>257139.824837645</v>
      </c>
      <c r="BU699" s="106" t="n">
        <v>0</v>
      </c>
      <c r="BV699" s="106" t="n">
        <v>0</v>
      </c>
      <c r="BW699" s="106" t="n">
        <v>0</v>
      </c>
      <c r="BX699" s="106" t="n">
        <v>0</v>
      </c>
      <c r="BY699" s="106" t="n">
        <v>0</v>
      </c>
      <c r="BZ699" s="106" t="n"/>
      <c r="CA699" s="114" t="n"/>
      <c r="CB699" s="115" t="n">
        <v>113713.751169622</v>
      </c>
      <c r="CD699" s="116" t="e">
        <f aca="false" ca="false" dt2D="false" dtr="false" t="normal">+CD698+1</f>
        <v>#REF!</v>
      </c>
      <c r="CE699" s="117" t="e">
        <f aca="false" ca="false" dt2D="false" dtr="false" t="normal">+CE698+1</f>
        <v>#REF!</v>
      </c>
      <c r="CF699" s="104" t="s">
        <v>209</v>
      </c>
      <c r="CG699" s="104" t="s">
        <v>659</v>
      </c>
      <c r="CH699" s="232" t="n">
        <f aca="false" ca="true" dt2D="false" dtr="false" t="normal">SUBTOTAL(9, CI699:CW699)</f>
        <v>4579953.7299999995</v>
      </c>
      <c r="CI699" s="192" t="n">
        <v>2463106.8</v>
      </c>
      <c r="CJ699" s="243" t="n">
        <v>850803.38</v>
      </c>
      <c r="CK699" s="243" t="n">
        <v>705997.3</v>
      </c>
      <c r="CL699" s="243" t="n">
        <v>446332.5</v>
      </c>
      <c r="CM699" s="114" t="n">
        <v>0</v>
      </c>
      <c r="CN699" s="114" t="n"/>
      <c r="CO699" s="106" t="n"/>
      <c r="CP699" s="114" t="n">
        <v>0</v>
      </c>
      <c r="CQ699" s="114" t="n">
        <v>0</v>
      </c>
      <c r="CR699" s="114" t="n">
        <v>0</v>
      </c>
      <c r="CS699" s="114" t="n">
        <v>0</v>
      </c>
      <c r="CT699" s="114" t="n">
        <v>0</v>
      </c>
      <c r="CU699" s="114" t="n"/>
      <c r="CV699" s="114" t="n"/>
      <c r="CW699" s="115" t="n">
        <v>113713.75</v>
      </c>
      <c r="CX699" s="3" t="n">
        <f aca="false" ca="false" dt2D="false" dtr="false" t="normal">+N699-CH699</f>
        <v>-113713.74999999907</v>
      </c>
      <c r="CZ699" s="104" t="s">
        <v>659</v>
      </c>
      <c r="DA699" s="186" t="n">
        <f aca="false" ca="true" dt2D="false" dtr="false" t="normal">SUBTOTAL(9, DB699:DP699)</f>
        <v>4466239.9799999995</v>
      </c>
      <c r="DB699" s="192" t="n">
        <v>2463106.8</v>
      </c>
      <c r="DC699" s="243" t="n">
        <v>850803.38</v>
      </c>
      <c r="DD699" s="243" t="n">
        <v>705997.3</v>
      </c>
      <c r="DE699" s="243" t="n">
        <v>446332.5</v>
      </c>
      <c r="DF699" s="114" t="n">
        <v>0</v>
      </c>
      <c r="DG699" s="114" t="n"/>
      <c r="DH699" s="106" t="n"/>
      <c r="DI699" s="114" t="n">
        <v>0</v>
      </c>
      <c r="DJ699" s="114" t="n">
        <v>0</v>
      </c>
      <c r="DK699" s="114" t="n">
        <v>0</v>
      </c>
      <c r="DL699" s="114" t="n">
        <v>0</v>
      </c>
      <c r="DM699" s="114" t="n">
        <v>0</v>
      </c>
      <c r="DN699" s="114" t="n"/>
      <c r="DO699" s="114" t="n"/>
      <c r="DP699" s="240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</row>
    <row customFormat="true" hidden="false" ht="15" outlineLevel="0" r="700" s="1">
      <c r="A700" s="183" t="n">
        <f aca="false" ca="false" dt2D="false" dtr="false" t="normal">+A699+1</f>
        <v>678</v>
      </c>
      <c r="B700" s="117" t="n">
        <f aca="false" ca="false" dt2D="false" dtr="false" t="normal">+B699+1</f>
        <v>218</v>
      </c>
      <c r="C700" s="117" t="s">
        <v>209</v>
      </c>
      <c r="D700" s="117" t="s">
        <v>660</v>
      </c>
      <c r="E700" s="201" t="n">
        <v>1969</v>
      </c>
      <c r="F700" s="201" t="n">
        <v>1969</v>
      </c>
      <c r="G700" s="201" t="s">
        <v>68</v>
      </c>
      <c r="H700" s="201" t="n">
        <v>2</v>
      </c>
      <c r="I700" s="201" t="n">
        <v>2</v>
      </c>
      <c r="J700" s="114" t="n">
        <v>842.59</v>
      </c>
      <c r="K700" s="114" t="n">
        <v>626.4</v>
      </c>
      <c r="L700" s="114" t="n">
        <v>216.19</v>
      </c>
      <c r="M700" s="202" t="n">
        <v>29</v>
      </c>
      <c r="N700" s="108" t="n">
        <f aca="false" ca="false" dt2D="false" dtr="false" t="normal">SUM(P700:T700)</f>
        <v>692386.02</v>
      </c>
      <c r="O700" s="114" t="n"/>
      <c r="P700" s="114" t="n"/>
      <c r="Q700" s="114" t="n"/>
      <c r="R700" s="113" t="n">
        <v>195852.44</v>
      </c>
      <c r="S700" s="113" t="n">
        <v>496533.58</v>
      </c>
      <c r="T700" s="114" t="n">
        <v>0</v>
      </c>
      <c r="U700" s="114" t="n">
        <v>1129.51325702398</v>
      </c>
      <c r="V700" s="114" t="n">
        <v>1351.283020064</v>
      </c>
      <c r="W700" s="110" t="n">
        <v>2024</v>
      </c>
      <c r="X700" s="9" t="e">
        <f aca="false" ca="false" dt2D="false" dtr="false" t="normal">+S700-'[9]Приложение №1'!$P749</f>
        <v>#REF!</v>
      </c>
      <c r="Z700" s="113" t="n">
        <f aca="false" ca="false" dt2D="false" dtr="false" t="normal">SUM(AA700:AO700)</f>
        <v>603292.0999999999</v>
      </c>
      <c r="AA700" s="106" t="n">
        <v>0</v>
      </c>
      <c r="AB700" s="106" t="n">
        <v>0</v>
      </c>
      <c r="AC700" s="106" t="n">
        <v>525439.6676634</v>
      </c>
      <c r="AD700" s="106" t="n">
        <v>0</v>
      </c>
      <c r="AE700" s="106" t="n">
        <v>0</v>
      </c>
      <c r="AF700" s="106" t="n"/>
      <c r="AG700" s="106" t="n">
        <v>0</v>
      </c>
      <c r="AH700" s="106" t="n">
        <v>0</v>
      </c>
      <c r="AI700" s="106" t="n">
        <v>0</v>
      </c>
      <c r="AJ700" s="106" t="n">
        <v>0</v>
      </c>
      <c r="AK700" s="106" t="n">
        <v>0</v>
      </c>
      <c r="AL700" s="106" t="n">
        <v>0</v>
      </c>
      <c r="AM700" s="106" t="n">
        <v>60329.21</v>
      </c>
      <c r="AN700" s="114" t="n">
        <v>6032.921</v>
      </c>
      <c r="AO700" s="115" t="n">
        <v>11490.3013366</v>
      </c>
      <c r="AP700" s="112" t="n">
        <f aca="false" ca="false" dt2D="false" dtr="false" t="normal">+N700-'Приложение №2'!E700</f>
        <v>0</v>
      </c>
      <c r="AQ700" s="1" t="n">
        <f aca="false" ca="false" dt2D="false" dtr="false" t="normal">379343.67-296886.57</f>
        <v>82457.09999999998</v>
      </c>
      <c r="AR700" s="3" t="n">
        <f aca="false" ca="false" dt2D="false" dtr="false" t="normal">+(K700*10.5+L700*21)*12*0.85</f>
        <v>113395.33799999997</v>
      </c>
      <c r="AS700" s="3" t="n">
        <f aca="false" ca="false" dt2D="false" dtr="false" t="normal">+(K700*10.5+L700*21)*12*30-514905.43</f>
        <v>3487282.969999999</v>
      </c>
      <c r="AT700" s="9" t="n">
        <f aca="false" ca="false" dt2D="false" dtr="false" t="normal">+S700-AS700</f>
        <v>-2990749.3899999987</v>
      </c>
      <c r="AU700" s="9" t="e">
        <f aca="false" ca="false" dt2D="false" dtr="false" t="normal">+P700-'[5]Приложение №1'!$P631</f>
        <v>#REF!</v>
      </c>
      <c r="AV700" s="9" t="e">
        <f aca="false" ca="false" dt2D="false" dtr="false" t="normal">+Q700-'[5]Приложение №1'!$Q631</f>
        <v>#REF!</v>
      </c>
      <c r="AW700" s="186" t="n">
        <f aca="false" ca="true" dt2D="false" dtr="false" t="normal">SUBTOTAL(9, AX700:BL700)</f>
        <v>707527.1041998181</v>
      </c>
      <c r="AX700" s="106" t="n">
        <v>0</v>
      </c>
      <c r="AY700" s="106" t="n">
        <v>0</v>
      </c>
      <c r="AZ700" s="106" t="n">
        <v>692386.024169942</v>
      </c>
      <c r="BA700" s="106" t="n">
        <v>0</v>
      </c>
      <c r="BB700" s="106" t="n">
        <v>0</v>
      </c>
      <c r="BC700" s="106" t="n"/>
      <c r="BD700" s="106" t="n"/>
      <c r="BE700" s="106" t="n">
        <v>0</v>
      </c>
      <c r="BF700" s="106" t="n">
        <v>0</v>
      </c>
      <c r="BG700" s="106" t="n">
        <v>0</v>
      </c>
      <c r="BH700" s="106" t="n">
        <v>0</v>
      </c>
      <c r="BI700" s="106" t="n">
        <v>0</v>
      </c>
      <c r="BJ700" s="106" t="n"/>
      <c r="BK700" s="114" t="n"/>
      <c r="BL700" s="115" t="n">
        <v>15141.0800298761</v>
      </c>
      <c r="BM700" s="186" t="n">
        <f aca="false" ca="true" dt2D="false" dtr="false" t="normal">SUBTOTAL(9, BN700:CB700)</f>
        <v>707527.1041998181</v>
      </c>
      <c r="BN700" s="106" t="n">
        <v>0</v>
      </c>
      <c r="BO700" s="106" t="n">
        <v>0</v>
      </c>
      <c r="BP700" s="106" t="n">
        <v>692386.024169942</v>
      </c>
      <c r="BQ700" s="106" t="n">
        <v>0</v>
      </c>
      <c r="BR700" s="106" t="n">
        <v>0</v>
      </c>
      <c r="BS700" s="106" t="n"/>
      <c r="BT700" s="106" t="n"/>
      <c r="BU700" s="106" t="n">
        <v>0</v>
      </c>
      <c r="BV700" s="106" t="n">
        <v>0</v>
      </c>
      <c r="BW700" s="106" t="n">
        <v>0</v>
      </c>
      <c r="BX700" s="106" t="n">
        <v>0</v>
      </c>
      <c r="BY700" s="106" t="n">
        <v>0</v>
      </c>
      <c r="BZ700" s="106" t="n"/>
      <c r="CA700" s="114" t="n"/>
      <c r="CB700" s="115" t="n">
        <v>15141.0800298761</v>
      </c>
      <c r="CD700" s="116" t="e">
        <f aca="false" ca="false" dt2D="false" dtr="false" t="normal">+CD699+1</f>
        <v>#REF!</v>
      </c>
      <c r="CE700" s="117" t="e">
        <f aca="false" ca="false" dt2D="false" dtr="false" t="normal">+CE699+1</f>
        <v>#REF!</v>
      </c>
      <c r="CF700" s="104" t="s">
        <v>209</v>
      </c>
      <c r="CG700" s="104" t="s">
        <v>660</v>
      </c>
      <c r="CH700" s="232" t="n">
        <f aca="false" ca="true" dt2D="false" dtr="false" t="normal">SUBTOTAL(9, CI700:CW700)</f>
        <v>692386.02</v>
      </c>
      <c r="CI700" s="106" t="n">
        <v>0</v>
      </c>
      <c r="CJ700" s="114" t="n">
        <v>0</v>
      </c>
      <c r="CK700" s="114" t="n">
        <v>692386.02</v>
      </c>
      <c r="CL700" s="114" t="n">
        <v>0</v>
      </c>
      <c r="CM700" s="114" t="n">
        <v>0</v>
      </c>
      <c r="CN700" s="114" t="n"/>
      <c r="CO700" s="106" t="n"/>
      <c r="CP700" s="114" t="n">
        <v>0</v>
      </c>
      <c r="CQ700" s="114" t="n">
        <v>0</v>
      </c>
      <c r="CR700" s="114" t="n">
        <v>0</v>
      </c>
      <c r="CS700" s="114" t="n">
        <v>0</v>
      </c>
      <c r="CT700" s="114" t="n">
        <v>0</v>
      </c>
      <c r="CU700" s="114" t="n"/>
      <c r="CV700" s="114" t="n"/>
      <c r="CW700" s="115" t="n"/>
      <c r="CX700" s="3" t="n">
        <f aca="false" ca="false" dt2D="false" dtr="false" t="normal">+N700-CH700</f>
        <v>0</v>
      </c>
      <c r="CZ700" s="104" t="s">
        <v>660</v>
      </c>
      <c r="DA700" s="186" t="n">
        <f aca="false" ca="true" dt2D="false" dtr="false" t="normal">SUBTOTAL(9, DB700:DP700)</f>
        <v>692386.02</v>
      </c>
      <c r="DB700" s="106" t="n">
        <v>0</v>
      </c>
      <c r="DC700" s="114" t="n">
        <v>0</v>
      </c>
      <c r="DD700" s="114" t="n">
        <v>692386.02</v>
      </c>
      <c r="DE700" s="114" t="n">
        <v>0</v>
      </c>
      <c r="DF700" s="114" t="n">
        <v>0</v>
      </c>
      <c r="DG700" s="114" t="n"/>
      <c r="DH700" s="106" t="n"/>
      <c r="DI700" s="114" t="n">
        <v>0</v>
      </c>
      <c r="DJ700" s="114" t="n">
        <v>0</v>
      </c>
      <c r="DK700" s="114" t="n">
        <v>0</v>
      </c>
      <c r="DL700" s="114" t="n">
        <v>0</v>
      </c>
      <c r="DM700" s="114" t="n">
        <v>0</v>
      </c>
      <c r="DN700" s="114" t="n"/>
      <c r="DO700" s="114" t="n"/>
      <c r="DP700" s="240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</row>
    <row customFormat="true" hidden="false" ht="15" outlineLevel="0" r="701" s="1">
      <c r="A701" s="183" t="n">
        <f aca="false" ca="false" dt2D="false" dtr="false" t="normal">+A700+1</f>
        <v>679</v>
      </c>
      <c r="B701" s="117" t="n">
        <f aca="false" ca="false" dt2D="false" dtr="false" t="normal">+B700+1</f>
        <v>219</v>
      </c>
      <c r="C701" s="117" t="s">
        <v>209</v>
      </c>
      <c r="D701" s="117" t="s">
        <v>661</v>
      </c>
      <c r="E701" s="201" t="n">
        <v>1963</v>
      </c>
      <c r="F701" s="201" t="n">
        <v>2008</v>
      </c>
      <c r="G701" s="201" t="s">
        <v>68</v>
      </c>
      <c r="H701" s="201" t="n">
        <v>2</v>
      </c>
      <c r="I701" s="201" t="n">
        <v>2</v>
      </c>
      <c r="J701" s="114" t="n">
        <v>815.23</v>
      </c>
      <c r="K701" s="114" t="n">
        <v>621.87</v>
      </c>
      <c r="L701" s="114" t="n">
        <v>0</v>
      </c>
      <c r="M701" s="202" t="n">
        <v>50</v>
      </c>
      <c r="N701" s="108" t="n">
        <f aca="false" ca="false" dt2D="false" dtr="false" t="normal">SUM(P701:T701)</f>
        <v>2084627.56</v>
      </c>
      <c r="O701" s="114" t="n"/>
      <c r="P701" s="114" t="n"/>
      <c r="Q701" s="114" t="n"/>
      <c r="R701" s="113" t="n">
        <v>359794.98</v>
      </c>
      <c r="S701" s="113" t="n">
        <v>1724832.58</v>
      </c>
      <c r="T701" s="114" t="n">
        <v>0</v>
      </c>
      <c r="U701" s="114" t="n">
        <v>3425.49751346696</v>
      </c>
      <c r="V701" s="114" t="n">
        <v>1352.283020064</v>
      </c>
      <c r="W701" s="110" t="n">
        <v>2024</v>
      </c>
      <c r="X701" s="9" t="e">
        <f aca="false" ca="false" dt2D="false" dtr="false" t="normal">+#REF!-'[9]Приложение №1'!$P750</f>
        <v>#REF!</v>
      </c>
      <c r="Z701" s="113" t="n">
        <f aca="false" ca="false" dt2D="false" dtr="false" t="normal">SUM(AA701:AO701)</f>
        <v>2343434.8514670692</v>
      </c>
      <c r="AA701" s="106" t="n">
        <v>0</v>
      </c>
      <c r="AB701" s="106" t="n">
        <v>0</v>
      </c>
      <c r="AC701" s="106" t="n">
        <v>468089.23673358</v>
      </c>
      <c r="AD701" s="106" t="n">
        <v>0</v>
      </c>
      <c r="AE701" s="106" t="n">
        <v>0</v>
      </c>
      <c r="AF701" s="106" t="n"/>
      <c r="AG701" s="106" t="n">
        <v>0</v>
      </c>
      <c r="AH701" s="106" t="n">
        <v>0</v>
      </c>
      <c r="AI701" s="106" t="n">
        <v>0</v>
      </c>
      <c r="AJ701" s="106" t="n">
        <v>0</v>
      </c>
      <c r="AK701" s="106" t="n">
        <v>0</v>
      </c>
      <c r="AL701" s="106" t="n">
        <v>1572934.72089107</v>
      </c>
      <c r="AM701" s="106" t="n">
        <v>234343.485146707</v>
      </c>
      <c r="AN701" s="114" t="n">
        <v>23434.3485146707</v>
      </c>
      <c r="AO701" s="115" t="n">
        <v>44633.0601810419</v>
      </c>
      <c r="AP701" s="112" t="n">
        <f aca="false" ca="false" dt2D="false" dtr="false" t="normal">+N701-'Приложение №2'!E701</f>
        <v>0</v>
      </c>
      <c r="AQ701" s="121" t="n">
        <v>293192.7</v>
      </c>
      <c r="AR701" s="3" t="n">
        <f aca="false" ca="false" dt2D="false" dtr="false" t="normal">+(K701*10.5+L701*21)*12*0.85</f>
        <v>66602.27699999999</v>
      </c>
      <c r="AS701" s="3" t="n">
        <f aca="false" ca="false" dt2D="false" dtr="false" t="normal">+(K701*10.5+L701*21)*12*30</f>
        <v>2350668.5999999996</v>
      </c>
      <c r="AT701" s="9" t="n">
        <f aca="false" ca="false" dt2D="false" dtr="false" t="normal">+S701-AS701</f>
        <v>-625836.0199999996</v>
      </c>
      <c r="AU701" s="9" t="e">
        <f aca="false" ca="false" dt2D="false" dtr="false" t="normal">+P701-'[5]Приложение №1'!$P632</f>
        <v>#REF!</v>
      </c>
      <c r="AV701" s="9" t="e">
        <f aca="false" ca="false" dt2D="false" dtr="false" t="normal">+Q701-'[5]Приложение №1'!$Q632</f>
        <v>#REF!</v>
      </c>
      <c r="AW701" s="186" t="n">
        <f aca="false" ca="true" dt2D="false" dtr="false" t="normal">SUBTOTAL(9, AX701:BL701)</f>
        <v>2130214.138699704</v>
      </c>
      <c r="AX701" s="106" t="n">
        <v>0</v>
      </c>
      <c r="AY701" s="106" t="n">
        <v>0</v>
      </c>
      <c r="AZ701" s="106" t="n"/>
      <c r="BA701" s="106" t="n">
        <v>0</v>
      </c>
      <c r="BB701" s="106" t="n">
        <v>0</v>
      </c>
      <c r="BC701" s="106" t="n"/>
      <c r="BD701" s="106" t="n"/>
      <c r="BE701" s="106" t="n">
        <v>0</v>
      </c>
      <c r="BF701" s="106" t="n">
        <v>0</v>
      </c>
      <c r="BG701" s="106" t="n">
        <v>0</v>
      </c>
      <c r="BH701" s="106" t="n">
        <v>0</v>
      </c>
      <c r="BI701" s="106" t="n">
        <v>2084627.55613153</v>
      </c>
      <c r="BJ701" s="106" t="n"/>
      <c r="BK701" s="114" t="n"/>
      <c r="BL701" s="115" t="n">
        <v>45586.5825681736</v>
      </c>
      <c r="BM701" s="186" t="n">
        <f aca="false" ca="true" dt2D="false" dtr="false" t="normal">SUBTOTAL(9, BN701:CB701)</f>
        <v>2130214.138699704</v>
      </c>
      <c r="BN701" s="106" t="n">
        <v>0</v>
      </c>
      <c r="BO701" s="106" t="n">
        <v>0</v>
      </c>
      <c r="BP701" s="106" t="n"/>
      <c r="BQ701" s="106" t="n">
        <v>0</v>
      </c>
      <c r="BR701" s="106" t="n">
        <v>0</v>
      </c>
      <c r="BS701" s="106" t="n"/>
      <c r="BT701" s="106" t="n"/>
      <c r="BU701" s="106" t="n">
        <v>0</v>
      </c>
      <c r="BV701" s="106" t="n">
        <v>0</v>
      </c>
      <c r="BW701" s="106" t="n">
        <v>0</v>
      </c>
      <c r="BX701" s="106" t="n">
        <v>0</v>
      </c>
      <c r="BY701" s="106" t="n">
        <v>2084627.55613153</v>
      </c>
      <c r="BZ701" s="106" t="n"/>
      <c r="CA701" s="114" t="n"/>
      <c r="CB701" s="115" t="n">
        <v>45586.5825681736</v>
      </c>
      <c r="CD701" s="116" t="e">
        <f aca="false" ca="false" dt2D="false" dtr="false" t="normal">+CD700+1</f>
        <v>#REF!</v>
      </c>
      <c r="CE701" s="117" t="e">
        <f aca="false" ca="false" dt2D="false" dtr="false" t="normal">+CE700+1</f>
        <v>#REF!</v>
      </c>
      <c r="CF701" s="104" t="s">
        <v>209</v>
      </c>
      <c r="CG701" s="104" t="s">
        <v>661</v>
      </c>
      <c r="CH701" s="232" t="n">
        <f aca="false" ca="true" dt2D="false" dtr="false" t="normal">SUBTOTAL(9, CI701:CW701)</f>
        <v>2084627.56</v>
      </c>
      <c r="CI701" s="106" t="n">
        <v>0</v>
      </c>
      <c r="CJ701" s="114" t="n">
        <v>0</v>
      </c>
      <c r="CK701" s="114" t="n"/>
      <c r="CL701" s="114" t="n">
        <v>0</v>
      </c>
      <c r="CM701" s="114" t="n">
        <v>0</v>
      </c>
      <c r="CN701" s="114" t="n"/>
      <c r="CO701" s="106" t="n"/>
      <c r="CP701" s="114" t="n">
        <v>0</v>
      </c>
      <c r="CQ701" s="114" t="n">
        <v>0</v>
      </c>
      <c r="CR701" s="114" t="n">
        <v>0</v>
      </c>
      <c r="CS701" s="114" t="n">
        <v>0</v>
      </c>
      <c r="CT701" s="114" t="n">
        <v>2084627.56</v>
      </c>
      <c r="CU701" s="114" t="n"/>
      <c r="CV701" s="114" t="n"/>
      <c r="CW701" s="115" t="n"/>
      <c r="CX701" s="3" t="n">
        <f aca="false" ca="false" dt2D="false" dtr="false" t="normal">+N701-CH701</f>
        <v>0</v>
      </c>
      <c r="CZ701" s="104" t="s">
        <v>661</v>
      </c>
      <c r="DA701" s="186" t="n">
        <f aca="false" ca="true" dt2D="false" dtr="false" t="normal">SUBTOTAL(9, DB701:DP701)</f>
        <v>2084627.56</v>
      </c>
      <c r="DB701" s="106" t="n">
        <v>0</v>
      </c>
      <c r="DC701" s="114" t="n">
        <v>0</v>
      </c>
      <c r="DD701" s="114" t="n"/>
      <c r="DE701" s="114" t="n">
        <v>0</v>
      </c>
      <c r="DF701" s="114" t="n">
        <v>0</v>
      </c>
      <c r="DG701" s="114" t="n"/>
      <c r="DH701" s="106" t="n"/>
      <c r="DI701" s="114" t="n">
        <v>0</v>
      </c>
      <c r="DJ701" s="114" t="n">
        <v>0</v>
      </c>
      <c r="DK701" s="114" t="n">
        <v>0</v>
      </c>
      <c r="DL701" s="114" t="n">
        <v>0</v>
      </c>
      <c r="DM701" s="114" t="n">
        <v>2084627.56</v>
      </c>
      <c r="DN701" s="114" t="n"/>
      <c r="DO701" s="114" t="n"/>
      <c r="DP701" s="240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</row>
    <row customFormat="true" hidden="false" ht="15" outlineLevel="0" r="702" s="1">
      <c r="A702" s="183" t="n">
        <f aca="false" ca="false" dt2D="false" dtr="false" t="normal">+A701+1</f>
        <v>680</v>
      </c>
      <c r="B702" s="117" t="n">
        <f aca="false" ca="false" dt2D="false" dtr="false" t="normal">+B701+1</f>
        <v>220</v>
      </c>
      <c r="C702" s="117" t="s">
        <v>209</v>
      </c>
      <c r="D702" s="117" t="s">
        <v>662</v>
      </c>
      <c r="E702" s="201" t="n">
        <v>1971</v>
      </c>
      <c r="F702" s="201" t="n">
        <v>2009</v>
      </c>
      <c r="G702" s="201" t="s">
        <v>68</v>
      </c>
      <c r="H702" s="201" t="n">
        <v>4</v>
      </c>
      <c r="I702" s="201" t="n">
        <v>4</v>
      </c>
      <c r="J702" s="114" t="n">
        <v>3316.04</v>
      </c>
      <c r="K702" s="114" t="n">
        <v>2384.75</v>
      </c>
      <c r="L702" s="114" t="n">
        <v>776.54</v>
      </c>
      <c r="M702" s="202" t="n">
        <v>114</v>
      </c>
      <c r="N702" s="108" t="n">
        <f aca="false" ca="false" dt2D="false" dtr="false" t="normal">SUM(P702:T702)</f>
        <v>3065754.45</v>
      </c>
      <c r="O702" s="114" t="n"/>
      <c r="P702" s="114" t="n"/>
      <c r="Q702" s="114" t="n"/>
      <c r="R702" s="113" t="n">
        <v>3065754.45</v>
      </c>
      <c r="S702" s="114" t="n"/>
      <c r="T702" s="114" t="n"/>
      <c r="U702" s="114" t="n">
        <v>1309.56648633892</v>
      </c>
      <c r="V702" s="114" t="n">
        <v>1353.283020064</v>
      </c>
      <c r="W702" s="110" t="n">
        <v>2024</v>
      </c>
      <c r="X702" s="9" t="e">
        <f aca="false" ca="false" dt2D="false" dtr="false" t="normal">+#REF!-'[9]Приложение №1'!$P751</f>
        <v>#REF!</v>
      </c>
      <c r="Z702" s="113" t="n">
        <f aca="false" ca="false" dt2D="false" dtr="false" t="normal">SUM(AA702:AO702)</f>
        <v>1136772.41</v>
      </c>
      <c r="AA702" s="106" t="n">
        <v>0</v>
      </c>
      <c r="AB702" s="106" t="n">
        <v>0</v>
      </c>
      <c r="AC702" s="106" t="n">
        <v>990076.47757914</v>
      </c>
      <c r="AD702" s="106" t="n">
        <v>0</v>
      </c>
      <c r="AE702" s="106" t="n">
        <v>0</v>
      </c>
      <c r="AF702" s="106" t="n"/>
      <c r="AG702" s="106" t="n">
        <v>0</v>
      </c>
      <c r="AH702" s="106" t="n">
        <v>0</v>
      </c>
      <c r="AI702" s="106" t="n">
        <v>0</v>
      </c>
      <c r="AJ702" s="106" t="n">
        <v>0</v>
      </c>
      <c r="AK702" s="106" t="n">
        <v>0</v>
      </c>
      <c r="AL702" s="106" t="n">
        <v>0</v>
      </c>
      <c r="AM702" s="106" t="n">
        <v>113677.241</v>
      </c>
      <c r="AN702" s="114" t="n">
        <v>11367.7241</v>
      </c>
      <c r="AO702" s="115" t="n">
        <v>21650.96732086</v>
      </c>
      <c r="AP702" s="112" t="n">
        <f aca="false" ca="false" dt2D="false" dtr="false" t="normal">+N702-'Приложение №2'!E702</f>
        <v>0</v>
      </c>
      <c r="AQ702" s="121" t="n">
        <v>1345308.35</v>
      </c>
      <c r="AR702" s="3" t="n">
        <f aca="false" ca="false" dt2D="false" dtr="false" t="normal">+(K702*10.5+L702*21)*12*0.85</f>
        <v>421741.59299999994</v>
      </c>
      <c r="AS702" s="3" t="n">
        <f aca="false" ca="false" dt2D="false" dtr="false" t="normal">+(K702*10.5+L702*21)*12*30</f>
        <v>14884997.399999999</v>
      </c>
      <c r="AT702" s="9" t="n">
        <f aca="false" ca="false" dt2D="false" dtr="false" t="normal">+S702-AS702</f>
        <v>-14884997.399999999</v>
      </c>
      <c r="AU702" s="9" t="e">
        <f aca="false" ca="false" dt2D="false" dtr="false" t="normal">+P702-'[5]Приложение №1'!$P633</f>
        <v>#REF!</v>
      </c>
      <c r="AV702" s="9" t="e">
        <f aca="false" ca="false" dt2D="false" dtr="false" t="normal">+Q702-'[5]Приложение №1'!$Q633</f>
        <v>#REF!</v>
      </c>
      <c r="AW702" s="186" t="n">
        <f aca="false" ca="true" dt2D="false" dtr="false" t="normal">SUBTOTAL(9, AX702:BL702)</f>
        <v>3122988.67829673</v>
      </c>
      <c r="AX702" s="106" t="n">
        <v>0</v>
      </c>
      <c r="AY702" s="106" t="n">
        <v>0</v>
      </c>
      <c r="AZ702" s="106" t="n">
        <v>3056156.72058118</v>
      </c>
      <c r="BA702" s="106" t="n">
        <v>0</v>
      </c>
      <c r="BB702" s="106" t="n">
        <v>0</v>
      </c>
      <c r="BC702" s="106" t="n"/>
      <c r="BD702" s="106" t="n"/>
      <c r="BE702" s="106" t="n">
        <v>0</v>
      </c>
      <c r="BF702" s="106" t="n">
        <v>0</v>
      </c>
      <c r="BG702" s="106" t="n">
        <v>0</v>
      </c>
      <c r="BH702" s="106" t="n">
        <v>0</v>
      </c>
      <c r="BI702" s="106" t="n">
        <v>0</v>
      </c>
      <c r="BJ702" s="106" t="n"/>
      <c r="BK702" s="114" t="n"/>
      <c r="BL702" s="115" t="n">
        <v>66831.9577155501</v>
      </c>
      <c r="BM702" s="186" t="n">
        <f aca="false" ca="true" dt2D="false" dtr="false" t="normal">SUBTOTAL(9, BN702:CB702)</f>
        <v>3122988.67829673</v>
      </c>
      <c r="BN702" s="106" t="n">
        <v>0</v>
      </c>
      <c r="BO702" s="106" t="n">
        <v>0</v>
      </c>
      <c r="BP702" s="106" t="n">
        <v>3056156.72058118</v>
      </c>
      <c r="BQ702" s="106" t="n">
        <v>0</v>
      </c>
      <c r="BR702" s="106" t="n">
        <v>0</v>
      </c>
      <c r="BS702" s="106" t="n"/>
      <c r="BT702" s="106" t="n"/>
      <c r="BU702" s="106" t="n">
        <v>0</v>
      </c>
      <c r="BV702" s="106" t="n">
        <v>0</v>
      </c>
      <c r="BW702" s="106" t="n">
        <v>0</v>
      </c>
      <c r="BX702" s="106" t="n">
        <v>0</v>
      </c>
      <c r="BY702" s="106" t="n">
        <v>0</v>
      </c>
      <c r="BZ702" s="106" t="n"/>
      <c r="CA702" s="114" t="n"/>
      <c r="CB702" s="115" t="n">
        <v>66831.9577155501</v>
      </c>
      <c r="CD702" s="116" t="e">
        <f aca="false" ca="false" dt2D="false" dtr="false" t="normal">+CD701+1</f>
        <v>#REF!</v>
      </c>
      <c r="CE702" s="117" t="e">
        <f aca="false" ca="false" dt2D="false" dtr="false" t="normal">+CE701+1</f>
        <v>#REF!</v>
      </c>
      <c r="CF702" s="104" t="s">
        <v>209</v>
      </c>
      <c r="CG702" s="104" t="s">
        <v>662</v>
      </c>
      <c r="CH702" s="232" t="n">
        <f aca="false" ca="true" dt2D="false" dtr="false" t="normal">SUBTOTAL(9, CI702:CW702)</f>
        <v>3122988.68</v>
      </c>
      <c r="CI702" s="106" t="n">
        <v>0</v>
      </c>
      <c r="CJ702" s="114" t="n">
        <v>0</v>
      </c>
      <c r="CK702" s="114" t="n">
        <v>3056156.72</v>
      </c>
      <c r="CL702" s="114" t="n">
        <v>0</v>
      </c>
      <c r="CM702" s="114" t="n">
        <v>0</v>
      </c>
      <c r="CN702" s="114" t="n"/>
      <c r="CO702" s="106" t="n"/>
      <c r="CP702" s="114" t="n">
        <v>0</v>
      </c>
      <c r="CQ702" s="114" t="n">
        <v>0</v>
      </c>
      <c r="CR702" s="114" t="n">
        <v>0</v>
      </c>
      <c r="CS702" s="114" t="n">
        <v>0</v>
      </c>
      <c r="CT702" s="114" t="n">
        <v>0</v>
      </c>
      <c r="CU702" s="114" t="n"/>
      <c r="CV702" s="114" t="n"/>
      <c r="CW702" s="115" t="n">
        <v>66831.96</v>
      </c>
      <c r="CX702" s="3" t="n">
        <f aca="false" ca="false" dt2D="false" dtr="false" t="normal">+N702-CH702</f>
        <v>-57234.22999999998</v>
      </c>
      <c r="CZ702" s="104" t="s">
        <v>662</v>
      </c>
      <c r="DA702" s="186" t="n">
        <f aca="false" ca="true" dt2D="false" dtr="false" t="normal">SUBTOTAL(9, DB702:DP702)</f>
        <v>3065754.4475000002</v>
      </c>
      <c r="DB702" s="106" t="n">
        <v>0</v>
      </c>
      <c r="DC702" s="114" t="n">
        <v>0</v>
      </c>
      <c r="DD702" s="114" t="n">
        <v>3056156.72</v>
      </c>
      <c r="DE702" s="114" t="n">
        <v>0</v>
      </c>
      <c r="DF702" s="114" t="n">
        <v>0</v>
      </c>
      <c r="DG702" s="114" t="n"/>
      <c r="DH702" s="106" t="n"/>
      <c r="DI702" s="114" t="n">
        <v>0</v>
      </c>
      <c r="DJ702" s="114" t="n">
        <v>0</v>
      </c>
      <c r="DK702" s="114" t="n">
        <v>0</v>
      </c>
      <c r="DL702" s="114" t="n">
        <v>0</v>
      </c>
      <c r="DM702" s="114" t="n">
        <v>0</v>
      </c>
      <c r="DN702" s="114" t="n"/>
      <c r="DO702" s="114" t="n"/>
      <c r="DP702" s="115" t="n">
        <f aca="false" ca="false" dt2D="false" dtr="false" t="normal">8345.85*1.15</f>
        <v>9597.727499999999</v>
      </c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</row>
    <row customFormat="true" hidden="false" ht="15" outlineLevel="0" r="703" s="1">
      <c r="A703" s="183" t="n">
        <f aca="false" ca="false" dt2D="false" dtr="false" t="normal">+A702+1</f>
        <v>681</v>
      </c>
      <c r="B703" s="117" t="n">
        <f aca="false" ca="false" dt2D="false" dtr="false" t="normal">+B702+1</f>
        <v>221</v>
      </c>
      <c r="C703" s="117" t="s">
        <v>209</v>
      </c>
      <c r="D703" s="117" t="s">
        <v>663</v>
      </c>
      <c r="E703" s="201" t="n">
        <v>1962</v>
      </c>
      <c r="F703" s="201" t="n">
        <v>2003</v>
      </c>
      <c r="G703" s="201" t="s">
        <v>68</v>
      </c>
      <c r="H703" s="201" t="n">
        <v>2</v>
      </c>
      <c r="I703" s="201" t="n">
        <v>2</v>
      </c>
      <c r="J703" s="114" t="n">
        <v>1001.33</v>
      </c>
      <c r="K703" s="114" t="n">
        <v>596.02</v>
      </c>
      <c r="L703" s="114" t="n">
        <v>0</v>
      </c>
      <c r="M703" s="202" t="n">
        <v>24</v>
      </c>
      <c r="N703" s="108" t="n">
        <f aca="false" ca="false" dt2D="false" dtr="false" t="normal">SUM(P703:T703)</f>
        <v>489770.73</v>
      </c>
      <c r="O703" s="114" t="n"/>
      <c r="P703" s="114" t="n"/>
      <c r="Q703" s="114" t="n"/>
      <c r="R703" s="113" t="n">
        <v>157058.32</v>
      </c>
      <c r="S703" s="113" t="n">
        <v>332712.41</v>
      </c>
      <c r="T703" s="114" t="n">
        <v>0</v>
      </c>
      <c r="U703" s="114" t="n">
        <v>839.705081000034</v>
      </c>
      <c r="V703" s="114" t="n">
        <v>1355.283020064</v>
      </c>
      <c r="W703" s="110" t="n">
        <v>2024</v>
      </c>
      <c r="X703" s="9" t="e">
        <f aca="false" ca="false" dt2D="false" dtr="false" t="normal">+#REF!-'[9]Приложение №1'!$P766</f>
        <v>#REF!</v>
      </c>
      <c r="Z703" s="113" t="n">
        <f aca="false" ca="false" dt2D="false" dtr="false" t="normal">SUM(AA703:AO703)</f>
        <v>613491.44</v>
      </c>
      <c r="AA703" s="106" t="n">
        <v>0</v>
      </c>
      <c r="AB703" s="106" t="n">
        <v>0</v>
      </c>
      <c r="AC703" s="106" t="n">
        <v>534322.82363376</v>
      </c>
      <c r="AD703" s="106" t="n">
        <v>0</v>
      </c>
      <c r="AE703" s="106" t="n">
        <v>0</v>
      </c>
      <c r="AF703" s="106" t="n"/>
      <c r="AG703" s="106" t="n">
        <v>0</v>
      </c>
      <c r="AH703" s="106" t="n">
        <v>0</v>
      </c>
      <c r="AI703" s="106" t="n">
        <v>0</v>
      </c>
      <c r="AJ703" s="106" t="n">
        <v>0</v>
      </c>
      <c r="AK703" s="106" t="n">
        <v>0</v>
      </c>
      <c r="AL703" s="106" t="n">
        <v>0</v>
      </c>
      <c r="AM703" s="106" t="n">
        <v>61349.144</v>
      </c>
      <c r="AN703" s="114" t="n">
        <v>6134.9144</v>
      </c>
      <c r="AO703" s="115" t="n">
        <v>11684.55796624</v>
      </c>
      <c r="AP703" s="112" t="n">
        <f aca="false" ca="false" dt2D="false" dtr="false" t="normal">+N703-'Приложение №2'!E703</f>
        <v>0</v>
      </c>
      <c r="AQ703" s="1" t="n">
        <f aca="false" ca="false" dt2D="false" dtr="false" t="normal">316247.29-223022.71</f>
        <v>93224.57999999999</v>
      </c>
      <c r="AR703" s="3" t="n">
        <f aca="false" ca="false" dt2D="false" dtr="false" t="normal">+(K703*10.5+L703*21)*12*0.85</f>
        <v>63833.742</v>
      </c>
      <c r="AS703" s="3" t="n">
        <f aca="false" ca="false" dt2D="false" dtr="false" t="normal">+(K703*10.5+L703*21)*12*30-1056428.77</f>
        <v>1196526.83</v>
      </c>
      <c r="AT703" s="9" t="n">
        <f aca="false" ca="false" dt2D="false" dtr="false" t="normal">+S703-AS703</f>
        <v>-863814.4200000002</v>
      </c>
      <c r="AU703" s="9" t="e">
        <f aca="false" ca="false" dt2D="false" dtr="false" t="normal">+P703-'[5]Приложение №1'!$P635</f>
        <v>#REF!</v>
      </c>
      <c r="AV703" s="9" t="e">
        <f aca="false" ca="false" dt2D="false" dtr="false" t="normal">+Q703-'[5]Приложение №1'!$Q635</f>
        <v>#REF!</v>
      </c>
      <c r="AW703" s="186" t="n">
        <f aca="false" ca="true" dt2D="false" dtr="false" t="normal">SUBTOTAL(9, AX703:BL703)</f>
        <v>500481.0223776405</v>
      </c>
      <c r="AX703" s="106" t="n">
        <v>0</v>
      </c>
      <c r="AY703" s="106" t="n">
        <v>0</v>
      </c>
      <c r="AZ703" s="106" t="n">
        <v>489770.728498759</v>
      </c>
      <c r="BA703" s="106" t="n">
        <v>0</v>
      </c>
      <c r="BB703" s="106" t="n">
        <v>0</v>
      </c>
      <c r="BC703" s="106" t="n"/>
      <c r="BD703" s="106" t="n"/>
      <c r="BE703" s="106" t="n">
        <v>0</v>
      </c>
      <c r="BF703" s="106" t="n">
        <v>0</v>
      </c>
      <c r="BG703" s="106" t="n">
        <v>0</v>
      </c>
      <c r="BH703" s="106" t="n">
        <v>0</v>
      </c>
      <c r="BI703" s="106" t="n">
        <v>0</v>
      </c>
      <c r="BJ703" s="106" t="n"/>
      <c r="BK703" s="114" t="n"/>
      <c r="BL703" s="115" t="n">
        <v>10710.2938788815</v>
      </c>
      <c r="BM703" s="186" t="n">
        <f aca="false" ca="true" dt2D="false" dtr="false" t="normal">SUBTOTAL(9, BN703:CB703)</f>
        <v>500481.0223776405</v>
      </c>
      <c r="BN703" s="106" t="n">
        <v>0</v>
      </c>
      <c r="BO703" s="106" t="n">
        <v>0</v>
      </c>
      <c r="BP703" s="106" t="n">
        <v>489770.728498759</v>
      </c>
      <c r="BQ703" s="106" t="n">
        <v>0</v>
      </c>
      <c r="BR703" s="106" t="n">
        <v>0</v>
      </c>
      <c r="BS703" s="106" t="n"/>
      <c r="BT703" s="106" t="n"/>
      <c r="BU703" s="106" t="n">
        <v>0</v>
      </c>
      <c r="BV703" s="106" t="n">
        <v>0</v>
      </c>
      <c r="BW703" s="106" t="n">
        <v>0</v>
      </c>
      <c r="BX703" s="106" t="n">
        <v>0</v>
      </c>
      <c r="BY703" s="106" t="n">
        <v>0</v>
      </c>
      <c r="BZ703" s="106" t="n"/>
      <c r="CA703" s="114" t="n"/>
      <c r="CB703" s="115" t="n">
        <v>10710.2938788815</v>
      </c>
      <c r="CD703" s="116" t="e">
        <f aca="false" ca="false" dt2D="false" dtr="false" t="normal">+#REF!+1</f>
        <v>#REF!</v>
      </c>
      <c r="CE703" s="117" t="e">
        <f aca="false" ca="false" dt2D="false" dtr="false" t="normal">+#REF!+1</f>
        <v>#REF!</v>
      </c>
      <c r="CF703" s="104" t="s">
        <v>209</v>
      </c>
      <c r="CG703" s="104" t="s">
        <v>663</v>
      </c>
      <c r="CH703" s="232" t="n">
        <f aca="false" ca="true" dt2D="false" dtr="false" t="normal">SUBTOTAL(9, CI703:CW703)</f>
        <v>489770.73</v>
      </c>
      <c r="CI703" s="106" t="n">
        <v>0</v>
      </c>
      <c r="CJ703" s="114" t="n">
        <v>0</v>
      </c>
      <c r="CK703" s="114" t="n">
        <v>489770.73</v>
      </c>
      <c r="CL703" s="114" t="n">
        <v>0</v>
      </c>
      <c r="CM703" s="114" t="n">
        <v>0</v>
      </c>
      <c r="CN703" s="114" t="n"/>
      <c r="CO703" s="106" t="n"/>
      <c r="CP703" s="114" t="n">
        <v>0</v>
      </c>
      <c r="CQ703" s="114" t="n">
        <v>0</v>
      </c>
      <c r="CR703" s="114" t="n">
        <v>0</v>
      </c>
      <c r="CS703" s="114" t="n">
        <v>0</v>
      </c>
      <c r="CT703" s="114" t="n">
        <v>0</v>
      </c>
      <c r="CU703" s="114" t="n"/>
      <c r="CV703" s="114" t="n"/>
      <c r="CW703" s="115" t="n"/>
      <c r="CX703" s="3" t="n">
        <f aca="false" ca="false" dt2D="false" dtr="false" t="normal">+N703-CH703</f>
        <v>0</v>
      </c>
      <c r="CZ703" s="104" t="s">
        <v>663</v>
      </c>
      <c r="DA703" s="186" t="n">
        <f aca="false" ca="true" dt2D="false" dtr="false" t="normal">SUBTOTAL(9, DB703:DP703)</f>
        <v>489770.73</v>
      </c>
      <c r="DB703" s="106" t="n">
        <v>0</v>
      </c>
      <c r="DC703" s="114" t="n">
        <v>0</v>
      </c>
      <c r="DD703" s="114" t="n">
        <v>489770.73</v>
      </c>
      <c r="DE703" s="114" t="n">
        <v>0</v>
      </c>
      <c r="DF703" s="114" t="n">
        <v>0</v>
      </c>
      <c r="DG703" s="114" t="n"/>
      <c r="DH703" s="106" t="n"/>
      <c r="DI703" s="114" t="n">
        <v>0</v>
      </c>
      <c r="DJ703" s="114" t="n">
        <v>0</v>
      </c>
      <c r="DK703" s="114" t="n">
        <v>0</v>
      </c>
      <c r="DL703" s="114" t="n">
        <v>0</v>
      </c>
      <c r="DM703" s="114" t="n">
        <v>0</v>
      </c>
      <c r="DN703" s="114" t="n"/>
      <c r="DO703" s="114" t="n"/>
      <c r="DP703" s="240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</row>
    <row customFormat="true" hidden="false" ht="15" outlineLevel="0" r="704" s="1">
      <c r="A704" s="183" t="n">
        <f aca="false" ca="false" dt2D="false" dtr="false" t="normal">+A703+1</f>
        <v>682</v>
      </c>
      <c r="B704" s="117" t="n">
        <f aca="false" ca="false" dt2D="false" dtr="false" t="normal">+B703+1</f>
        <v>222</v>
      </c>
      <c r="C704" s="117" t="s">
        <v>209</v>
      </c>
      <c r="D704" s="117" t="s">
        <v>664</v>
      </c>
      <c r="E704" s="201" t="n">
        <v>1962</v>
      </c>
      <c r="F704" s="201" t="n">
        <v>2004</v>
      </c>
      <c r="G704" s="201" t="s">
        <v>68</v>
      </c>
      <c r="H704" s="201" t="n">
        <v>2</v>
      </c>
      <c r="I704" s="201" t="n">
        <v>2</v>
      </c>
      <c r="J704" s="114" t="n">
        <v>1037.76</v>
      </c>
      <c r="K704" s="114" t="n">
        <v>623.46</v>
      </c>
      <c r="L704" s="114" t="n">
        <v>0</v>
      </c>
      <c r="M704" s="202" t="n">
        <v>19</v>
      </c>
      <c r="N704" s="108" t="n">
        <f aca="false" ca="false" dt2D="false" dtr="false" t="normal">SUM(P704:T704)</f>
        <v>512319.15</v>
      </c>
      <c r="O704" s="114" t="n"/>
      <c r="P704" s="114" t="n"/>
      <c r="Q704" s="114" t="n"/>
      <c r="R704" s="113" t="n">
        <v>153627.75</v>
      </c>
      <c r="S704" s="113" t="n">
        <v>358691.4</v>
      </c>
      <c r="T704" s="114" t="n">
        <v>0</v>
      </c>
      <c r="U704" s="114" t="n">
        <v>839.705081000034</v>
      </c>
      <c r="V704" s="114" t="n">
        <v>1356.283020064</v>
      </c>
      <c r="W704" s="110" t="n">
        <v>2024</v>
      </c>
      <c r="X704" s="9" t="e">
        <f aca="false" ca="false" dt2D="false" dtr="false" t="normal">+#REF!-'[9]Приложение №1'!$P767</f>
        <v>#REF!</v>
      </c>
      <c r="Z704" s="113" t="n">
        <f aca="false" ca="false" dt2D="false" dtr="false" t="normal">SUM(AA704:AO704)</f>
        <v>597166.72</v>
      </c>
      <c r="AA704" s="106" t="n">
        <v>0</v>
      </c>
      <c r="AB704" s="106" t="n">
        <v>0</v>
      </c>
      <c r="AC704" s="106" t="n">
        <v>520104.74345088</v>
      </c>
      <c r="AD704" s="106" t="n">
        <v>0</v>
      </c>
      <c r="AE704" s="106" t="n">
        <v>0</v>
      </c>
      <c r="AF704" s="106" t="n"/>
      <c r="AG704" s="106" t="n">
        <v>0</v>
      </c>
      <c r="AH704" s="106" t="n">
        <v>0</v>
      </c>
      <c r="AI704" s="106" t="n">
        <v>0</v>
      </c>
      <c r="AJ704" s="106" t="n">
        <v>0</v>
      </c>
      <c r="AK704" s="106" t="n">
        <v>0</v>
      </c>
      <c r="AL704" s="106" t="n">
        <v>0</v>
      </c>
      <c r="AM704" s="106" t="n">
        <v>59716.672</v>
      </c>
      <c r="AN704" s="114" t="n">
        <v>5971.6672</v>
      </c>
      <c r="AO704" s="115" t="n">
        <v>11373.63734912</v>
      </c>
      <c r="AP704" s="112" t="n">
        <f aca="false" ca="false" dt2D="false" dtr="false" t="normal">+N704-'Приложение №2'!E704</f>
        <v>0</v>
      </c>
      <c r="AQ704" s="1" t="n">
        <f aca="false" ca="false" dt2D="false" dtr="false" t="normal">332016.62-245161.44</f>
        <v>86855.18</v>
      </c>
      <c r="AR704" s="3" t="n">
        <f aca="false" ca="false" dt2D="false" dtr="false" t="normal">+(K704*10.5+L704*21)*12*0.85</f>
        <v>66772.56599999999</v>
      </c>
      <c r="AS704" s="3" t="n">
        <f aca="false" ca="false" dt2D="false" dtr="false" t="normal">+(K704*10.5+L704*21)*12*30-1022746.46</f>
        <v>1333932.3399999999</v>
      </c>
      <c r="AT704" s="9" t="n">
        <f aca="false" ca="false" dt2D="false" dtr="false" t="normal">+S704-AS704</f>
        <v>-975240.9399999998</v>
      </c>
      <c r="AU704" s="9" t="e">
        <f aca="false" ca="false" dt2D="false" dtr="false" t="normal">+P704-'[5]Приложение №1'!$P636</f>
        <v>#REF!</v>
      </c>
      <c r="AV704" s="9" t="e">
        <f aca="false" ca="false" dt2D="false" dtr="false" t="normal">+Q704-'[5]Приложение №1'!$Q636</f>
        <v>#REF!</v>
      </c>
      <c r="AW704" s="186" t="n">
        <f aca="false" ca="true" dt2D="false" dtr="false" t="normal">SUBTOTAL(9, AX704:BL704)</f>
        <v>523522.529800281</v>
      </c>
      <c r="AX704" s="106" t="n">
        <v>0</v>
      </c>
      <c r="AY704" s="106" t="n">
        <v>0</v>
      </c>
      <c r="AZ704" s="106" t="n">
        <v>512319.147662555</v>
      </c>
      <c r="BA704" s="106" t="n">
        <v>0</v>
      </c>
      <c r="BB704" s="106" t="n">
        <v>0</v>
      </c>
      <c r="BC704" s="106" t="n"/>
      <c r="BD704" s="106" t="n"/>
      <c r="BE704" s="106" t="n">
        <v>0</v>
      </c>
      <c r="BF704" s="106" t="n">
        <v>0</v>
      </c>
      <c r="BG704" s="106" t="n">
        <v>0</v>
      </c>
      <c r="BH704" s="106" t="n">
        <v>0</v>
      </c>
      <c r="BI704" s="106" t="n">
        <v>0</v>
      </c>
      <c r="BJ704" s="106" t="n"/>
      <c r="BK704" s="114" t="n"/>
      <c r="BL704" s="115" t="n">
        <v>11203.382137726</v>
      </c>
      <c r="BM704" s="186" t="n">
        <f aca="false" ca="true" dt2D="false" dtr="false" t="normal">SUBTOTAL(9, BN704:CB704)</f>
        <v>523522.529800281</v>
      </c>
      <c r="BN704" s="106" t="n">
        <v>0</v>
      </c>
      <c r="BO704" s="106" t="n">
        <v>0</v>
      </c>
      <c r="BP704" s="106" t="n">
        <v>512319.147662555</v>
      </c>
      <c r="BQ704" s="106" t="n">
        <v>0</v>
      </c>
      <c r="BR704" s="106" t="n">
        <v>0</v>
      </c>
      <c r="BS704" s="106" t="n"/>
      <c r="BT704" s="106" t="n"/>
      <c r="BU704" s="106" t="n">
        <v>0</v>
      </c>
      <c r="BV704" s="106" t="n">
        <v>0</v>
      </c>
      <c r="BW704" s="106" t="n">
        <v>0</v>
      </c>
      <c r="BX704" s="106" t="n">
        <v>0</v>
      </c>
      <c r="BY704" s="106" t="n">
        <v>0</v>
      </c>
      <c r="BZ704" s="106" t="n"/>
      <c r="CA704" s="114" t="n"/>
      <c r="CB704" s="115" t="n">
        <v>11203.382137726</v>
      </c>
      <c r="CD704" s="116" t="e">
        <f aca="false" ca="false" dt2D="false" dtr="false" t="normal">+CD703+1</f>
        <v>#REF!</v>
      </c>
      <c r="CE704" s="117" t="e">
        <f aca="false" ca="false" dt2D="false" dtr="false" t="normal">+CE703+1</f>
        <v>#REF!</v>
      </c>
      <c r="CF704" s="104" t="s">
        <v>209</v>
      </c>
      <c r="CG704" s="104" t="s">
        <v>664</v>
      </c>
      <c r="CH704" s="232" t="n">
        <f aca="false" ca="true" dt2D="false" dtr="false" t="normal">SUBTOTAL(9, CI704:CW704)</f>
        <v>512319.15</v>
      </c>
      <c r="CI704" s="106" t="n">
        <v>0</v>
      </c>
      <c r="CJ704" s="114" t="n">
        <v>0</v>
      </c>
      <c r="CK704" s="114" t="n">
        <v>512319.15</v>
      </c>
      <c r="CL704" s="114" t="n">
        <v>0</v>
      </c>
      <c r="CM704" s="114" t="n">
        <v>0</v>
      </c>
      <c r="CN704" s="114" t="n"/>
      <c r="CO704" s="106" t="n"/>
      <c r="CP704" s="114" t="n">
        <v>0</v>
      </c>
      <c r="CQ704" s="114" t="n">
        <v>0</v>
      </c>
      <c r="CR704" s="114" t="n">
        <v>0</v>
      </c>
      <c r="CS704" s="114" t="n">
        <v>0</v>
      </c>
      <c r="CT704" s="114" t="n">
        <v>0</v>
      </c>
      <c r="CU704" s="114" t="n"/>
      <c r="CV704" s="114" t="n"/>
      <c r="CW704" s="115" t="n"/>
      <c r="CX704" s="3" t="n">
        <f aca="false" ca="false" dt2D="false" dtr="false" t="normal">+N704-CH704</f>
        <v>0</v>
      </c>
      <c r="CZ704" s="104" t="s">
        <v>664</v>
      </c>
      <c r="DA704" s="186" t="n">
        <f aca="false" ca="true" dt2D="false" dtr="false" t="normal">SUBTOTAL(9, DB704:DP704)</f>
        <v>512319.15</v>
      </c>
      <c r="DB704" s="106" t="n">
        <v>0</v>
      </c>
      <c r="DC704" s="114" t="n">
        <v>0</v>
      </c>
      <c r="DD704" s="114" t="n">
        <v>512319.15</v>
      </c>
      <c r="DE704" s="114" t="n">
        <v>0</v>
      </c>
      <c r="DF704" s="114" t="n">
        <v>0</v>
      </c>
      <c r="DG704" s="114" t="n"/>
      <c r="DH704" s="106" t="n"/>
      <c r="DI704" s="114" t="n">
        <v>0</v>
      </c>
      <c r="DJ704" s="114" t="n">
        <v>0</v>
      </c>
      <c r="DK704" s="114" t="n">
        <v>0</v>
      </c>
      <c r="DL704" s="114" t="n">
        <v>0</v>
      </c>
      <c r="DM704" s="114" t="n">
        <v>0</v>
      </c>
      <c r="DN704" s="114" t="n"/>
      <c r="DO704" s="114" t="n"/>
      <c r="DP704" s="240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</row>
    <row customFormat="true" hidden="false" ht="15" outlineLevel="0" r="705" s="1">
      <c r="A705" s="183" t="n">
        <f aca="false" ca="false" dt2D="false" dtr="false" t="normal">+A704+1</f>
        <v>683</v>
      </c>
      <c r="B705" s="117" t="n">
        <f aca="false" ca="false" dt2D="false" dtr="false" t="normal">+B704+1</f>
        <v>223</v>
      </c>
      <c r="C705" s="117" t="s">
        <v>209</v>
      </c>
      <c r="D705" s="117" t="s">
        <v>665</v>
      </c>
      <c r="E705" s="201" t="n">
        <v>1961</v>
      </c>
      <c r="F705" s="201" t="n">
        <v>2004</v>
      </c>
      <c r="G705" s="201" t="s">
        <v>68</v>
      </c>
      <c r="H705" s="201" t="n">
        <v>2</v>
      </c>
      <c r="I705" s="201" t="n">
        <v>2</v>
      </c>
      <c r="J705" s="114" t="n">
        <v>1023.9</v>
      </c>
      <c r="K705" s="114" t="n">
        <v>621.22</v>
      </c>
      <c r="L705" s="114" t="n">
        <v>0</v>
      </c>
      <c r="M705" s="202" t="n">
        <v>19</v>
      </c>
      <c r="N705" s="108" t="n">
        <f aca="false" ca="false" dt2D="false" dtr="false" t="normal">SUM(P705:T705)</f>
        <v>510478.45999999996</v>
      </c>
      <c r="O705" s="114" t="n"/>
      <c r="P705" s="114" t="n"/>
      <c r="Q705" s="114" t="n"/>
      <c r="R705" s="113" t="n">
        <v>218338.99</v>
      </c>
      <c r="S705" s="113" t="n">
        <v>292139.47</v>
      </c>
      <c r="T705" s="114" t="n">
        <v>0</v>
      </c>
      <c r="U705" s="114" t="n">
        <v>839.705081000034</v>
      </c>
      <c r="V705" s="114" t="n">
        <v>1357.283020064</v>
      </c>
      <c r="W705" s="110" t="n">
        <v>2024</v>
      </c>
      <c r="X705" s="9" t="e">
        <f aca="false" ca="false" dt2D="false" dtr="false" t="normal">+S705-'[9]Приложение №1'!$P768</f>
        <v>#REF!</v>
      </c>
      <c r="Z705" s="113" t="n">
        <f aca="false" ca="false" dt2D="false" dtr="false" t="normal">SUM(AA705:AO705)</f>
        <v>591869.62</v>
      </c>
      <c r="AA705" s="106" t="n">
        <v>0</v>
      </c>
      <c r="AB705" s="106" t="n">
        <v>0</v>
      </c>
      <c r="AC705" s="106" t="n">
        <v>515491.21301748</v>
      </c>
      <c r="AD705" s="106" t="n">
        <v>0</v>
      </c>
      <c r="AE705" s="106" t="n">
        <v>0</v>
      </c>
      <c r="AF705" s="106" t="n"/>
      <c r="AG705" s="106" t="n">
        <v>0</v>
      </c>
      <c r="AH705" s="106" t="n">
        <v>0</v>
      </c>
      <c r="AI705" s="106" t="n">
        <v>0</v>
      </c>
      <c r="AJ705" s="106" t="n">
        <v>0</v>
      </c>
      <c r="AK705" s="106" t="n">
        <v>0</v>
      </c>
      <c r="AL705" s="106" t="n">
        <v>0</v>
      </c>
      <c r="AM705" s="106" t="n">
        <v>59186.962</v>
      </c>
      <c r="AN705" s="114" t="n">
        <v>5918.6962</v>
      </c>
      <c r="AO705" s="115" t="n">
        <v>11272.74878252</v>
      </c>
      <c r="AP705" s="112" t="n">
        <f aca="false" ca="false" dt2D="false" dtr="false" t="normal">+N705-'Приложение №2'!E705</f>
        <v>0</v>
      </c>
      <c r="AQ705" s="1" t="n">
        <f aca="false" ca="false" dt2D="false" dtr="false" t="normal">319451.74-167645.41</f>
        <v>151806.33</v>
      </c>
      <c r="AR705" s="3" t="n">
        <f aca="false" ca="false" dt2D="false" dtr="false" t="normal">+(K705*10.5+L705*21)*12*0.85</f>
        <v>66532.662</v>
      </c>
      <c r="AS705" s="3" t="n">
        <f aca="false" ca="false" dt2D="false" dtr="false" t="normal">+(K705*10.5+L705*21)*12*30-1267907.77</f>
        <v>1080303.83</v>
      </c>
      <c r="AT705" s="9" t="n">
        <f aca="false" ca="false" dt2D="false" dtr="false" t="normal">+S705-AS705</f>
        <v>-788164.3600000001</v>
      </c>
      <c r="AU705" s="9" t="e">
        <f aca="false" ca="false" dt2D="false" dtr="false" t="normal">+P705-'[5]Приложение №1'!$P637</f>
        <v>#REF!</v>
      </c>
      <c r="AV705" s="9" t="e">
        <f aca="false" ca="false" dt2D="false" dtr="false" t="normal">+Q705-'[5]Приложение №1'!$Q637</f>
        <v>#REF!</v>
      </c>
      <c r="AW705" s="186" t="n">
        <f aca="false" ca="true" dt2D="false" dtr="false" t="normal">SUBTOTAL(9, AX705:BL705)</f>
        <v>521641.59041884117</v>
      </c>
      <c r="AX705" s="106" t="n">
        <v>0</v>
      </c>
      <c r="AY705" s="106" t="n">
        <v>0</v>
      </c>
      <c r="AZ705" s="106" t="n">
        <v>510478.460383878</v>
      </c>
      <c r="BA705" s="106" t="n">
        <v>0</v>
      </c>
      <c r="BB705" s="106" t="n">
        <v>0</v>
      </c>
      <c r="BC705" s="106" t="n"/>
      <c r="BD705" s="106" t="n"/>
      <c r="BE705" s="106" t="n">
        <v>0</v>
      </c>
      <c r="BF705" s="106" t="n">
        <v>0</v>
      </c>
      <c r="BG705" s="106" t="n">
        <v>0</v>
      </c>
      <c r="BH705" s="106" t="n">
        <v>0</v>
      </c>
      <c r="BI705" s="106" t="n">
        <v>0</v>
      </c>
      <c r="BJ705" s="106" t="n"/>
      <c r="BK705" s="114" t="n"/>
      <c r="BL705" s="115" t="n">
        <v>11163.1300349632</v>
      </c>
      <c r="BM705" s="186" t="n">
        <f aca="false" ca="true" dt2D="false" dtr="false" t="normal">SUBTOTAL(9, BN705:CB705)</f>
        <v>521641.59041884117</v>
      </c>
      <c r="BN705" s="106" t="n">
        <v>0</v>
      </c>
      <c r="BO705" s="106" t="n">
        <v>0</v>
      </c>
      <c r="BP705" s="106" t="n">
        <v>510478.460383878</v>
      </c>
      <c r="BQ705" s="106" t="n">
        <v>0</v>
      </c>
      <c r="BR705" s="106" t="n">
        <v>0</v>
      </c>
      <c r="BS705" s="106" t="n"/>
      <c r="BT705" s="106" t="n"/>
      <c r="BU705" s="106" t="n">
        <v>0</v>
      </c>
      <c r="BV705" s="106" t="n">
        <v>0</v>
      </c>
      <c r="BW705" s="106" t="n">
        <v>0</v>
      </c>
      <c r="BX705" s="106" t="n">
        <v>0</v>
      </c>
      <c r="BY705" s="106" t="n">
        <v>0</v>
      </c>
      <c r="BZ705" s="106" t="n"/>
      <c r="CA705" s="114" t="n"/>
      <c r="CB705" s="115" t="n">
        <v>11163.1300349632</v>
      </c>
      <c r="CD705" s="116" t="e">
        <f aca="false" ca="false" dt2D="false" dtr="false" t="normal">+CD704+1</f>
        <v>#REF!</v>
      </c>
      <c r="CE705" s="117" t="e">
        <f aca="false" ca="false" dt2D="false" dtr="false" t="normal">+CE704+1</f>
        <v>#REF!</v>
      </c>
      <c r="CF705" s="104" t="s">
        <v>209</v>
      </c>
      <c r="CG705" s="104" t="s">
        <v>665</v>
      </c>
      <c r="CH705" s="232" t="n">
        <f aca="false" ca="true" dt2D="false" dtr="false" t="normal">SUBTOTAL(9, CI705:CW705)</f>
        <v>510478.46</v>
      </c>
      <c r="CI705" s="106" t="n">
        <v>0</v>
      </c>
      <c r="CJ705" s="114" t="n">
        <v>0</v>
      </c>
      <c r="CK705" s="114" t="n">
        <v>510478.46</v>
      </c>
      <c r="CL705" s="114" t="n">
        <v>0</v>
      </c>
      <c r="CM705" s="114" t="n">
        <v>0</v>
      </c>
      <c r="CN705" s="114" t="n"/>
      <c r="CO705" s="106" t="n"/>
      <c r="CP705" s="114" t="n">
        <v>0</v>
      </c>
      <c r="CQ705" s="114" t="n">
        <v>0</v>
      </c>
      <c r="CR705" s="114" t="n">
        <v>0</v>
      </c>
      <c r="CS705" s="114" t="n">
        <v>0</v>
      </c>
      <c r="CT705" s="114" t="n">
        <v>0</v>
      </c>
      <c r="CU705" s="114" t="n"/>
      <c r="CV705" s="114" t="n"/>
      <c r="CW705" s="115" t="n"/>
      <c r="CX705" s="3" t="n">
        <f aca="false" ca="false" dt2D="false" dtr="false" t="normal">+N705-CH705</f>
        <v>0</v>
      </c>
      <c r="CZ705" s="104" t="s">
        <v>665</v>
      </c>
      <c r="DA705" s="186" t="n">
        <f aca="false" ca="true" dt2D="false" dtr="false" t="normal">SUBTOTAL(9, DB705:DP705)</f>
        <v>510478.46</v>
      </c>
      <c r="DB705" s="106" t="n">
        <v>0</v>
      </c>
      <c r="DC705" s="114" t="n">
        <v>0</v>
      </c>
      <c r="DD705" s="114" t="n">
        <v>510478.46</v>
      </c>
      <c r="DE705" s="114" t="n">
        <v>0</v>
      </c>
      <c r="DF705" s="114" t="n">
        <v>0</v>
      </c>
      <c r="DG705" s="114" t="n"/>
      <c r="DH705" s="106" t="n"/>
      <c r="DI705" s="114" t="n">
        <v>0</v>
      </c>
      <c r="DJ705" s="114" t="n">
        <v>0</v>
      </c>
      <c r="DK705" s="114" t="n">
        <v>0</v>
      </c>
      <c r="DL705" s="114" t="n">
        <v>0</v>
      </c>
      <c r="DM705" s="114" t="n">
        <v>0</v>
      </c>
      <c r="DN705" s="114" t="n"/>
      <c r="DO705" s="114" t="n"/>
      <c r="DP705" s="240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</row>
    <row customFormat="true" hidden="false" ht="15" outlineLevel="0" r="706" s="1">
      <c r="A706" s="183" t="n">
        <f aca="false" ca="false" dt2D="false" dtr="false" t="normal">+A705+1</f>
        <v>684</v>
      </c>
      <c r="B706" s="117" t="n">
        <f aca="false" ca="false" dt2D="false" dtr="false" t="normal">+B705+1</f>
        <v>224</v>
      </c>
      <c r="C706" s="117" t="s">
        <v>404</v>
      </c>
      <c r="D706" s="117" t="s">
        <v>666</v>
      </c>
      <c r="E706" s="201" t="n">
        <v>1980</v>
      </c>
      <c r="F706" s="201" t="n">
        <v>2000</v>
      </c>
      <c r="G706" s="201" t="s">
        <v>68</v>
      </c>
      <c r="H706" s="201" t="n">
        <v>4</v>
      </c>
      <c r="I706" s="201" t="n">
        <v>2</v>
      </c>
      <c r="J706" s="114" t="n">
        <v>1287.7</v>
      </c>
      <c r="K706" s="114" t="n">
        <v>1277.9</v>
      </c>
      <c r="L706" s="114" t="n">
        <v>0</v>
      </c>
      <c r="M706" s="202" t="n">
        <v>40</v>
      </c>
      <c r="N706" s="108" t="n">
        <f aca="false" ca="false" dt2D="false" dtr="false" t="normal">SUM(P706:T706)</f>
        <v>3828166.3</v>
      </c>
      <c r="O706" s="114" t="n"/>
      <c r="P706" s="114" t="n"/>
      <c r="Q706" s="114" t="n"/>
      <c r="R706" s="113" t="n">
        <v>114904.46</v>
      </c>
      <c r="S706" s="113" t="n">
        <v>1078632.52</v>
      </c>
      <c r="T706" s="114" t="n">
        <v>2634629.32</v>
      </c>
      <c r="U706" s="114" t="n">
        <v>3157.71868823727</v>
      </c>
      <c r="V706" s="114" t="n">
        <v>3157.71868823727</v>
      </c>
      <c r="W706" s="110" t="n">
        <v>2024</v>
      </c>
      <c r="X706" s="9" t="e">
        <f aca="false" ca="false" dt2D="false" dtr="false" t="normal">+#REF!-'[9]Приложение №1'!$P787</f>
        <v>#REF!</v>
      </c>
      <c r="Z706" s="113" t="n">
        <f aca="false" ca="false" dt2D="false" dtr="false" t="normal">SUM(AA706:AO706)</f>
        <v>9299405.044942278</v>
      </c>
      <c r="AA706" s="106" t="n">
        <v>3595441.72997401</v>
      </c>
      <c r="AB706" s="106" t="n">
        <v>1661086.14486135</v>
      </c>
      <c r="AC706" s="106" t="n">
        <v>1682740.68749368</v>
      </c>
      <c r="AD706" s="106" t="n">
        <v>1087023.00292675</v>
      </c>
      <c r="AE706" s="106" t="n">
        <v>0</v>
      </c>
      <c r="AF706" s="106" t="n"/>
      <c r="AG706" s="106" t="n">
        <v>125708.395066618</v>
      </c>
      <c r="AH706" s="106" t="n">
        <v>0</v>
      </c>
      <c r="AI706" s="106" t="n">
        <v>0</v>
      </c>
      <c r="AJ706" s="106" t="n">
        <v>0</v>
      </c>
      <c r="AK706" s="106" t="n">
        <v>0</v>
      </c>
      <c r="AL706" s="106" t="n">
        <v>0</v>
      </c>
      <c r="AM706" s="106" t="n">
        <v>876143.305628754</v>
      </c>
      <c r="AN706" s="114" t="n">
        <v>92994.0504494227</v>
      </c>
      <c r="AO706" s="115" t="n">
        <v>178267.728541692</v>
      </c>
      <c r="AP706" s="112" t="n">
        <f aca="false" ca="false" dt2D="false" dtr="false" t="normal">+N706-'Приложение №2'!E706</f>
        <v>0</v>
      </c>
      <c r="AQ706" s="1" t="n">
        <v>585442.08</v>
      </c>
      <c r="AR706" s="3" t="n">
        <f aca="false" ca="false" dt2D="false" dtr="false" t="normal">+(K706*10+L706*20)*12*0.85</f>
        <v>130345.8</v>
      </c>
      <c r="AS706" s="3" t="n">
        <f aca="false" ca="false" dt2D="false" dtr="false" t="normal">+(K706*10+L706*20)*12*30</f>
        <v>4600440</v>
      </c>
      <c r="AT706" s="9" t="n">
        <f aca="false" ca="false" dt2D="false" dtr="false" t="normal">+S706-AS706</f>
        <v>-3521807.48</v>
      </c>
      <c r="AU706" s="9" t="e">
        <f aca="false" ca="false" dt2D="false" dtr="false" t="normal">+P706-'[5]Приложение №1'!$P348</f>
        <v>#REF!</v>
      </c>
      <c r="AV706" s="9" t="e">
        <f aca="false" ca="false" dt2D="false" dtr="false" t="normal">+Q706-'[5]Приложение №1'!$Q348</f>
        <v>#REF!</v>
      </c>
      <c r="AW706" s="113" t="n">
        <f aca="false" ca="true" dt2D="false" dtr="false" t="normal">SUBTOTAL(9, AX706:BL706)</f>
        <v>4035248.7116984073</v>
      </c>
      <c r="AX706" s="106" t="n">
        <v>3828166.3</v>
      </c>
      <c r="AY706" s="106" t="n"/>
      <c r="AZ706" s="106" t="n"/>
      <c r="BA706" s="106" t="n"/>
      <c r="BB706" s="106" t="n">
        <v>0</v>
      </c>
      <c r="BC706" s="106" t="n"/>
      <c r="BD706" s="106" t="n">
        <v>125708.395066618</v>
      </c>
      <c r="BE706" s="106" t="n">
        <v>0</v>
      </c>
      <c r="BF706" s="106" t="n">
        <v>0</v>
      </c>
      <c r="BG706" s="106" t="n">
        <v>0</v>
      </c>
      <c r="BH706" s="106" t="n">
        <v>0</v>
      </c>
      <c r="BI706" s="106" t="n">
        <v>0</v>
      </c>
      <c r="BJ706" s="106" t="n"/>
      <c r="BK706" s="114" t="n"/>
      <c r="BL706" s="115" t="n">
        <v>81374.0166317897</v>
      </c>
      <c r="BM706" s="113" t="n">
        <f aca="false" ca="true" dt2D="false" dtr="false" t="normal">SUBTOTAL(9, BN706:CB706)</f>
        <v>4035248.7116984073</v>
      </c>
      <c r="BN706" s="106" t="n">
        <v>3828166.3</v>
      </c>
      <c r="BO706" s="106" t="n"/>
      <c r="BP706" s="106" t="n"/>
      <c r="BQ706" s="106" t="n"/>
      <c r="BR706" s="106" t="n">
        <v>0</v>
      </c>
      <c r="BS706" s="106" t="n"/>
      <c r="BT706" s="106" t="n">
        <v>125708.395066618</v>
      </c>
      <c r="BU706" s="106" t="n">
        <v>0</v>
      </c>
      <c r="BV706" s="106" t="n">
        <v>0</v>
      </c>
      <c r="BW706" s="106" t="n">
        <v>0</v>
      </c>
      <c r="BX706" s="106" t="n">
        <v>0</v>
      </c>
      <c r="BY706" s="106" t="n">
        <v>0</v>
      </c>
      <c r="BZ706" s="106" t="n"/>
      <c r="CA706" s="114" t="n"/>
      <c r="CB706" s="115" t="n">
        <v>81374.0166317897</v>
      </c>
      <c r="CD706" s="116" t="e">
        <f aca="false" ca="false" dt2D="false" dtr="false" t="normal">+CD705+1</f>
        <v>#REF!</v>
      </c>
      <c r="CE706" s="117" t="e">
        <f aca="false" ca="false" dt2D="false" dtr="false" t="normal">+CE705+1</f>
        <v>#REF!</v>
      </c>
      <c r="CF706" s="104" t="s">
        <v>404</v>
      </c>
      <c r="CG706" s="104" t="s">
        <v>666</v>
      </c>
      <c r="CH706" s="108" t="n">
        <f aca="false" ca="true" dt2D="false" dtr="false" t="normal">SUBTOTAL(9, CI706:CW706)</f>
        <v>3828166.3</v>
      </c>
      <c r="CI706" s="106" t="n">
        <v>3828166.3</v>
      </c>
      <c r="CJ706" s="114" t="n"/>
      <c r="CK706" s="114" t="n"/>
      <c r="CL706" s="114" t="n"/>
      <c r="CM706" s="114" t="n">
        <v>0</v>
      </c>
      <c r="CN706" s="114" t="n"/>
      <c r="CO706" s="106" t="n"/>
      <c r="CP706" s="114" t="n">
        <v>0</v>
      </c>
      <c r="CQ706" s="114" t="n">
        <v>0</v>
      </c>
      <c r="CR706" s="114" t="n">
        <v>0</v>
      </c>
      <c r="CS706" s="114" t="n">
        <v>0</v>
      </c>
      <c r="CT706" s="114" t="n">
        <v>0</v>
      </c>
      <c r="CU706" s="114" t="n"/>
      <c r="CV706" s="114" t="n"/>
      <c r="CW706" s="115" t="n"/>
      <c r="CX706" s="3" t="n">
        <f aca="false" ca="false" dt2D="false" dtr="false" t="normal">+N706-CH706</f>
        <v>0</v>
      </c>
      <c r="CZ706" s="104" t="s">
        <v>666</v>
      </c>
      <c r="DA706" s="113" t="n">
        <f aca="false" ca="true" dt2D="false" dtr="false" t="normal">SUBTOTAL(9, DB706:DP706)</f>
        <v>3828166.3</v>
      </c>
      <c r="DB706" s="106" t="n">
        <v>3828166.3</v>
      </c>
      <c r="DC706" s="114" t="n"/>
      <c r="DD706" s="114" t="n"/>
      <c r="DE706" s="114" t="n"/>
      <c r="DF706" s="114" t="n">
        <v>0</v>
      </c>
      <c r="DG706" s="114" t="n"/>
      <c r="DH706" s="106" t="n"/>
      <c r="DI706" s="114" t="n">
        <v>0</v>
      </c>
      <c r="DJ706" s="114" t="n">
        <v>0</v>
      </c>
      <c r="DK706" s="114" t="n">
        <v>0</v>
      </c>
      <c r="DL706" s="114" t="n">
        <v>0</v>
      </c>
      <c r="DM706" s="114" t="n">
        <v>0</v>
      </c>
      <c r="DN706" s="114" t="n"/>
      <c r="DO706" s="114" t="n"/>
      <c r="DP706" s="240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</row>
    <row customFormat="true" hidden="false" ht="15" outlineLevel="0" r="707" s="1">
      <c r="A707" s="183" t="n">
        <f aca="false" ca="false" dt2D="false" dtr="false" t="normal">+A706+1</f>
        <v>685</v>
      </c>
      <c r="B707" s="117" t="n">
        <f aca="false" ca="false" dt2D="false" dtr="false" t="normal">+B706+1</f>
        <v>225</v>
      </c>
      <c r="C707" s="104" t="s">
        <v>404</v>
      </c>
      <c r="D707" s="104" t="s">
        <v>667</v>
      </c>
      <c r="E707" s="105" t="n">
        <v>1982</v>
      </c>
      <c r="F707" s="105" t="n"/>
      <c r="G707" s="105" t="s">
        <v>68</v>
      </c>
      <c r="H707" s="105" t="n">
        <v>5</v>
      </c>
      <c r="I707" s="105" t="n">
        <v>4</v>
      </c>
      <c r="J707" s="106" t="n">
        <v>3359.7</v>
      </c>
      <c r="K707" s="106" t="n">
        <v>2436.8</v>
      </c>
      <c r="L707" s="106" t="n">
        <v>338.7</v>
      </c>
      <c r="M707" s="107" t="n">
        <v>80</v>
      </c>
      <c r="N707" s="108" t="n">
        <f aca="false" ca="false" dt2D="false" dtr="false" t="normal">SUM(P707:T707)</f>
        <v>520542.46</v>
      </c>
      <c r="O707" s="106" t="n"/>
      <c r="P707" s="114" t="n"/>
      <c r="Q707" s="114" t="n"/>
      <c r="R707" s="113" t="n">
        <v>520542.46</v>
      </c>
      <c r="S707" s="114" t="n">
        <v>0</v>
      </c>
      <c r="T707" s="190" t="n">
        <v>0</v>
      </c>
      <c r="U707" s="106" t="n">
        <v>187.549075842191</v>
      </c>
      <c r="V707" s="106" t="n">
        <v>187.549075842191</v>
      </c>
      <c r="W707" s="110" t="n">
        <v>2024</v>
      </c>
      <c r="X707" s="9" t="n"/>
      <c r="Z707" s="113" t="n"/>
      <c r="AA707" s="106" t="n"/>
      <c r="AB707" s="106" t="n"/>
      <c r="AC707" s="106" t="n"/>
      <c r="AD707" s="106" t="n"/>
      <c r="AE707" s="106" t="n"/>
      <c r="AF707" s="106" t="n"/>
      <c r="AG707" s="106" t="n"/>
      <c r="AH707" s="106" t="n"/>
      <c r="AI707" s="106" t="n"/>
      <c r="AJ707" s="106" t="n"/>
      <c r="AK707" s="106" t="n"/>
      <c r="AL707" s="106" t="n"/>
      <c r="AM707" s="106" t="n"/>
      <c r="AN707" s="114" t="n"/>
      <c r="AO707" s="115" t="n"/>
      <c r="AP707" s="112" t="n">
        <f aca="false" ca="false" dt2D="false" dtr="false" t="normal">+N707-'Приложение №2'!E707</f>
        <v>0</v>
      </c>
      <c r="AQ707" s="135" t="n">
        <v>1709418.27</v>
      </c>
      <c r="AR707" s="3" t="n">
        <f aca="false" ca="false" dt2D="false" dtr="false" t="normal">+(K707*10+L707*20)*12*0.85</f>
        <v>317648.39999999997</v>
      </c>
      <c r="AS707" s="3" t="n">
        <f aca="false" ca="false" dt2D="false" dtr="false" t="normal">+(K707*10+L707*20)*12*30</f>
        <v>11211120</v>
      </c>
      <c r="AT707" s="9" t="n">
        <f aca="false" ca="false" dt2D="false" dtr="false" t="normal">+S707-AS707</f>
        <v>-11211120</v>
      </c>
      <c r="AW707" s="113" t="n">
        <f aca="false" ca="true" dt2D="false" dtr="false" t="normal">SUBTOTAL(9, AX707:BL707)</f>
        <v>520542.46</v>
      </c>
      <c r="AX707" s="106" t="n"/>
      <c r="AY707" s="106" t="n"/>
      <c r="AZ707" s="106" t="n"/>
      <c r="BA707" s="106" t="n">
        <v>520542.46</v>
      </c>
      <c r="BB707" s="106" t="n"/>
      <c r="BC707" s="106" t="n"/>
      <c r="BD707" s="106" t="n"/>
      <c r="BE707" s="106" t="n"/>
      <c r="BF707" s="106" t="n"/>
      <c r="BG707" s="106" t="n"/>
      <c r="BH707" s="106" t="n"/>
      <c r="BI707" s="106" t="n"/>
      <c r="BJ707" s="106" t="n"/>
      <c r="BK707" s="114" t="n"/>
      <c r="BL707" s="187" t="n"/>
      <c r="BM707" s="113" t="n">
        <f aca="false" ca="true" dt2D="false" dtr="false" t="normal">SUBTOTAL(9, BN707:CB707)</f>
        <v>520542.46</v>
      </c>
      <c r="BN707" s="106" t="n"/>
      <c r="BO707" s="106" t="n"/>
      <c r="BP707" s="106" t="n"/>
      <c r="BQ707" s="106" t="n">
        <v>520542.46</v>
      </c>
      <c r="BR707" s="106" t="n"/>
      <c r="BS707" s="106" t="n"/>
      <c r="BT707" s="106" t="n"/>
      <c r="BU707" s="106" t="n"/>
      <c r="BV707" s="106" t="n"/>
      <c r="BW707" s="106" t="n"/>
      <c r="BX707" s="106" t="n"/>
      <c r="BY707" s="106" t="n"/>
      <c r="BZ707" s="106" t="n"/>
      <c r="CA707" s="114" t="n"/>
      <c r="CB707" s="115" t="n"/>
      <c r="CD707" s="116" t="e">
        <f aca="false" ca="false" dt2D="false" dtr="false" t="normal">+CD706+1</f>
        <v>#REF!</v>
      </c>
      <c r="CE707" s="117" t="e">
        <f aca="false" ca="false" dt2D="false" dtr="false" t="normal">+CE706+1</f>
        <v>#REF!</v>
      </c>
      <c r="CF707" s="104" t="s">
        <v>404</v>
      </c>
      <c r="CG707" s="117" t="s">
        <v>667</v>
      </c>
      <c r="CH707" s="108" t="n">
        <f aca="false" ca="true" dt2D="false" dtr="false" t="normal">SUBTOTAL(9, CI707:CW707)</f>
        <v>520542.46</v>
      </c>
      <c r="CI707" s="106" t="n"/>
      <c r="CJ707" s="114" t="n"/>
      <c r="CK707" s="114" t="n"/>
      <c r="CL707" s="114" t="n">
        <v>520542.46</v>
      </c>
      <c r="CM707" s="114" t="n"/>
      <c r="CN707" s="114" t="n"/>
      <c r="CO707" s="106" t="n"/>
      <c r="CP707" s="114" t="n"/>
      <c r="CQ707" s="114" t="n"/>
      <c r="CR707" s="114" t="n"/>
      <c r="CS707" s="114" t="n"/>
      <c r="CT707" s="114" t="n"/>
      <c r="CU707" s="114" t="n"/>
      <c r="CV707" s="114" t="n"/>
      <c r="CW707" s="115" t="n"/>
      <c r="CX707" s="3" t="n">
        <f aca="false" ca="false" dt2D="false" dtr="false" t="normal">+N707-CH707</f>
        <v>0</v>
      </c>
      <c r="CZ707" s="117" t="s">
        <v>667</v>
      </c>
      <c r="DA707" s="113" t="n">
        <f aca="false" ca="true" dt2D="false" dtr="false" t="normal">SUBTOTAL(9, DB707:DP707)</f>
        <v>520542.46</v>
      </c>
      <c r="DB707" s="106" t="n"/>
      <c r="DC707" s="114" t="n"/>
      <c r="DD707" s="114" t="n"/>
      <c r="DE707" s="114" t="n">
        <v>520542.46</v>
      </c>
      <c r="DF707" s="114" t="n"/>
      <c r="DG707" s="114" t="n"/>
      <c r="DH707" s="106" t="n"/>
      <c r="DI707" s="114" t="n"/>
      <c r="DJ707" s="114" t="n"/>
      <c r="DK707" s="114" t="n"/>
      <c r="DL707" s="114" t="n"/>
      <c r="DM707" s="114" t="n"/>
      <c r="DN707" s="114" t="n"/>
      <c r="DO707" s="114" t="n"/>
      <c r="DP707" s="115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</row>
    <row customFormat="true" hidden="false" ht="15" outlineLevel="0" r="708" s="1">
      <c r="A708" s="183" t="n">
        <f aca="false" ca="false" dt2D="false" dtr="false" t="normal">+A707+1</f>
        <v>686</v>
      </c>
      <c r="B708" s="117" t="n">
        <f aca="false" ca="false" dt2D="false" dtr="false" t="normal">+B707+1</f>
        <v>226</v>
      </c>
      <c r="C708" s="117" t="s">
        <v>404</v>
      </c>
      <c r="D708" s="117" t="s">
        <v>668</v>
      </c>
      <c r="E708" s="201" t="n">
        <v>1970</v>
      </c>
      <c r="F708" s="201" t="n">
        <v>2013</v>
      </c>
      <c r="G708" s="201" t="s">
        <v>68</v>
      </c>
      <c r="H708" s="201" t="n">
        <v>4</v>
      </c>
      <c r="I708" s="201" t="n">
        <v>2</v>
      </c>
      <c r="J708" s="114" t="n">
        <v>1446.8</v>
      </c>
      <c r="K708" s="114" t="n">
        <v>1340.5</v>
      </c>
      <c r="L708" s="114" t="n">
        <v>0</v>
      </c>
      <c r="M708" s="202" t="n">
        <v>57</v>
      </c>
      <c r="N708" s="108" t="n">
        <f aca="false" ca="false" dt2D="false" dtr="false" t="normal">SUM(P708:T708)</f>
        <v>1910484.5299999998</v>
      </c>
      <c r="O708" s="114" t="n"/>
      <c r="P708" s="114" t="n"/>
      <c r="Q708" s="114" t="n"/>
      <c r="R708" s="113" t="n">
        <v>736504.07</v>
      </c>
      <c r="S708" s="113" t="n">
        <v>128067.45</v>
      </c>
      <c r="T708" s="114" t="n">
        <v>1045913.01</v>
      </c>
      <c r="U708" s="114" t="n">
        <v>1453.03128492187</v>
      </c>
      <c r="V708" s="114" t="n">
        <v>1453.03128492187</v>
      </c>
      <c r="W708" s="110" t="n">
        <v>2024</v>
      </c>
      <c r="X708" s="9" t="e">
        <f aca="false" ca="false" dt2D="false" dtr="false" t="normal">+#REF!-'[9]Приложение №1'!$P1146</f>
        <v>#REF!</v>
      </c>
      <c r="Z708" s="113" t="n">
        <f aca="false" ca="false" dt2D="false" dtr="false" t="normal">SUM(AA708:AO708)</f>
        <v>1958621.6233209567</v>
      </c>
      <c r="AA708" s="106" t="n">
        <v>0</v>
      </c>
      <c r="AB708" s="106" t="n">
        <v>0</v>
      </c>
      <c r="AC708" s="106" t="n">
        <v>1705869.33731788</v>
      </c>
      <c r="AD708" s="106" t="n">
        <v>0</v>
      </c>
      <c r="AE708" s="106" t="n">
        <v>0</v>
      </c>
      <c r="AF708" s="106" t="n"/>
      <c r="AG708" s="106" t="n">
        <v>0</v>
      </c>
      <c r="AH708" s="106" t="n">
        <v>0</v>
      </c>
      <c r="AI708" s="106" t="n">
        <v>0</v>
      </c>
      <c r="AJ708" s="106" t="n">
        <v>0</v>
      </c>
      <c r="AK708" s="106" t="n">
        <v>0</v>
      </c>
      <c r="AL708" s="106" t="n">
        <v>0</v>
      </c>
      <c r="AM708" s="106" t="n">
        <v>195862.162332096</v>
      </c>
      <c r="AN708" s="114" t="n">
        <v>19586.2162332096</v>
      </c>
      <c r="AO708" s="115" t="n">
        <v>37303.907437771</v>
      </c>
      <c r="AP708" s="112" t="n">
        <f aca="false" ca="false" dt2D="false" dtr="false" t="normal">+N708-'Приложение №2'!E708</f>
        <v>0</v>
      </c>
      <c r="AQ708" s="1" t="n">
        <v>644864.57</v>
      </c>
      <c r="AR708" s="3" t="n">
        <f aca="false" ca="false" dt2D="false" dtr="false" t="normal">+(K708*10+L708*20)*12*0.85</f>
        <v>136731</v>
      </c>
      <c r="AS708" s="3" t="n">
        <f aca="false" ca="false" dt2D="false" dtr="false" t="normal">+(K708*10+L708*20)*12*30</f>
        <v>4825800</v>
      </c>
      <c r="AT708" s="9" t="n">
        <f aca="false" ca="false" dt2D="false" dtr="false" t="normal">+S708-AS708</f>
        <v>-4697732.55</v>
      </c>
      <c r="AU708" s="9" t="e">
        <f aca="false" ca="false" dt2D="false" dtr="false" t="normal">+P708-'[5]Приложение №1'!$P349</f>
        <v>#REF!</v>
      </c>
      <c r="AV708" s="9" t="e">
        <f aca="false" ca="false" dt2D="false" dtr="false" t="normal">+Q708-'[5]Приложение №1'!$Q349</f>
        <v>#REF!</v>
      </c>
      <c r="AW708" s="113" t="n">
        <f aca="false" ca="true" dt2D="false" dtr="false" t="normal">SUBTOTAL(9, AX708:BL708)</f>
        <v>1947788.4374377711</v>
      </c>
      <c r="AX708" s="106" t="n"/>
      <c r="AY708" s="106" t="n"/>
      <c r="AZ708" s="106" t="n">
        <v>1910484.53</v>
      </c>
      <c r="BA708" s="106" t="n">
        <v>0</v>
      </c>
      <c r="BB708" s="106" t="n">
        <v>0</v>
      </c>
      <c r="BC708" s="106" t="n"/>
      <c r="BD708" s="106" t="n"/>
      <c r="BE708" s="106" t="n">
        <v>0</v>
      </c>
      <c r="BF708" s="106" t="n">
        <v>0</v>
      </c>
      <c r="BG708" s="106" t="n">
        <v>0</v>
      </c>
      <c r="BH708" s="106" t="n">
        <v>0</v>
      </c>
      <c r="BI708" s="106" t="n">
        <v>0</v>
      </c>
      <c r="BJ708" s="106" t="n"/>
      <c r="BK708" s="114" t="n"/>
      <c r="BL708" s="115" t="n">
        <v>37303.907437771</v>
      </c>
      <c r="BM708" s="113" t="n">
        <f aca="false" ca="true" dt2D="false" dtr="false" t="normal">SUBTOTAL(9, BN708:CB708)</f>
        <v>1947788.4374377711</v>
      </c>
      <c r="BN708" s="106" t="n"/>
      <c r="BO708" s="106" t="n"/>
      <c r="BP708" s="106" t="n">
        <v>1910484.53</v>
      </c>
      <c r="BQ708" s="106" t="n">
        <v>0</v>
      </c>
      <c r="BR708" s="106" t="n">
        <v>0</v>
      </c>
      <c r="BS708" s="106" t="n"/>
      <c r="BT708" s="106" t="n"/>
      <c r="BU708" s="106" t="n">
        <v>0</v>
      </c>
      <c r="BV708" s="106" t="n">
        <v>0</v>
      </c>
      <c r="BW708" s="106" t="n">
        <v>0</v>
      </c>
      <c r="BX708" s="106" t="n">
        <v>0</v>
      </c>
      <c r="BY708" s="106" t="n">
        <v>0</v>
      </c>
      <c r="BZ708" s="106" t="n"/>
      <c r="CA708" s="114" t="n"/>
      <c r="CB708" s="115" t="n">
        <v>37303.907437771</v>
      </c>
      <c r="CD708" s="116" t="e">
        <f aca="false" ca="false" dt2D="false" dtr="false" t="normal">+CD707+1</f>
        <v>#REF!</v>
      </c>
      <c r="CE708" s="117" t="e">
        <f aca="false" ca="false" dt2D="false" dtr="false" t="normal">+CE707+1</f>
        <v>#REF!</v>
      </c>
      <c r="CF708" s="104" t="s">
        <v>404</v>
      </c>
      <c r="CG708" s="104" t="s">
        <v>668</v>
      </c>
      <c r="CH708" s="108" t="n">
        <f aca="false" ca="true" dt2D="false" dtr="false" t="normal">SUBTOTAL(9, CI708:CW708)</f>
        <v>1947788.44</v>
      </c>
      <c r="CI708" s="106" t="n"/>
      <c r="CJ708" s="114" t="n"/>
      <c r="CK708" s="114" t="n">
        <v>1910484.53</v>
      </c>
      <c r="CL708" s="114" t="n">
        <v>0</v>
      </c>
      <c r="CM708" s="114" t="n">
        <v>0</v>
      </c>
      <c r="CN708" s="114" t="n"/>
      <c r="CO708" s="106" t="n"/>
      <c r="CP708" s="114" t="n">
        <v>0</v>
      </c>
      <c r="CQ708" s="114" t="n">
        <v>0</v>
      </c>
      <c r="CR708" s="114" t="n">
        <v>0</v>
      </c>
      <c r="CS708" s="114" t="n">
        <v>0</v>
      </c>
      <c r="CT708" s="114" t="n">
        <v>0</v>
      </c>
      <c r="CU708" s="114" t="n"/>
      <c r="CV708" s="114" t="n"/>
      <c r="CW708" s="115" t="n">
        <v>37303.91</v>
      </c>
      <c r="CX708" s="3" t="n">
        <f aca="false" ca="false" dt2D="false" dtr="false" t="normal">+N708-CH708</f>
        <v>-37303.91000000015</v>
      </c>
      <c r="CZ708" s="104" t="s">
        <v>668</v>
      </c>
      <c r="DA708" s="113" t="n">
        <f aca="false" ca="true" dt2D="false" dtr="false" t="normal">SUBTOTAL(9, DB708:DP708)</f>
        <v>1910484.53</v>
      </c>
      <c r="DB708" s="106" t="n"/>
      <c r="DC708" s="114" t="n"/>
      <c r="DD708" s="114" t="n">
        <v>1910484.53</v>
      </c>
      <c r="DE708" s="114" t="n">
        <v>0</v>
      </c>
      <c r="DF708" s="114" t="n">
        <v>0</v>
      </c>
      <c r="DG708" s="114" t="n"/>
      <c r="DH708" s="106" t="n"/>
      <c r="DI708" s="114" t="n">
        <v>0</v>
      </c>
      <c r="DJ708" s="114" t="n">
        <v>0</v>
      </c>
      <c r="DK708" s="114" t="n">
        <v>0</v>
      </c>
      <c r="DL708" s="114" t="n">
        <v>0</v>
      </c>
      <c r="DM708" s="114" t="n">
        <v>0</v>
      </c>
      <c r="DN708" s="114" t="n"/>
      <c r="DO708" s="114" t="n"/>
      <c r="DP708" s="240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</row>
    <row customFormat="true" hidden="false" ht="15" outlineLevel="0" r="709" s="1">
      <c r="A709" s="183" t="n">
        <f aca="false" ca="false" dt2D="false" dtr="false" t="normal">+A708+1</f>
        <v>687</v>
      </c>
      <c r="B709" s="117" t="n">
        <f aca="false" ca="false" dt2D="false" dtr="false" t="normal">+B708+1</f>
        <v>227</v>
      </c>
      <c r="C709" s="117" t="s">
        <v>404</v>
      </c>
      <c r="D709" s="117" t="s">
        <v>669</v>
      </c>
      <c r="E709" s="201" t="n">
        <v>1965</v>
      </c>
      <c r="F709" s="201" t="n">
        <v>2006</v>
      </c>
      <c r="G709" s="201" t="s">
        <v>68</v>
      </c>
      <c r="H709" s="201" t="n">
        <v>3</v>
      </c>
      <c r="I709" s="201" t="n">
        <v>2</v>
      </c>
      <c r="J709" s="114" t="n">
        <v>1057</v>
      </c>
      <c r="K709" s="114" t="n">
        <v>910.1</v>
      </c>
      <c r="L709" s="114" t="n">
        <v>0</v>
      </c>
      <c r="M709" s="202" t="n">
        <v>42</v>
      </c>
      <c r="N709" s="108" t="n">
        <f aca="false" ca="false" dt2D="false" dtr="false" t="normal">SUM(P709:T709)</f>
        <v>1342966.97</v>
      </c>
      <c r="O709" s="114" t="n"/>
      <c r="P709" s="114" t="n"/>
      <c r="Q709" s="114" t="n"/>
      <c r="R709" s="113" t="n">
        <v>500725.92</v>
      </c>
      <c r="S709" s="113" t="n">
        <v>411510.53</v>
      </c>
      <c r="T709" s="114" t="n">
        <v>430730.52</v>
      </c>
      <c r="U709" s="114" t="n">
        <v>1500.06317892166</v>
      </c>
      <c r="V709" s="114" t="n">
        <v>1500.06317892166</v>
      </c>
      <c r="W709" s="110" t="n">
        <v>2024</v>
      </c>
      <c r="X709" s="9" t="e">
        <f aca="false" ca="false" dt2D="false" dtr="false" t="normal">+#REF!-'[9]Приложение №1'!$P1147</f>
        <v>#REF!</v>
      </c>
      <c r="Z709" s="113" t="n">
        <f aca="false" ca="false" dt2D="false" dtr="false" t="normal">SUM(AA709:AO709)</f>
        <v>8816238.861165222</v>
      </c>
      <c r="AA709" s="106" t="n">
        <v>4211114.59208373</v>
      </c>
      <c r="AB709" s="106" t="n">
        <v>2542939.34473887</v>
      </c>
      <c r="AC709" s="106" t="n">
        <v>1017036.53332148</v>
      </c>
      <c r="AD709" s="106" t="n">
        <v>0</v>
      </c>
      <c r="AE709" s="106" t="n">
        <v>0</v>
      </c>
      <c r="AF709" s="106" t="n"/>
      <c r="AG709" s="106" t="n">
        <v>0</v>
      </c>
      <c r="AH709" s="106" t="n">
        <v>0</v>
      </c>
      <c r="AI709" s="106" t="n">
        <v>0</v>
      </c>
      <c r="AJ709" s="106" t="n">
        <v>0</v>
      </c>
      <c r="AK709" s="106" t="n">
        <v>0</v>
      </c>
      <c r="AL709" s="106" t="n">
        <v>0</v>
      </c>
      <c r="AM709" s="106" t="n">
        <v>787047.992945885</v>
      </c>
      <c r="AN709" s="114" t="n">
        <v>88162.3886116522</v>
      </c>
      <c r="AO709" s="115" t="n">
        <v>169938.009463604</v>
      </c>
      <c r="AP709" s="112" t="n">
        <f aca="false" ca="false" dt2D="false" dtr="false" t="normal">+N709-'Приложение №2'!E709</f>
        <v>0</v>
      </c>
      <c r="AQ709" s="1" t="n">
        <v>414827.63</v>
      </c>
      <c r="AR709" s="3" t="n">
        <f aca="false" ca="false" dt2D="false" dtr="false" t="normal">+(K709*10+L709*20)*12*0.85</f>
        <v>92830.2</v>
      </c>
      <c r="AS709" s="3" t="n">
        <f aca="false" ca="false" dt2D="false" dtr="false" t="normal">+(K709*10+L709*20)*12*30</f>
        <v>3276360</v>
      </c>
      <c r="AT709" s="9" t="n">
        <f aca="false" ca="false" dt2D="false" dtr="false" t="normal">+S709-AS709</f>
        <v>-2864849.4699999997</v>
      </c>
      <c r="AU709" s="9" t="e">
        <f aca="false" ca="false" dt2D="false" dtr="false" t="normal">+P709-'[5]Приложение №1'!$P350</f>
        <v>#REF!</v>
      </c>
      <c r="AV709" s="9" t="e">
        <f aca="false" ca="false" dt2D="false" dtr="false" t="normal">+Q709-'[5]Приложение №1'!$Q350</f>
        <v>#REF!</v>
      </c>
      <c r="AW709" s="113" t="n">
        <f aca="false" ca="true" dt2D="false" dtr="false" t="normal">SUBTOTAL(9, AX709:BL709)</f>
        <v>1365207.499136603</v>
      </c>
      <c r="AX709" s="106" t="n"/>
      <c r="AY709" s="106" t="n"/>
      <c r="AZ709" s="106" t="n">
        <v>1342966.97</v>
      </c>
      <c r="BA709" s="106" t="n">
        <v>0</v>
      </c>
      <c r="BB709" s="106" t="n">
        <v>0</v>
      </c>
      <c r="BC709" s="106" t="n"/>
      <c r="BD709" s="106" t="n"/>
      <c r="BE709" s="106" t="n">
        <v>0</v>
      </c>
      <c r="BF709" s="106" t="n">
        <v>0</v>
      </c>
      <c r="BG709" s="106" t="n">
        <v>0</v>
      </c>
      <c r="BH709" s="106" t="n">
        <v>0</v>
      </c>
      <c r="BI709" s="106" t="n">
        <v>0</v>
      </c>
      <c r="BJ709" s="106" t="n"/>
      <c r="BK709" s="114" t="n"/>
      <c r="BL709" s="115" t="n">
        <v>22240.5291366031</v>
      </c>
      <c r="BM709" s="113" t="n">
        <f aca="false" ca="true" dt2D="false" dtr="false" t="normal">SUBTOTAL(9, BN709:CB709)</f>
        <v>1365207.499136603</v>
      </c>
      <c r="BN709" s="106" t="n"/>
      <c r="BO709" s="106" t="n"/>
      <c r="BP709" s="106" t="n">
        <v>1342966.97</v>
      </c>
      <c r="BQ709" s="106" t="n">
        <v>0</v>
      </c>
      <c r="BR709" s="106" t="n">
        <v>0</v>
      </c>
      <c r="BS709" s="106" t="n"/>
      <c r="BT709" s="106" t="n"/>
      <c r="BU709" s="106" t="n">
        <v>0</v>
      </c>
      <c r="BV709" s="106" t="n">
        <v>0</v>
      </c>
      <c r="BW709" s="106" t="n">
        <v>0</v>
      </c>
      <c r="BX709" s="106" t="n">
        <v>0</v>
      </c>
      <c r="BY709" s="106" t="n">
        <v>0</v>
      </c>
      <c r="BZ709" s="106" t="n"/>
      <c r="CA709" s="114" t="n"/>
      <c r="CB709" s="115" t="n">
        <v>22240.5291366031</v>
      </c>
      <c r="CD709" s="116" t="e">
        <f aca="false" ca="false" dt2D="false" dtr="false" t="normal">+CD708+1</f>
        <v>#REF!</v>
      </c>
      <c r="CE709" s="117" t="e">
        <f aca="false" ca="false" dt2D="false" dtr="false" t="normal">+CE708+1</f>
        <v>#REF!</v>
      </c>
      <c r="CF709" s="104" t="s">
        <v>404</v>
      </c>
      <c r="CG709" s="104" t="s">
        <v>669</v>
      </c>
      <c r="CH709" s="108" t="n">
        <f aca="false" ca="true" dt2D="false" dtr="false" t="normal">SUBTOTAL(9, CI709:CW709)</f>
        <v>1365207.5</v>
      </c>
      <c r="CI709" s="106" t="n"/>
      <c r="CJ709" s="114" t="n"/>
      <c r="CK709" s="114" t="n">
        <v>1342966.97</v>
      </c>
      <c r="CL709" s="114" t="n">
        <v>0</v>
      </c>
      <c r="CM709" s="114" t="n">
        <v>0</v>
      </c>
      <c r="CN709" s="114" t="n"/>
      <c r="CO709" s="106" t="n"/>
      <c r="CP709" s="114" t="n">
        <v>0</v>
      </c>
      <c r="CQ709" s="114" t="n">
        <v>0</v>
      </c>
      <c r="CR709" s="114" t="n">
        <v>0</v>
      </c>
      <c r="CS709" s="114" t="n">
        <v>0</v>
      </c>
      <c r="CT709" s="114" t="n">
        <v>0</v>
      </c>
      <c r="CU709" s="114" t="n"/>
      <c r="CV709" s="114" t="n"/>
      <c r="CW709" s="115" t="n">
        <v>22240.53</v>
      </c>
      <c r="CX709" s="3" t="n">
        <f aca="false" ca="false" dt2D="false" dtr="false" t="normal">+N709-CH709</f>
        <v>-22240.530000000028</v>
      </c>
      <c r="CZ709" s="104" t="s">
        <v>669</v>
      </c>
      <c r="DA709" s="113" t="n">
        <f aca="false" ca="true" dt2D="false" dtr="false" t="normal">SUBTOTAL(9, DB709:DP709)</f>
        <v>1342966.97</v>
      </c>
      <c r="DB709" s="106" t="n"/>
      <c r="DC709" s="114" t="n"/>
      <c r="DD709" s="114" t="n">
        <v>1342966.97</v>
      </c>
      <c r="DE709" s="114" t="n">
        <v>0</v>
      </c>
      <c r="DF709" s="114" t="n">
        <v>0</v>
      </c>
      <c r="DG709" s="114" t="n"/>
      <c r="DH709" s="106" t="n"/>
      <c r="DI709" s="114" t="n">
        <v>0</v>
      </c>
      <c r="DJ709" s="114" t="n">
        <v>0</v>
      </c>
      <c r="DK709" s="114" t="n">
        <v>0</v>
      </c>
      <c r="DL709" s="114" t="n">
        <v>0</v>
      </c>
      <c r="DM709" s="114" t="n">
        <v>0</v>
      </c>
      <c r="DN709" s="114" t="n"/>
      <c r="DO709" s="114" t="n"/>
      <c r="DP709" s="240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</row>
    <row customFormat="true" hidden="false" ht="15" outlineLevel="0" r="710" s="1">
      <c r="A710" s="183" t="n">
        <f aca="false" ca="false" dt2D="false" dtr="false" t="normal">+A709+1</f>
        <v>688</v>
      </c>
      <c r="B710" s="117" t="n">
        <f aca="false" ca="false" dt2D="false" dtr="false" t="normal">+B709+1</f>
        <v>228</v>
      </c>
      <c r="C710" s="104" t="s">
        <v>404</v>
      </c>
      <c r="D710" s="104" t="s">
        <v>670</v>
      </c>
      <c r="E710" s="105" t="n">
        <v>1993</v>
      </c>
      <c r="F710" s="105" t="n">
        <v>2013</v>
      </c>
      <c r="G710" s="105" t="s">
        <v>68</v>
      </c>
      <c r="H710" s="105" t="n">
        <v>5</v>
      </c>
      <c r="I710" s="105" t="n">
        <v>4</v>
      </c>
      <c r="J710" s="106" t="n">
        <v>3395.5</v>
      </c>
      <c r="K710" s="106" t="n">
        <v>2227.23</v>
      </c>
      <c r="L710" s="106" t="n">
        <v>0</v>
      </c>
      <c r="M710" s="107" t="n">
        <v>37</v>
      </c>
      <c r="N710" s="108" t="n">
        <f aca="false" ca="false" dt2D="false" dtr="false" t="normal">SUM(P710:T710)</f>
        <v>4731043.07</v>
      </c>
      <c r="O710" s="106" t="n"/>
      <c r="P710" s="114" t="n"/>
      <c r="Q710" s="114" t="n"/>
      <c r="R710" s="113" t="n">
        <v>1000336.41</v>
      </c>
      <c r="S710" s="113" t="n">
        <v>3730706.66</v>
      </c>
      <c r="T710" s="190" t="n"/>
      <c r="U710" s="106" t="n">
        <v>2851.08924296104</v>
      </c>
      <c r="V710" s="106" t="n">
        <v>2851.08924296104</v>
      </c>
      <c r="W710" s="110" t="n">
        <v>2024</v>
      </c>
      <c r="X710" s="9" t="e">
        <f aca="false" ca="false" dt2D="false" dtr="false" t="normal">+#REF!-'[9]Приложение №1'!$P1148</f>
        <v>#REF!</v>
      </c>
      <c r="Z710" s="113" t="n">
        <f aca="false" ca="false" dt2D="false" dtr="false" t="normal">SUM(AA710:AO710)</f>
        <v>6360267.759547859</v>
      </c>
      <c r="AA710" s="106" t="n">
        <v>0</v>
      </c>
      <c r="AB710" s="106" t="n">
        <v>0</v>
      </c>
      <c r="AC710" s="106" t="n">
        <v>3320012.55203752</v>
      </c>
      <c r="AD710" s="106" t="n">
        <v>2144673.88878886</v>
      </c>
      <c r="AE710" s="106" t="n">
        <v>0</v>
      </c>
      <c r="AF710" s="106" t="n"/>
      <c r="AG710" s="106" t="n">
        <v>0</v>
      </c>
      <c r="AH710" s="106" t="n">
        <v>0</v>
      </c>
      <c r="AI710" s="106" t="n">
        <v>0</v>
      </c>
      <c r="AJ710" s="106" t="n">
        <v>0</v>
      </c>
      <c r="AK710" s="106" t="n">
        <v>0</v>
      </c>
      <c r="AL710" s="106" t="n">
        <v>0</v>
      </c>
      <c r="AM710" s="106" t="n">
        <v>712477.016525874</v>
      </c>
      <c r="AN710" s="114" t="n">
        <v>63602.6775954785</v>
      </c>
      <c r="AO710" s="115" t="n">
        <v>119501.624600127</v>
      </c>
      <c r="AP710" s="112" t="n">
        <f aca="false" ca="false" dt2D="false" dtr="false" t="normal">+N710-'Приложение №2'!E710</f>
        <v>0</v>
      </c>
      <c r="AQ710" s="1" t="n">
        <v>773158.95</v>
      </c>
      <c r="AR710" s="3" t="n">
        <f aca="false" ca="false" dt2D="false" dtr="false" t="normal">+(K710*10+L710*20)*12*0.85</f>
        <v>227177.45999999996</v>
      </c>
      <c r="AS710" s="3" t="n">
        <f aca="false" ca="false" dt2D="false" dtr="false" t="normal">+(K710*10+L710*20)*12*30</f>
        <v>8018027.999999999</v>
      </c>
      <c r="AT710" s="9" t="n">
        <f aca="false" ca="false" dt2D="false" dtr="false" t="normal">+S710-AS710</f>
        <v>-4287321.339999999</v>
      </c>
      <c r="AU710" s="9" t="e">
        <f aca="false" ca="false" dt2D="false" dtr="false" t="normal">+P710-'[5]Приложение №1'!$P351</f>
        <v>#REF!</v>
      </c>
      <c r="AV710" s="9" t="e">
        <f aca="false" ca="false" dt2D="false" dtr="false" t="normal">+Q710-'[5]Приложение №1'!$Q351</f>
        <v>#REF!</v>
      </c>
      <c r="AW710" s="113" t="n">
        <f aca="false" ca="true" dt2D="false" dtr="false" t="normal">SUBTOTAL(9, AX710:BL710)</f>
        <v>6350031.4946001265</v>
      </c>
      <c r="AX710" s="106" t="n">
        <v>0</v>
      </c>
      <c r="AY710" s="106" t="n">
        <v>0</v>
      </c>
      <c r="AZ710" s="106" t="n">
        <v>3751583.61</v>
      </c>
      <c r="BA710" s="106" t="n">
        <v>2478946.26</v>
      </c>
      <c r="BB710" s="106" t="n">
        <v>0</v>
      </c>
      <c r="BC710" s="106" t="n"/>
      <c r="BD710" s="106" t="n"/>
      <c r="BE710" s="106" t="n">
        <v>0</v>
      </c>
      <c r="BF710" s="106" t="n">
        <v>0</v>
      </c>
      <c r="BG710" s="106" t="n">
        <v>0</v>
      </c>
      <c r="BH710" s="106" t="n">
        <v>0</v>
      </c>
      <c r="BI710" s="106" t="n">
        <v>0</v>
      </c>
      <c r="BJ710" s="106" t="n"/>
      <c r="BK710" s="114" t="n"/>
      <c r="BL710" s="187" t="n">
        <v>119501.624600127</v>
      </c>
      <c r="BM710" s="113" t="n">
        <f aca="false" ca="true" dt2D="false" dtr="false" t="normal">SUBTOTAL(9, BN710:CB710)</f>
        <v>6350031.4946001265</v>
      </c>
      <c r="BN710" s="106" t="n">
        <v>0</v>
      </c>
      <c r="BO710" s="106" t="n">
        <v>0</v>
      </c>
      <c r="BP710" s="106" t="n">
        <v>3751583.61</v>
      </c>
      <c r="BQ710" s="106" t="n">
        <v>2478946.26</v>
      </c>
      <c r="BR710" s="106" t="n">
        <v>0</v>
      </c>
      <c r="BS710" s="106" t="n"/>
      <c r="BT710" s="106" t="n"/>
      <c r="BU710" s="106" t="n">
        <v>0</v>
      </c>
      <c r="BV710" s="106" t="n">
        <v>0</v>
      </c>
      <c r="BW710" s="106" t="n">
        <v>0</v>
      </c>
      <c r="BX710" s="106" t="n">
        <v>0</v>
      </c>
      <c r="BY710" s="106" t="n">
        <v>0</v>
      </c>
      <c r="BZ710" s="106" t="n"/>
      <c r="CA710" s="114" t="n"/>
      <c r="CB710" s="115" t="n">
        <v>119501.624600127</v>
      </c>
      <c r="CD710" s="116" t="e">
        <f aca="false" ca="false" dt2D="false" dtr="false" t="normal">+CD709+1</f>
        <v>#REF!</v>
      </c>
      <c r="CE710" s="117" t="e">
        <f aca="false" ca="false" dt2D="false" dtr="false" t="normal">+CE709+1</f>
        <v>#REF!</v>
      </c>
      <c r="CF710" s="104" t="s">
        <v>404</v>
      </c>
      <c r="CG710" s="117" t="s">
        <v>670</v>
      </c>
      <c r="CH710" s="108" t="n">
        <f aca="false" ca="true" dt2D="false" dtr="false" t="normal">SUBTOTAL(9, CI710:CW710)</f>
        <v>4850544.69</v>
      </c>
      <c r="CI710" s="106" t="n">
        <v>0</v>
      </c>
      <c r="CJ710" s="114" t="n">
        <v>0</v>
      </c>
      <c r="CK710" s="243" t="n">
        <v>2252096.81</v>
      </c>
      <c r="CL710" s="114" t="n">
        <v>2478946.26</v>
      </c>
      <c r="CM710" s="114" t="n">
        <v>0</v>
      </c>
      <c r="CN710" s="114" t="n"/>
      <c r="CO710" s="106" t="n"/>
      <c r="CP710" s="114" t="n">
        <v>0</v>
      </c>
      <c r="CQ710" s="114" t="n">
        <v>0</v>
      </c>
      <c r="CR710" s="114" t="n">
        <v>0</v>
      </c>
      <c r="CS710" s="114" t="n">
        <v>0</v>
      </c>
      <c r="CT710" s="114" t="n">
        <v>0</v>
      </c>
      <c r="CU710" s="114" t="n"/>
      <c r="CV710" s="114" t="n"/>
      <c r="CW710" s="115" t="n">
        <v>119501.62</v>
      </c>
      <c r="CX710" s="3" t="n">
        <f aca="false" ca="false" dt2D="false" dtr="false" t="normal">+N710-CH710</f>
        <v>-119501.62000000011</v>
      </c>
      <c r="CZ710" s="117" t="s">
        <v>670</v>
      </c>
      <c r="DA710" s="113" t="n">
        <f aca="false" ca="true" dt2D="false" dtr="false" t="normal">SUBTOTAL(9, DB710:DP710)</f>
        <v>4731043.07</v>
      </c>
      <c r="DB710" s="106" t="n">
        <v>0</v>
      </c>
      <c r="DC710" s="114" t="n">
        <v>0</v>
      </c>
      <c r="DD710" s="243" t="n">
        <v>2252096.81</v>
      </c>
      <c r="DE710" s="114" t="n">
        <v>2478946.26</v>
      </c>
      <c r="DF710" s="114" t="n">
        <v>0</v>
      </c>
      <c r="DG710" s="114" t="n"/>
      <c r="DH710" s="106" t="n"/>
      <c r="DI710" s="114" t="n">
        <v>0</v>
      </c>
      <c r="DJ710" s="114" t="n">
        <v>0</v>
      </c>
      <c r="DK710" s="114" t="n">
        <v>0</v>
      </c>
      <c r="DL710" s="114" t="n">
        <v>0</v>
      </c>
      <c r="DM710" s="114" t="n">
        <v>0</v>
      </c>
      <c r="DN710" s="114" t="n"/>
      <c r="DO710" s="114" t="n"/>
      <c r="DP710" s="240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</row>
    <row customFormat="true" hidden="false" ht="15" outlineLevel="0" r="711" s="1">
      <c r="A711" s="183" t="n">
        <f aca="false" ca="false" dt2D="false" dtr="false" t="normal">+A710+1</f>
        <v>689</v>
      </c>
      <c r="B711" s="117" t="n">
        <f aca="false" ca="false" dt2D="false" dtr="false" t="normal">+B710+1</f>
        <v>229</v>
      </c>
      <c r="C711" s="104" t="s">
        <v>404</v>
      </c>
      <c r="D711" s="104" t="s">
        <v>671</v>
      </c>
      <c r="E711" s="105" t="n">
        <v>1971</v>
      </c>
      <c r="F711" s="105" t="n">
        <v>2013</v>
      </c>
      <c r="G711" s="105" t="s">
        <v>68</v>
      </c>
      <c r="H711" s="105" t="n">
        <v>3</v>
      </c>
      <c r="I711" s="105" t="n">
        <v>1</v>
      </c>
      <c r="J711" s="106" t="n">
        <v>536</v>
      </c>
      <c r="K711" s="106" t="n">
        <v>489.9</v>
      </c>
      <c r="L711" s="106" t="n">
        <v>0</v>
      </c>
      <c r="M711" s="107" t="n">
        <v>16</v>
      </c>
      <c r="N711" s="108" t="n">
        <f aca="false" ca="false" dt2D="false" dtr="false" t="normal">SUM(P711:T711)</f>
        <v>887392.74</v>
      </c>
      <c r="O711" s="106" t="n"/>
      <c r="P711" s="113" t="n">
        <v>767049.14</v>
      </c>
      <c r="Q711" s="114" t="n"/>
      <c r="R711" s="113" t="n">
        <v>37182.6</v>
      </c>
      <c r="S711" s="113" t="n">
        <v>83161</v>
      </c>
      <c r="T711" s="244" t="n">
        <v>0</v>
      </c>
      <c r="U711" s="106" t="n">
        <v>1472.95621244051</v>
      </c>
      <c r="V711" s="106" t="n">
        <v>1472.95621244051</v>
      </c>
      <c r="W711" s="110" t="n">
        <v>2024</v>
      </c>
      <c r="X711" s="9" t="e">
        <f aca="false" ca="false" dt2D="false" dtr="false" t="normal">+#REF!-'[9]Приложение №1'!$P1151</f>
        <v>#REF!</v>
      </c>
      <c r="Z711" s="113" t="n">
        <f aca="false" ca="false" dt2D="false" dtr="false" t="normal">SUM(AA711:AO711)</f>
        <v>628529.2699046403</v>
      </c>
      <c r="AA711" s="106" t="n">
        <v>0</v>
      </c>
      <c r="AB711" s="106" t="n">
        <v>0</v>
      </c>
      <c r="AC711" s="106" t="n">
        <v>547420.081740526</v>
      </c>
      <c r="AD711" s="106" t="n">
        <v>0</v>
      </c>
      <c r="AE711" s="106" t="n">
        <v>0</v>
      </c>
      <c r="AF711" s="106" t="n"/>
      <c r="AG711" s="106" t="n">
        <v>0</v>
      </c>
      <c r="AH711" s="106" t="n">
        <v>0</v>
      </c>
      <c r="AI711" s="106" t="n">
        <v>0</v>
      </c>
      <c r="AJ711" s="106" t="n">
        <v>0</v>
      </c>
      <c r="AK711" s="106" t="n">
        <v>0</v>
      </c>
      <c r="AL711" s="106" t="n">
        <v>0</v>
      </c>
      <c r="AM711" s="106" t="n">
        <v>62852.926990464</v>
      </c>
      <c r="AN711" s="114" t="n">
        <v>6285.2926990464</v>
      </c>
      <c r="AO711" s="115" t="n">
        <v>11970.9684746038</v>
      </c>
      <c r="AP711" s="112" t="n">
        <f aca="false" ca="false" dt2D="false" dtr="false" t="normal">+N711-'Приложение №2'!E711</f>
        <v>0</v>
      </c>
      <c r="AQ711" s="1" t="n">
        <v>126164.38</v>
      </c>
      <c r="AR711" s="3" t="n">
        <f aca="false" ca="false" dt2D="false" dtr="false" t="normal">+(K711*10+L711*20)*12*0.85</f>
        <v>49969.799999999996</v>
      </c>
      <c r="AS711" s="3" t="n">
        <f aca="false" ca="false" dt2D="false" dtr="false" t="normal">+(K711*10+L711*20)*12*30</f>
        <v>1763640</v>
      </c>
      <c r="AT711" s="9" t="n">
        <f aca="false" ca="false" dt2D="false" dtr="false" t="normal">+S711-AS711</f>
        <v>-1680479</v>
      </c>
      <c r="AU711" s="9" t="e">
        <f aca="false" ca="false" dt2D="false" dtr="false" t="normal">+P711-'[5]Приложение №1'!$P354</f>
        <v>#REF!</v>
      </c>
      <c r="AV711" s="9" t="e">
        <f aca="false" ca="false" dt2D="false" dtr="false" t="normal">+Q711-'[5]Приложение №1'!$Q354</f>
        <v>#REF!</v>
      </c>
      <c r="AW711" s="113" t="n">
        <f aca="false" ca="true" dt2D="false" dtr="false" t="normal">SUBTOTAL(9, AX711:BL711)</f>
        <v>721601.2484746039</v>
      </c>
      <c r="AX711" s="106" t="n">
        <v>0</v>
      </c>
      <c r="AY711" s="106" t="n">
        <v>0</v>
      </c>
      <c r="AZ711" s="106" t="n">
        <v>709630.28</v>
      </c>
      <c r="BA711" s="106" t="n">
        <v>0</v>
      </c>
      <c r="BB711" s="106" t="n">
        <v>0</v>
      </c>
      <c r="BC711" s="106" t="n"/>
      <c r="BD711" s="106" t="n"/>
      <c r="BE711" s="106" t="n">
        <v>0</v>
      </c>
      <c r="BF711" s="106" t="n">
        <v>0</v>
      </c>
      <c r="BG711" s="106" t="n">
        <v>0</v>
      </c>
      <c r="BH711" s="106" t="n">
        <v>0</v>
      </c>
      <c r="BI711" s="106" t="n">
        <v>0</v>
      </c>
      <c r="BJ711" s="106" t="n"/>
      <c r="BK711" s="114" t="n"/>
      <c r="BL711" s="187" t="n">
        <v>11970.9684746038</v>
      </c>
      <c r="BM711" s="113" t="n">
        <f aca="false" ca="true" dt2D="false" dtr="false" t="normal">SUBTOTAL(9, BN711:CB711)</f>
        <v>721601.2484746039</v>
      </c>
      <c r="BN711" s="106" t="n">
        <v>0</v>
      </c>
      <c r="BO711" s="106" t="n">
        <v>0</v>
      </c>
      <c r="BP711" s="106" t="n">
        <v>709630.28</v>
      </c>
      <c r="BQ711" s="106" t="n">
        <v>0</v>
      </c>
      <c r="BR711" s="106" t="n">
        <v>0</v>
      </c>
      <c r="BS711" s="106" t="n"/>
      <c r="BT711" s="106" t="n"/>
      <c r="BU711" s="106" t="n">
        <v>0</v>
      </c>
      <c r="BV711" s="106" t="n">
        <v>0</v>
      </c>
      <c r="BW711" s="106" t="n">
        <v>0</v>
      </c>
      <c r="BX711" s="106" t="n">
        <v>0</v>
      </c>
      <c r="BY711" s="106" t="n">
        <v>0</v>
      </c>
      <c r="BZ711" s="106" t="n"/>
      <c r="CA711" s="114" t="n"/>
      <c r="CB711" s="115" t="n">
        <v>11970.9684746038</v>
      </c>
      <c r="CD711" s="116" t="e">
        <f aca="false" ca="false" dt2D="false" dtr="false" t="normal">+CD710+1</f>
        <v>#REF!</v>
      </c>
      <c r="CE711" s="117" t="e">
        <f aca="false" ca="false" dt2D="false" dtr="false" t="normal">+CE710+1</f>
        <v>#REF!</v>
      </c>
      <c r="CF711" s="104" t="s">
        <v>404</v>
      </c>
      <c r="CG711" s="117" t="s">
        <v>671</v>
      </c>
      <c r="CH711" s="108" t="n">
        <f aca="false" ca="true" dt2D="false" dtr="false" t="normal">SUBTOTAL(9, CI711:CW711)</f>
        <v>887392.74</v>
      </c>
      <c r="CI711" s="106" t="n">
        <v>0</v>
      </c>
      <c r="CJ711" s="114" t="n">
        <v>0</v>
      </c>
      <c r="CK711" s="243" t="n">
        <v>887392.74</v>
      </c>
      <c r="CL711" s="114" t="n">
        <v>0</v>
      </c>
      <c r="CM711" s="114" t="n">
        <v>0</v>
      </c>
      <c r="CN711" s="114" t="n"/>
      <c r="CO711" s="106" t="n"/>
      <c r="CP711" s="114" t="n">
        <v>0</v>
      </c>
      <c r="CQ711" s="114" t="n">
        <v>0</v>
      </c>
      <c r="CR711" s="114" t="n">
        <v>0</v>
      </c>
      <c r="CS711" s="114" t="n">
        <v>0</v>
      </c>
      <c r="CT711" s="114" t="n">
        <v>0</v>
      </c>
      <c r="CU711" s="114" t="n"/>
      <c r="CV711" s="114" t="n"/>
      <c r="CW711" s="115" t="n"/>
      <c r="CX711" s="3" t="n">
        <f aca="false" ca="false" dt2D="false" dtr="false" t="normal">+N711-CH711</f>
        <v>0</v>
      </c>
      <c r="CZ711" s="117" t="s">
        <v>671</v>
      </c>
      <c r="DA711" s="113" t="n">
        <f aca="false" ca="true" dt2D="false" dtr="false" t="normal">SUBTOTAL(9, DB711:DP711)</f>
        <v>887392.74</v>
      </c>
      <c r="DB711" s="106" t="n">
        <v>0</v>
      </c>
      <c r="DC711" s="114" t="n">
        <v>0</v>
      </c>
      <c r="DD711" s="243" t="n">
        <v>887392.74</v>
      </c>
      <c r="DE711" s="114" t="n">
        <v>0</v>
      </c>
      <c r="DF711" s="114" t="n">
        <v>0</v>
      </c>
      <c r="DG711" s="114" t="n"/>
      <c r="DH711" s="106" t="n"/>
      <c r="DI711" s="114" t="n">
        <v>0</v>
      </c>
      <c r="DJ711" s="114" t="n">
        <v>0</v>
      </c>
      <c r="DK711" s="114" t="n">
        <v>0</v>
      </c>
      <c r="DL711" s="114" t="n">
        <v>0</v>
      </c>
      <c r="DM711" s="114" t="n">
        <v>0</v>
      </c>
      <c r="DN711" s="114" t="n"/>
      <c r="DO711" s="114" t="n"/>
      <c r="DP711" s="240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</row>
    <row customFormat="true" hidden="false" ht="15" outlineLevel="0" r="712" s="1">
      <c r="A712" s="183" t="n">
        <f aca="false" ca="false" dt2D="false" dtr="false" t="normal">+A711+1</f>
        <v>690</v>
      </c>
      <c r="B712" s="117" t="n">
        <f aca="false" ca="false" dt2D="false" dtr="false" t="normal">+B711+1</f>
        <v>230</v>
      </c>
      <c r="C712" s="117" t="s">
        <v>404</v>
      </c>
      <c r="D712" s="117" t="s">
        <v>672</v>
      </c>
      <c r="E712" s="201" t="n">
        <v>1967</v>
      </c>
      <c r="F712" s="201" t="n">
        <v>2013</v>
      </c>
      <c r="G712" s="201" t="s">
        <v>68</v>
      </c>
      <c r="H712" s="201" t="n">
        <v>3</v>
      </c>
      <c r="I712" s="201" t="n">
        <v>2</v>
      </c>
      <c r="J712" s="114" t="n">
        <v>1043.9</v>
      </c>
      <c r="K712" s="114" t="n">
        <v>633.5</v>
      </c>
      <c r="L712" s="114" t="n">
        <v>326.8</v>
      </c>
      <c r="M712" s="202" t="n">
        <v>24</v>
      </c>
      <c r="N712" s="108" t="n">
        <f aca="false" ca="false" dt2D="false" dtr="false" t="normal">SUM(P712:T712)</f>
        <v>1097208.8900000001</v>
      </c>
      <c r="O712" s="114" t="n"/>
      <c r="P712" s="113" t="n">
        <v>164325.02</v>
      </c>
      <c r="Q712" s="114" t="n"/>
      <c r="R712" s="113" t="n">
        <v>721179.51</v>
      </c>
      <c r="S712" s="113" t="n">
        <v>211704.36</v>
      </c>
      <c r="T712" s="113" t="n">
        <v>0</v>
      </c>
      <c r="U712" s="114" t="n">
        <v>987.788192478906</v>
      </c>
      <c r="V712" s="114" t="n">
        <v>987.788192478906</v>
      </c>
      <c r="W712" s="110" t="n">
        <v>2024</v>
      </c>
      <c r="X712" s="9" t="e">
        <f aca="false" ca="false" dt2D="false" dtr="false" t="normal">+#REF!-'[9]Приложение №1'!$P1150</f>
        <v>#REF!</v>
      </c>
      <c r="Z712" s="113" t="n">
        <f aca="false" ca="false" dt2D="false" dtr="false" t="normal">SUM(AA712:AO712)</f>
        <v>823749.4086681604</v>
      </c>
      <c r="AA712" s="106" t="n">
        <v>0</v>
      </c>
      <c r="AB712" s="106" t="n">
        <v>0</v>
      </c>
      <c r="AC712" s="106" t="n">
        <v>717447.842477169</v>
      </c>
      <c r="AD712" s="106" t="n">
        <v>0</v>
      </c>
      <c r="AE712" s="106" t="n">
        <v>0</v>
      </c>
      <c r="AF712" s="106" t="n"/>
      <c r="AG712" s="106" t="n">
        <v>0</v>
      </c>
      <c r="AH712" s="106" t="n">
        <v>0</v>
      </c>
      <c r="AI712" s="106" t="n">
        <v>0</v>
      </c>
      <c r="AJ712" s="106" t="n">
        <v>0</v>
      </c>
      <c r="AK712" s="106" t="n">
        <v>0</v>
      </c>
      <c r="AL712" s="106" t="n">
        <v>0</v>
      </c>
      <c r="AM712" s="106" t="n">
        <v>82374.940866816</v>
      </c>
      <c r="AN712" s="114" t="n">
        <v>8237.4940866816</v>
      </c>
      <c r="AO712" s="115" t="n">
        <v>15689.1312374938</v>
      </c>
      <c r="AP712" s="112" t="n">
        <f aca="false" ca="false" dt2D="false" dtr="false" t="normal">+N712-'Приложение №2'!E712</f>
        <v>0</v>
      </c>
      <c r="AQ712" s="1" t="n">
        <v>589895.31</v>
      </c>
      <c r="AR712" s="3" t="n">
        <f aca="false" ca="false" dt2D="false" dtr="false" t="normal">+(K712*10+L712*20)*12*0.85</f>
        <v>131284.19999999998</v>
      </c>
      <c r="AS712" s="3" t="n">
        <f aca="false" ca="false" dt2D="false" dtr="false" t="normal">+(K712*10+L712*20)*12*30</f>
        <v>4633560</v>
      </c>
      <c r="AT712" s="9" t="n">
        <f aca="false" ca="false" dt2D="false" dtr="false" t="normal">+S712-AS712</f>
        <v>-4421855.64</v>
      </c>
      <c r="AU712" s="9" t="e">
        <f aca="false" ca="false" dt2D="false" dtr="false" t="normal">+P712-'[5]Приложение №1'!$P353</f>
        <v>#REF!</v>
      </c>
      <c r="AV712" s="9" t="e">
        <f aca="false" ca="false" dt2D="false" dtr="false" t="normal">+Q712-'[5]Приложение №1'!$Q353</f>
        <v>#REF!</v>
      </c>
      <c r="AW712" s="113" t="n">
        <f aca="false" ca="true" dt2D="false" dtr="false" t="normal">SUBTOTAL(9, AX712:BL712)</f>
        <v>948573.0012374938</v>
      </c>
      <c r="AX712" s="106" t="n">
        <v>0</v>
      </c>
      <c r="AY712" s="106" t="n">
        <v>0</v>
      </c>
      <c r="AZ712" s="106" t="n">
        <v>932883.87</v>
      </c>
      <c r="BA712" s="106" t="n">
        <v>0</v>
      </c>
      <c r="BB712" s="106" t="n">
        <v>0</v>
      </c>
      <c r="BC712" s="106" t="n"/>
      <c r="BD712" s="106" t="n"/>
      <c r="BE712" s="106" t="n">
        <v>0</v>
      </c>
      <c r="BF712" s="106" t="n">
        <v>0</v>
      </c>
      <c r="BG712" s="106" t="n">
        <v>0</v>
      </c>
      <c r="BH712" s="106" t="n">
        <v>0</v>
      </c>
      <c r="BI712" s="106" t="n">
        <v>0</v>
      </c>
      <c r="BJ712" s="106" t="n"/>
      <c r="BK712" s="114" t="n"/>
      <c r="BL712" s="115" t="n">
        <v>15689.1312374938</v>
      </c>
      <c r="BM712" s="113" t="n">
        <f aca="false" ca="true" dt2D="false" dtr="false" t="normal">SUBTOTAL(9, BN712:CB712)</f>
        <v>948573.0012374938</v>
      </c>
      <c r="BN712" s="106" t="n">
        <v>0</v>
      </c>
      <c r="BO712" s="106" t="n">
        <v>0</v>
      </c>
      <c r="BP712" s="106" t="n">
        <v>932883.87</v>
      </c>
      <c r="BQ712" s="106" t="n">
        <v>0</v>
      </c>
      <c r="BR712" s="106" t="n">
        <v>0</v>
      </c>
      <c r="BS712" s="106" t="n"/>
      <c r="BT712" s="106" t="n"/>
      <c r="BU712" s="106" t="n">
        <v>0</v>
      </c>
      <c r="BV712" s="106" t="n">
        <v>0</v>
      </c>
      <c r="BW712" s="106" t="n">
        <v>0</v>
      </c>
      <c r="BX712" s="106" t="n">
        <v>0</v>
      </c>
      <c r="BY712" s="106" t="n">
        <v>0</v>
      </c>
      <c r="BZ712" s="106" t="n"/>
      <c r="CA712" s="114" t="n"/>
      <c r="CB712" s="115" t="n">
        <v>15689.1312374938</v>
      </c>
      <c r="CD712" s="116" t="e">
        <f aca="false" ca="false" dt2D="false" dtr="false" t="normal">+CD711+1</f>
        <v>#REF!</v>
      </c>
      <c r="CE712" s="117" t="e">
        <f aca="false" ca="false" dt2D="false" dtr="false" t="normal">+CE711+1</f>
        <v>#REF!</v>
      </c>
      <c r="CF712" s="104" t="s">
        <v>404</v>
      </c>
      <c r="CG712" s="104" t="s">
        <v>672</v>
      </c>
      <c r="CH712" s="108" t="n">
        <f aca="false" ca="true" dt2D="false" dtr="false" t="normal">SUBTOTAL(9, CI712:CW712)</f>
        <v>1097208.89</v>
      </c>
      <c r="CI712" s="106" t="n">
        <v>0</v>
      </c>
      <c r="CJ712" s="114" t="n">
        <v>0</v>
      </c>
      <c r="CK712" s="243" t="n">
        <v>1097208.89</v>
      </c>
      <c r="CL712" s="114" t="n">
        <v>0</v>
      </c>
      <c r="CM712" s="114" t="n">
        <v>0</v>
      </c>
      <c r="CN712" s="114" t="n"/>
      <c r="CO712" s="106" t="n"/>
      <c r="CP712" s="114" t="n">
        <v>0</v>
      </c>
      <c r="CQ712" s="114" t="n">
        <v>0</v>
      </c>
      <c r="CR712" s="114" t="n">
        <v>0</v>
      </c>
      <c r="CS712" s="114" t="n">
        <v>0</v>
      </c>
      <c r="CT712" s="114" t="n">
        <v>0</v>
      </c>
      <c r="CU712" s="114" t="n"/>
      <c r="CV712" s="114" t="n"/>
      <c r="CW712" s="115" t="n"/>
      <c r="CX712" s="3" t="n">
        <f aca="false" ca="false" dt2D="false" dtr="false" t="normal">+N712-CH712</f>
        <v>0</v>
      </c>
      <c r="CZ712" s="104" t="s">
        <v>672</v>
      </c>
      <c r="DA712" s="113" t="n">
        <f aca="false" ca="true" dt2D="false" dtr="false" t="normal">SUBTOTAL(9, DB712:DP712)</f>
        <v>1097208.89</v>
      </c>
      <c r="DB712" s="106" t="n">
        <v>0</v>
      </c>
      <c r="DC712" s="114" t="n">
        <v>0</v>
      </c>
      <c r="DD712" s="243" t="n">
        <v>1097208.89</v>
      </c>
      <c r="DE712" s="114" t="n">
        <v>0</v>
      </c>
      <c r="DF712" s="114" t="n">
        <v>0</v>
      </c>
      <c r="DG712" s="114" t="n"/>
      <c r="DH712" s="106" t="n"/>
      <c r="DI712" s="114" t="n">
        <v>0</v>
      </c>
      <c r="DJ712" s="114" t="n">
        <v>0</v>
      </c>
      <c r="DK712" s="114" t="n">
        <v>0</v>
      </c>
      <c r="DL712" s="114" t="n">
        <v>0</v>
      </c>
      <c r="DM712" s="114" t="n">
        <v>0</v>
      </c>
      <c r="DN712" s="114" t="n"/>
      <c r="DO712" s="114" t="n"/>
      <c r="DP712" s="240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</row>
    <row customFormat="true" hidden="false" ht="15" outlineLevel="0" r="713" s="1">
      <c r="A713" s="183" t="n">
        <f aca="false" ca="false" dt2D="false" dtr="false" t="normal">+A712+1</f>
        <v>691</v>
      </c>
      <c r="B713" s="117" t="n">
        <f aca="false" ca="false" dt2D="false" dtr="false" t="normal">+B712+1</f>
        <v>231</v>
      </c>
      <c r="C713" s="117" t="s">
        <v>404</v>
      </c>
      <c r="D713" s="117" t="s">
        <v>673</v>
      </c>
      <c r="E713" s="201" t="n">
        <v>1990</v>
      </c>
      <c r="F713" s="201" t="n">
        <v>2012</v>
      </c>
      <c r="G713" s="201" t="s">
        <v>68</v>
      </c>
      <c r="H713" s="201" t="n">
        <v>5</v>
      </c>
      <c r="I713" s="201" t="n">
        <v>4</v>
      </c>
      <c r="J713" s="114" t="n">
        <v>3306.7</v>
      </c>
      <c r="K713" s="114" t="n">
        <v>2787.1</v>
      </c>
      <c r="L713" s="114" t="n">
        <v>0</v>
      </c>
      <c r="M713" s="202" t="n">
        <v>110</v>
      </c>
      <c r="N713" s="108" t="n">
        <f aca="false" ca="false" dt2D="false" dtr="false" t="normal">SUM(P713:T713)</f>
        <v>7670993.42</v>
      </c>
      <c r="O713" s="114" t="n"/>
      <c r="P713" s="259" t="n"/>
      <c r="Q713" s="114" t="n"/>
      <c r="R713" s="113" t="n">
        <v>744887.38</v>
      </c>
      <c r="S713" s="113" t="n">
        <v>6926106.04</v>
      </c>
      <c r="T713" s="259" t="n"/>
      <c r="U713" s="114" t="n">
        <v>7568.1764471154</v>
      </c>
      <c r="V713" s="114" t="n">
        <v>7568.1764471154</v>
      </c>
      <c r="W713" s="110" t="n">
        <v>2024</v>
      </c>
      <c r="X713" s="9" t="e">
        <f aca="false" ca="false" dt2D="false" dtr="false" t="normal">+#REF!-'[9]Приложение №1'!$P1152</f>
        <v>#REF!</v>
      </c>
      <c r="Z713" s="113" t="n">
        <f aca="false" ca="false" dt2D="false" dtr="false" t="normal">SUM(AA713:AO713)</f>
        <v>20902928.1285225</v>
      </c>
      <c r="AA713" s="106" t="n">
        <v>0</v>
      </c>
      <c r="AB713" s="106" t="n">
        <v>0</v>
      </c>
      <c r="AC713" s="106" t="n">
        <v>0</v>
      </c>
      <c r="AD713" s="106" t="n">
        <v>0</v>
      </c>
      <c r="AE713" s="106" t="n">
        <v>0</v>
      </c>
      <c r="AF713" s="106" t="n"/>
      <c r="AG713" s="106" t="n">
        <v>0</v>
      </c>
      <c r="AH713" s="106" t="n">
        <v>0</v>
      </c>
      <c r="AI713" s="106" t="n">
        <v>18410044.9199149</v>
      </c>
      <c r="AJ713" s="106" t="n">
        <v>0</v>
      </c>
      <c r="AK713" s="106" t="n">
        <v>0</v>
      </c>
      <c r="AL713" s="106" t="n">
        <v>0</v>
      </c>
      <c r="AM713" s="106" t="n">
        <v>1881263.53156703</v>
      </c>
      <c r="AN713" s="114" t="n">
        <v>209029.281285225</v>
      </c>
      <c r="AO713" s="115" t="n">
        <v>402590.395755343</v>
      </c>
      <c r="AP713" s="112" t="n">
        <f aca="false" ca="false" dt2D="false" dtr="false" t="normal">+N713-'Приложение №2'!E713</f>
        <v>0</v>
      </c>
      <c r="AQ713" s="1" t="n">
        <v>782961.1</v>
      </c>
      <c r="AR713" s="3" t="n">
        <f aca="false" ca="false" dt2D="false" dtr="false" t="normal">+(K713*10+L713*20)*12*0.85</f>
        <v>284284.2</v>
      </c>
      <c r="AS713" s="3" t="n">
        <f aca="false" ca="false" dt2D="false" dtr="false" t="normal">+(K713*10+L713*20)*12*30</f>
        <v>10033560</v>
      </c>
      <c r="AT713" s="9" t="n">
        <f aca="false" ca="false" dt2D="false" dtr="false" t="normal">+S713-AS713</f>
        <v>-3107453.96</v>
      </c>
      <c r="AU713" s="9" t="e">
        <f aca="false" ca="false" dt2D="false" dtr="false" t="normal">+P713-'[5]Приложение №1'!$P355</f>
        <v>#REF!</v>
      </c>
      <c r="AV713" s="9" t="e">
        <f aca="false" ca="false" dt2D="false" dtr="false" t="normal">+Q713-'[5]Приложение №1'!$Q355</f>
        <v>#REF!</v>
      </c>
      <c r="AW713" s="113" t="n">
        <f aca="false" ca="true" dt2D="false" dtr="false" t="normal">SUBTOTAL(9, AX713:BL713)</f>
        <v>21093264.575755343</v>
      </c>
      <c r="AX713" s="106" t="n">
        <v>0</v>
      </c>
      <c r="AY713" s="106" t="n">
        <v>0</v>
      </c>
      <c r="AZ713" s="106" t="n">
        <v>0</v>
      </c>
      <c r="BA713" s="106" t="n">
        <v>0</v>
      </c>
      <c r="BB713" s="106" t="n">
        <v>0</v>
      </c>
      <c r="BC713" s="106" t="n"/>
      <c r="BD713" s="106" t="n"/>
      <c r="BE713" s="106" t="n">
        <v>0</v>
      </c>
      <c r="BF713" s="106" t="n">
        <v>20690674.18</v>
      </c>
      <c r="BG713" s="106" t="n">
        <v>0</v>
      </c>
      <c r="BH713" s="106" t="n">
        <v>0</v>
      </c>
      <c r="BI713" s="106" t="n">
        <v>0</v>
      </c>
      <c r="BJ713" s="106" t="n"/>
      <c r="BK713" s="114" t="n"/>
      <c r="BL713" s="115" t="n">
        <v>402590.395755343</v>
      </c>
      <c r="BM713" s="113" t="n">
        <f aca="false" ca="true" dt2D="false" dtr="false" t="normal">SUBTOTAL(9, BN713:CB713)</f>
        <v>21093264.575755343</v>
      </c>
      <c r="BN713" s="106" t="n">
        <v>0</v>
      </c>
      <c r="BO713" s="106" t="n">
        <v>0</v>
      </c>
      <c r="BP713" s="106" t="n">
        <v>0</v>
      </c>
      <c r="BQ713" s="106" t="n">
        <v>0</v>
      </c>
      <c r="BR713" s="106" t="n">
        <v>0</v>
      </c>
      <c r="BS713" s="106" t="n"/>
      <c r="BT713" s="106" t="n"/>
      <c r="BU713" s="106" t="n">
        <v>0</v>
      </c>
      <c r="BV713" s="106" t="n">
        <v>20690674.18</v>
      </c>
      <c r="BW713" s="106" t="n">
        <v>0</v>
      </c>
      <c r="BX713" s="106" t="n">
        <v>0</v>
      </c>
      <c r="BY713" s="106" t="n">
        <v>0</v>
      </c>
      <c r="BZ713" s="106" t="n"/>
      <c r="CA713" s="114" t="n"/>
      <c r="CB713" s="115" t="n">
        <v>402590.395755343</v>
      </c>
      <c r="CD713" s="116" t="e">
        <f aca="false" ca="false" dt2D="false" dtr="false" t="normal">+CD712+1</f>
        <v>#REF!</v>
      </c>
      <c r="CE713" s="117" t="e">
        <f aca="false" ca="false" dt2D="false" dtr="false" t="normal">+CE712+1</f>
        <v>#REF!</v>
      </c>
      <c r="CF713" s="104" t="s">
        <v>404</v>
      </c>
      <c r="CG713" s="104" t="s">
        <v>673</v>
      </c>
      <c r="CH713" s="108" t="n">
        <f aca="false" ca="true" dt2D="false" dtr="false" t="normal">SUBTOTAL(9, CI713:CW713)</f>
        <v>20690674.18</v>
      </c>
      <c r="CI713" s="106" t="n">
        <v>0</v>
      </c>
      <c r="CJ713" s="114" t="n">
        <v>0</v>
      </c>
      <c r="CK713" s="114" t="n">
        <v>0</v>
      </c>
      <c r="CL713" s="114" t="n">
        <v>0</v>
      </c>
      <c r="CM713" s="114" t="n">
        <v>0</v>
      </c>
      <c r="CN713" s="114" t="n"/>
      <c r="CO713" s="106" t="n"/>
      <c r="CP713" s="114" t="n">
        <v>0</v>
      </c>
      <c r="CQ713" s="114" t="n">
        <v>20690674.18</v>
      </c>
      <c r="CR713" s="114" t="n">
        <v>0</v>
      </c>
      <c r="CS713" s="114" t="n">
        <v>0</v>
      </c>
      <c r="CT713" s="114" t="n">
        <v>0</v>
      </c>
      <c r="CU713" s="114" t="n"/>
      <c r="CV713" s="114" t="n"/>
      <c r="CW713" s="115" t="n"/>
      <c r="CX713" s="3" t="n">
        <f aca="false" ca="false" dt2D="false" dtr="false" t="normal">+N713-CH713</f>
        <v>-13019680.76</v>
      </c>
      <c r="CZ713" s="104" t="s">
        <v>673</v>
      </c>
      <c r="DA713" s="113" t="n">
        <f aca="false" ca="true" dt2D="false" dtr="false" t="normal">SUBTOTAL(9, DB713:DP713)</f>
        <v>20690674.18</v>
      </c>
      <c r="DB713" s="106" t="n">
        <v>0</v>
      </c>
      <c r="DC713" s="114" t="n">
        <v>0</v>
      </c>
      <c r="DD713" s="114" t="n">
        <v>0</v>
      </c>
      <c r="DE713" s="114" t="n">
        <v>0</v>
      </c>
      <c r="DF713" s="114" t="n">
        <v>0</v>
      </c>
      <c r="DG713" s="114" t="n"/>
      <c r="DH713" s="106" t="n"/>
      <c r="DI713" s="114" t="n">
        <v>0</v>
      </c>
      <c r="DJ713" s="114" t="n">
        <v>20690674.18</v>
      </c>
      <c r="DK713" s="114" t="n">
        <v>0</v>
      </c>
      <c r="DL713" s="114" t="n">
        <v>0</v>
      </c>
      <c r="DM713" s="114" t="n">
        <v>0</v>
      </c>
      <c r="DN713" s="114" t="n"/>
      <c r="DO713" s="114" t="n"/>
      <c r="DP713" s="240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</row>
    <row customFormat="true" hidden="false" ht="15" outlineLevel="0" r="714" s="1">
      <c r="A714" s="183" t="n">
        <f aca="false" ca="false" dt2D="false" dtr="false" t="normal">+A713+1</f>
        <v>692</v>
      </c>
      <c r="B714" s="117" t="n">
        <f aca="false" ca="false" dt2D="false" dtr="false" t="normal">+B713+1</f>
        <v>232</v>
      </c>
      <c r="C714" s="117" t="s">
        <v>404</v>
      </c>
      <c r="D714" s="117" t="s">
        <v>674</v>
      </c>
      <c r="E714" s="201" t="n">
        <v>1970</v>
      </c>
      <c r="F714" s="201" t="n">
        <v>2013</v>
      </c>
      <c r="G714" s="201" t="s">
        <v>68</v>
      </c>
      <c r="H714" s="201" t="n">
        <v>3</v>
      </c>
      <c r="I714" s="201" t="n">
        <v>2</v>
      </c>
      <c r="J714" s="114" t="n">
        <v>1053.5</v>
      </c>
      <c r="K714" s="114" t="n">
        <v>637.8</v>
      </c>
      <c r="L714" s="114" t="n">
        <v>0</v>
      </c>
      <c r="M714" s="202" t="n">
        <v>23</v>
      </c>
      <c r="N714" s="108" t="n">
        <f aca="false" ca="false" dt2D="false" dtr="false" t="normal">SUM(P714:T714)</f>
        <v>1247379.54</v>
      </c>
      <c r="O714" s="114" t="n"/>
      <c r="P714" s="114" t="n">
        <v>311514.43</v>
      </c>
      <c r="Q714" s="114" t="n"/>
      <c r="R714" s="113" t="n">
        <v>204100.88</v>
      </c>
      <c r="S714" s="113" t="n">
        <v>731764.23</v>
      </c>
      <c r="T714" s="114" t="n"/>
      <c r="U714" s="114" t="n">
        <v>1491.8017034933</v>
      </c>
      <c r="V714" s="114" t="n">
        <v>1491.8017034933</v>
      </c>
      <c r="W714" s="110" t="n">
        <v>2024</v>
      </c>
      <c r="X714" s="9" t="e">
        <f aca="false" ca="false" dt2D="false" dtr="false" t="normal">+#REF!-'[9]Приложение №1'!$P1153</f>
        <v>#REF!</v>
      </c>
      <c r="Z714" s="113" t="n">
        <f aca="false" ca="false" dt2D="false" dtr="false" t="normal">SUM(AA714:AO714)</f>
        <v>7495898.613735164</v>
      </c>
      <c r="AA714" s="106" t="n">
        <v>2954908.28268438</v>
      </c>
      <c r="AB714" s="106" t="n">
        <v>1784361.92314936</v>
      </c>
      <c r="AC714" s="106" t="n">
        <v>713647.090429144</v>
      </c>
      <c r="AD714" s="106" t="n">
        <v>0</v>
      </c>
      <c r="AE714" s="106" t="n">
        <v>0</v>
      </c>
      <c r="AF714" s="106" t="n"/>
      <c r="AG714" s="106" t="n">
        <v>214102.511111926</v>
      </c>
      <c r="AH714" s="106" t="n">
        <v>0</v>
      </c>
      <c r="AI714" s="106" t="n">
        <v>0</v>
      </c>
      <c r="AJ714" s="106" t="n">
        <v>0</v>
      </c>
      <c r="AK714" s="106" t="n">
        <v>946168.588542439</v>
      </c>
      <c r="AL714" s="106" t="n">
        <v>0</v>
      </c>
      <c r="AM714" s="106" t="n">
        <v>663134.195432218</v>
      </c>
      <c r="AN714" s="114" t="n">
        <v>74958.9861373517</v>
      </c>
      <c r="AO714" s="115" t="n">
        <v>144617.036248344</v>
      </c>
      <c r="AP714" s="112" t="n">
        <f aca="false" ca="false" dt2D="false" dtr="false" t="normal">+N714-'Приложение №2'!E714</f>
        <v>0</v>
      </c>
      <c r="AQ714" s="1" t="n">
        <v>262986.55</v>
      </c>
      <c r="AR714" s="3" t="n">
        <f aca="false" ca="false" dt2D="false" dtr="false" t="normal">+(K714*10+L714*20)*12*0.85</f>
        <v>65055.6</v>
      </c>
      <c r="AS714" s="3" t="n">
        <f aca="false" ca="false" dt2D="false" dtr="false" t="normal">+(K714*10+L714*20)*12*30</f>
        <v>2296080</v>
      </c>
      <c r="AT714" s="9" t="n">
        <f aca="false" ca="false" dt2D="false" dtr="false" t="normal">+S714-AS714</f>
        <v>-1564315.77</v>
      </c>
      <c r="AU714" s="9" t="e">
        <f aca="false" ca="false" dt2D="false" dtr="false" t="normal">+P714-'[5]Приложение №1'!$P356</f>
        <v>#REF!</v>
      </c>
      <c r="AV714" s="9" t="e">
        <f aca="false" ca="false" dt2D="false" dtr="false" t="normal">+Q714-'[5]Приложение №1'!$Q356</f>
        <v>#REF!</v>
      </c>
      <c r="AW714" s="113" t="n">
        <f aca="false" ca="true" dt2D="false" dtr="false" t="normal">SUBTOTAL(9, AX714:BL714)</f>
        <v>951471.1264880275</v>
      </c>
      <c r="AX714" s="106" t="n"/>
      <c r="AY714" s="106" t="n"/>
      <c r="AZ714" s="106" t="n">
        <v>935865.11</v>
      </c>
      <c r="BA714" s="106" t="n">
        <v>0</v>
      </c>
      <c r="BB714" s="106" t="n">
        <v>0</v>
      </c>
      <c r="BC714" s="106" t="n"/>
      <c r="BD714" s="106" t="n"/>
      <c r="BE714" s="106" t="n">
        <v>0</v>
      </c>
      <c r="BF714" s="106" t="n">
        <v>0</v>
      </c>
      <c r="BG714" s="106" t="n">
        <v>0</v>
      </c>
      <c r="BH714" s="106" t="n"/>
      <c r="BI714" s="106" t="n">
        <v>0</v>
      </c>
      <c r="BJ714" s="106" t="n"/>
      <c r="BK714" s="114" t="n"/>
      <c r="BL714" s="115" t="n">
        <v>15606.0164880275</v>
      </c>
      <c r="BM714" s="113" t="n">
        <f aca="false" ca="true" dt2D="false" dtr="false" t="normal">SUBTOTAL(9, BN714:CB714)</f>
        <v>951471.1264880275</v>
      </c>
      <c r="BN714" s="106" t="n"/>
      <c r="BO714" s="106" t="n"/>
      <c r="BP714" s="106" t="n">
        <v>935865.11</v>
      </c>
      <c r="BQ714" s="106" t="n">
        <v>0</v>
      </c>
      <c r="BR714" s="106" t="n">
        <v>0</v>
      </c>
      <c r="BS714" s="106" t="n"/>
      <c r="BT714" s="106" t="n"/>
      <c r="BU714" s="106" t="n">
        <v>0</v>
      </c>
      <c r="BV714" s="106" t="n">
        <v>0</v>
      </c>
      <c r="BW714" s="106" t="n">
        <v>0</v>
      </c>
      <c r="BX714" s="106" t="n"/>
      <c r="BY714" s="106" t="n">
        <v>0</v>
      </c>
      <c r="BZ714" s="106" t="n"/>
      <c r="CA714" s="114" t="n"/>
      <c r="CB714" s="115" t="n">
        <v>15606.0164880275</v>
      </c>
      <c r="CD714" s="116" t="e">
        <f aca="false" ca="false" dt2D="false" dtr="false" t="normal">+CD713+1</f>
        <v>#REF!</v>
      </c>
      <c r="CE714" s="117" t="e">
        <f aca="false" ca="false" dt2D="false" dtr="false" t="normal">+CE713+1</f>
        <v>#REF!</v>
      </c>
      <c r="CF714" s="104" t="s">
        <v>404</v>
      </c>
      <c r="CG714" s="104" t="s">
        <v>674</v>
      </c>
      <c r="CH714" s="108" t="n">
        <f aca="false" ca="true" dt2D="false" dtr="false" t="normal">SUBTOTAL(9, CI714:CW714)</f>
        <v>1247379.54</v>
      </c>
      <c r="CI714" s="106" t="n"/>
      <c r="CJ714" s="114" t="n"/>
      <c r="CK714" s="243" t="n">
        <v>1247379.54</v>
      </c>
      <c r="CL714" s="114" t="n">
        <v>0</v>
      </c>
      <c r="CM714" s="114" t="n">
        <v>0</v>
      </c>
      <c r="CN714" s="114" t="n"/>
      <c r="CO714" s="106" t="n"/>
      <c r="CP714" s="114" t="n">
        <v>0</v>
      </c>
      <c r="CQ714" s="114" t="n">
        <v>0</v>
      </c>
      <c r="CR714" s="114" t="n">
        <v>0</v>
      </c>
      <c r="CS714" s="114" t="n"/>
      <c r="CT714" s="114" t="n">
        <v>0</v>
      </c>
      <c r="CU714" s="114" t="n"/>
      <c r="CV714" s="114" t="n"/>
      <c r="CW714" s="115" t="n"/>
      <c r="CX714" s="3" t="n">
        <f aca="false" ca="false" dt2D="false" dtr="false" t="normal">+N714-CH714</f>
        <v>0</v>
      </c>
      <c r="CZ714" s="104" t="s">
        <v>674</v>
      </c>
      <c r="DA714" s="113" t="n">
        <f aca="false" ca="true" dt2D="false" dtr="false" t="normal">SUBTOTAL(9, DB714:DP714)</f>
        <v>1247379.54</v>
      </c>
      <c r="DB714" s="106" t="n"/>
      <c r="DC714" s="114" t="n"/>
      <c r="DD714" s="243" t="n">
        <v>1247379.54</v>
      </c>
      <c r="DE714" s="114" t="n">
        <v>0</v>
      </c>
      <c r="DF714" s="114" t="n">
        <v>0</v>
      </c>
      <c r="DG714" s="114" t="n"/>
      <c r="DH714" s="106" t="n"/>
      <c r="DI714" s="114" t="n">
        <v>0</v>
      </c>
      <c r="DJ714" s="114" t="n">
        <v>0</v>
      </c>
      <c r="DK714" s="114" t="n">
        <v>0</v>
      </c>
      <c r="DL714" s="114" t="n"/>
      <c r="DM714" s="114" t="n">
        <v>0</v>
      </c>
      <c r="DN714" s="114" t="n"/>
      <c r="DO714" s="114" t="n"/>
      <c r="DP714" s="240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</row>
    <row customFormat="true" hidden="false" ht="15" outlineLevel="0" r="715" s="1">
      <c r="A715" s="183" t="n">
        <f aca="false" ca="false" dt2D="false" dtr="false" t="normal">+A714+1</f>
        <v>693</v>
      </c>
      <c r="B715" s="117" t="n">
        <f aca="false" ca="false" dt2D="false" dtr="false" t="normal">+B714+1</f>
        <v>233</v>
      </c>
      <c r="C715" s="104" t="s">
        <v>404</v>
      </c>
      <c r="D715" s="104" t="s">
        <v>675</v>
      </c>
      <c r="E715" s="105" t="n">
        <v>1965</v>
      </c>
      <c r="F715" s="105" t="n">
        <v>2006</v>
      </c>
      <c r="G715" s="105" t="s">
        <v>68</v>
      </c>
      <c r="H715" s="105" t="n">
        <v>3</v>
      </c>
      <c r="I715" s="105" t="n">
        <v>2</v>
      </c>
      <c r="J715" s="106" t="n">
        <v>1034.1</v>
      </c>
      <c r="K715" s="106" t="n">
        <v>959.8</v>
      </c>
      <c r="L715" s="106" t="n">
        <v>0</v>
      </c>
      <c r="M715" s="107" t="n">
        <v>25</v>
      </c>
      <c r="N715" s="108" t="n">
        <f aca="false" ca="false" dt2D="false" dtr="false" t="normal">SUM(P715:T715)</f>
        <v>4580283.72</v>
      </c>
      <c r="O715" s="106" t="n"/>
      <c r="P715" s="113" t="n">
        <v>2072446.98</v>
      </c>
      <c r="Q715" s="114" t="n"/>
      <c r="R715" s="113" t="n">
        <v>426900.28</v>
      </c>
      <c r="S715" s="113" t="n">
        <v>2080936.46</v>
      </c>
      <c r="T715" s="114" t="n">
        <v>0</v>
      </c>
      <c r="U715" s="106" t="n">
        <v>7746.6906716509</v>
      </c>
      <c r="V715" s="106" t="n">
        <v>7746.6906716509</v>
      </c>
      <c r="W715" s="110" t="n">
        <v>2024</v>
      </c>
      <c r="X715" s="9" t="e">
        <f aca="false" ca="false" dt2D="false" dtr="false" t="normal">+#REF!-'[9]Приложение №1'!$P1155</f>
        <v>#REF!</v>
      </c>
      <c r="Z715" s="113" t="n">
        <f aca="false" ca="false" dt2D="false" dtr="false" t="normal">SUM(AA715:AO715)</f>
        <v>26038489.19851145</v>
      </c>
      <c r="AA715" s="106" t="n">
        <v>4441619.65548862</v>
      </c>
      <c r="AB715" s="106" t="n">
        <v>2682132.99099958</v>
      </c>
      <c r="AC715" s="106" t="n">
        <v>1072706.37214255</v>
      </c>
      <c r="AD715" s="106" t="n">
        <v>0</v>
      </c>
      <c r="AE715" s="106" t="n">
        <v>0</v>
      </c>
      <c r="AF715" s="106" t="n"/>
      <c r="AG715" s="106" t="n">
        <v>321824.513883151</v>
      </c>
      <c r="AH715" s="106" t="n">
        <v>0</v>
      </c>
      <c r="AI715" s="106" t="n">
        <v>13009549.5967461</v>
      </c>
      <c r="AJ715" s="106" t="n">
        <v>0</v>
      </c>
      <c r="AK715" s="106" t="n">
        <v>1422217.07012112</v>
      </c>
      <c r="AL715" s="106" t="n">
        <v>0</v>
      </c>
      <c r="AM715" s="106" t="n">
        <v>2326182.9909928</v>
      </c>
      <c r="AN715" s="114" t="n">
        <v>260384.891985115</v>
      </c>
      <c r="AO715" s="115" t="n">
        <v>501871.116152418</v>
      </c>
      <c r="AP715" s="112" t="e">
        <f aca="false" ca="false" dt2D="false" dtr="false" t="normal">+N715-#REF!</f>
        <v>#REF!</v>
      </c>
      <c r="AQ715" s="1" t="n">
        <v>386937</v>
      </c>
      <c r="AR715" s="3" t="n">
        <f aca="false" ca="false" dt2D="false" dtr="false" t="normal">+(K715*10+L715*20)*12*0.85</f>
        <v>97899.59999999999</v>
      </c>
      <c r="AS715" s="3" t="n">
        <f aca="false" ca="false" dt2D="false" dtr="false" t="normal">+(K715*10+L715*20)*12*30</f>
        <v>3455280</v>
      </c>
      <c r="AT715" s="9" t="n">
        <f aca="false" ca="false" dt2D="false" dtr="false" t="normal">+S715-AS715</f>
        <v>-1374343.54</v>
      </c>
      <c r="AU715" s="9" t="e">
        <f aca="false" ca="false" dt2D="false" dtr="false" t="normal">+P715-'[5]Приложение №1'!$P358</f>
        <v>#REF!</v>
      </c>
      <c r="AV715" s="9" t="e">
        <f aca="false" ca="false" dt2D="false" dtr="false" t="normal">+Q715-'[5]Приложение №1'!$Q358</f>
        <v>#REF!</v>
      </c>
      <c r="AW715" s="113" t="n">
        <f aca="false" ca="true" dt2D="false" dtr="false" t="normal">SUBTOTAL(9, AX715:BL715)</f>
        <v>7435273.706650539</v>
      </c>
      <c r="AX715" s="106" t="n"/>
      <c r="AY715" s="106" t="n"/>
      <c r="AZ715" s="106" t="n"/>
      <c r="BA715" s="106" t="n">
        <v>0</v>
      </c>
      <c r="BB715" s="106" t="n">
        <v>0</v>
      </c>
      <c r="BC715" s="106" t="n"/>
      <c r="BD715" s="106" t="n"/>
      <c r="BE715" s="106" t="n">
        <v>0</v>
      </c>
      <c r="BF715" s="106" t="n">
        <v>7127323.29</v>
      </c>
      <c r="BG715" s="106" t="n">
        <v>0</v>
      </c>
      <c r="BH715" s="106" t="n"/>
      <c r="BI715" s="106" t="n">
        <v>0</v>
      </c>
      <c r="BJ715" s="106" t="n"/>
      <c r="BK715" s="114" t="n"/>
      <c r="BL715" s="187" t="n">
        <v>307950.416650539</v>
      </c>
      <c r="BM715" s="113" t="n">
        <f aca="false" ca="true" dt2D="false" dtr="false" t="normal">SUBTOTAL(9, BN715:CB715)</f>
        <v>7435273.706650539</v>
      </c>
      <c r="BN715" s="106" t="n"/>
      <c r="BO715" s="106" t="n"/>
      <c r="BP715" s="106" t="n"/>
      <c r="BQ715" s="106" t="n">
        <v>0</v>
      </c>
      <c r="BR715" s="106" t="n">
        <v>0</v>
      </c>
      <c r="BS715" s="106" t="n"/>
      <c r="BT715" s="106" t="n"/>
      <c r="BU715" s="106" t="n">
        <v>0</v>
      </c>
      <c r="BV715" s="106" t="n">
        <v>7127323.29</v>
      </c>
      <c r="BW715" s="106" t="n">
        <v>0</v>
      </c>
      <c r="BX715" s="106" t="n"/>
      <c r="BY715" s="106" t="n">
        <v>0</v>
      </c>
      <c r="BZ715" s="106" t="n"/>
      <c r="CA715" s="114" t="n"/>
      <c r="CB715" s="115" t="n">
        <v>307950.416650539</v>
      </c>
      <c r="CD715" s="116" t="e">
        <f aca="false" ca="false" dt2D="false" dtr="false" t="normal">+#REF!+1</f>
        <v>#REF!</v>
      </c>
      <c r="CE715" s="117" t="e">
        <f aca="false" ca="false" dt2D="false" dtr="false" t="normal">+#REF!+1</f>
        <v>#REF!</v>
      </c>
      <c r="CF715" s="104" t="s">
        <v>404</v>
      </c>
      <c r="CG715" s="117" t="s">
        <v>675</v>
      </c>
      <c r="CH715" s="108" t="n">
        <f aca="false" ca="true" dt2D="false" dtr="false" t="normal">SUBTOTAL(9, CI715:CW715)</f>
        <v>4580283.72</v>
      </c>
      <c r="CI715" s="106" t="n"/>
      <c r="CJ715" s="114" t="n"/>
      <c r="CK715" s="114" t="n">
        <v>1419024.89</v>
      </c>
      <c r="CL715" s="114" t="n">
        <v>0</v>
      </c>
      <c r="CM715" s="114" t="n">
        <v>0</v>
      </c>
      <c r="CN715" s="114" t="n"/>
      <c r="CO715" s="106" t="n"/>
      <c r="CP715" s="114" t="n">
        <v>0</v>
      </c>
      <c r="CQ715" s="243" t="n">
        <v>3161258.83</v>
      </c>
      <c r="CR715" s="114" t="n">
        <v>0</v>
      </c>
      <c r="CS715" s="114" t="n"/>
      <c r="CT715" s="114" t="n">
        <v>0</v>
      </c>
      <c r="CU715" s="114" t="n"/>
      <c r="CV715" s="114" t="n"/>
      <c r="CW715" s="115" t="n"/>
      <c r="CX715" s="3" t="n">
        <f aca="false" ca="false" dt2D="false" dtr="false" t="normal">+N715-CH715</f>
        <v>0</v>
      </c>
      <c r="CZ715" s="117" t="s">
        <v>675</v>
      </c>
      <c r="DA715" s="113" t="n">
        <f aca="false" ca="true" dt2D="false" dtr="false" t="normal">SUBTOTAL(9, DB715:DP715)</f>
        <v>4580283.72</v>
      </c>
      <c r="DB715" s="106" t="n"/>
      <c r="DC715" s="114" t="n"/>
      <c r="DD715" s="114" t="n">
        <v>1419024.89</v>
      </c>
      <c r="DE715" s="114" t="n">
        <v>0</v>
      </c>
      <c r="DF715" s="114" t="n">
        <v>0</v>
      </c>
      <c r="DG715" s="114" t="n"/>
      <c r="DH715" s="106" t="n"/>
      <c r="DI715" s="114" t="n">
        <v>0</v>
      </c>
      <c r="DJ715" s="243" t="n">
        <v>3161258.83</v>
      </c>
      <c r="DK715" s="114" t="n">
        <v>0</v>
      </c>
      <c r="DL715" s="114" t="n"/>
      <c r="DM715" s="114" t="n">
        <v>0</v>
      </c>
      <c r="DN715" s="114" t="n"/>
      <c r="DO715" s="114" t="n"/>
      <c r="DP715" s="240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</row>
    <row customFormat="true" hidden="false" ht="15" outlineLevel="0" r="716" s="1">
      <c r="A716" s="183" t="n">
        <f aca="false" ca="false" dt2D="false" dtr="false" t="normal">+A715+1</f>
        <v>694</v>
      </c>
      <c r="B716" s="117" t="n">
        <f aca="false" ca="false" dt2D="false" dtr="false" t="normal">+B715+1</f>
        <v>234</v>
      </c>
      <c r="C716" s="104" t="s">
        <v>404</v>
      </c>
      <c r="D716" s="104" t="s">
        <v>501</v>
      </c>
      <c r="E716" s="105" t="n">
        <v>1983</v>
      </c>
      <c r="F716" s="105" t="n">
        <v>2013</v>
      </c>
      <c r="G716" s="105" t="s">
        <v>68</v>
      </c>
      <c r="H716" s="105" t="n">
        <v>5</v>
      </c>
      <c r="I716" s="105" t="n">
        <v>4</v>
      </c>
      <c r="J716" s="106" t="n">
        <v>3317.4</v>
      </c>
      <c r="K716" s="106" t="n">
        <v>2427.1</v>
      </c>
      <c r="L716" s="106" t="n">
        <v>0</v>
      </c>
      <c r="M716" s="107" t="n">
        <v>71</v>
      </c>
      <c r="N716" s="108" t="n">
        <f aca="false" ca="false" dt2D="false" dtr="false" t="normal">SUM(P716:T716)</f>
        <v>2425802.77</v>
      </c>
      <c r="O716" s="106" t="n"/>
      <c r="P716" s="113" t="n"/>
      <c r="Q716" s="114" t="n"/>
      <c r="R716" s="113" t="n">
        <v>226216.11</v>
      </c>
      <c r="S716" s="113" t="n">
        <v>2199586.66</v>
      </c>
      <c r="T716" s="114" t="n">
        <v>0</v>
      </c>
      <c r="U716" s="106" t="n">
        <v>1644.38630481231</v>
      </c>
      <c r="V716" s="106" t="n">
        <v>1644.38630481231</v>
      </c>
      <c r="W716" s="110" t="n">
        <v>2024</v>
      </c>
      <c r="X716" s="9" t="e">
        <f aca="false" ca="false" dt2D="false" dtr="false" t="normal">+#REF!-'[9]Приложение №1'!$P1118</f>
        <v>#REF!</v>
      </c>
      <c r="Z716" s="113" t="n">
        <f aca="false" ca="false" dt2D="false" dtr="false" t="normal">SUM(AA716:AO716)</f>
        <v>3608535.147010555</v>
      </c>
      <c r="AA716" s="106" t="n">
        <v>0</v>
      </c>
      <c r="AB716" s="106" t="n">
        <v>0</v>
      </c>
      <c r="AC716" s="106" t="n">
        <v>3142868.12042943</v>
      </c>
      <c r="AD716" s="106" t="n">
        <v>0</v>
      </c>
      <c r="AE716" s="106" t="n">
        <v>0</v>
      </c>
      <c r="AF716" s="106" t="n"/>
      <c r="AG716" s="106" t="n">
        <v>0</v>
      </c>
      <c r="AH716" s="106" t="n">
        <v>0</v>
      </c>
      <c r="AI716" s="106" t="n">
        <v>0</v>
      </c>
      <c r="AJ716" s="106" t="n">
        <v>0</v>
      </c>
      <c r="AK716" s="106" t="n">
        <v>0</v>
      </c>
      <c r="AL716" s="106" t="n">
        <v>0</v>
      </c>
      <c r="AM716" s="106" t="n">
        <v>360853.514701056</v>
      </c>
      <c r="AN716" s="114" t="n">
        <v>36085.3514701056</v>
      </c>
      <c r="AO716" s="115" t="n">
        <v>68728.1604099631</v>
      </c>
      <c r="AP716" s="112" t="n">
        <f aca="false" ca="false" dt2D="false" dtr="false" t="normal">+N716-'Приложение №2'!E332</f>
        <v>1001573.5900000001</v>
      </c>
      <c r="AQ716" s="9" t="n">
        <f aca="false" ca="false" dt2D="false" dtr="false" t="normal">701008.17</f>
        <v>701008.17</v>
      </c>
      <c r="AR716" s="3" t="n">
        <f aca="false" ca="false" dt2D="false" dtr="false" t="normal">+(K716*10+L716*20)*12*0.85</f>
        <v>247564.19999999998</v>
      </c>
      <c r="AS716" s="3" t="n">
        <f aca="false" ca="false" dt2D="false" dtr="false" t="normal">+(K716*10+L716*20)*12*30</f>
        <v>8737560</v>
      </c>
      <c r="AT716" s="9" t="n">
        <f aca="false" ca="false" dt2D="false" dtr="false" t="normal">+S716-AS716</f>
        <v>-6537973.34</v>
      </c>
      <c r="AU716" s="9" t="e">
        <f aca="false" ca="false" dt2D="false" dtr="false" t="normal">+P716-'[5]Приложение №1'!$P689</f>
        <v>#REF!</v>
      </c>
      <c r="AV716" s="9" t="e">
        <f aca="false" ca="false" dt2D="false" dtr="false" t="normal">+Q716-'[5]Приложение №1'!$Q689</f>
        <v>#REF!</v>
      </c>
      <c r="AW716" s="113" t="n">
        <f aca="false" ca="true" dt2D="false" dtr="false" t="normal">SUBTOTAL(9, AX716:BL716)</f>
        <v>3991090.000409963</v>
      </c>
      <c r="AX716" s="106" t="n">
        <v>0</v>
      </c>
      <c r="AY716" s="106" t="n">
        <v>0</v>
      </c>
      <c r="AZ716" s="106" t="n">
        <v>3374225.58</v>
      </c>
      <c r="BA716" s="106" t="n">
        <v>548136.26</v>
      </c>
      <c r="BB716" s="106" t="n">
        <v>0</v>
      </c>
      <c r="BC716" s="106" t="n"/>
      <c r="BD716" s="106" t="n"/>
      <c r="BE716" s="106" t="n">
        <v>0</v>
      </c>
      <c r="BF716" s="106" t="n">
        <v>0</v>
      </c>
      <c r="BG716" s="106" t="n">
        <v>0</v>
      </c>
      <c r="BH716" s="106" t="n">
        <v>0</v>
      </c>
      <c r="BI716" s="106" t="n">
        <v>0</v>
      </c>
      <c r="BJ716" s="106" t="n"/>
      <c r="BK716" s="114" t="n"/>
      <c r="BL716" s="187" t="n">
        <v>68728.1604099631</v>
      </c>
      <c r="BM716" s="113" t="n">
        <f aca="false" ca="true" dt2D="false" dtr="false" t="normal">SUBTOTAL(9, BN716:CB716)</f>
        <v>3991090.000409963</v>
      </c>
      <c r="BN716" s="106" t="n">
        <v>0</v>
      </c>
      <c r="BO716" s="106" t="n">
        <v>0</v>
      </c>
      <c r="BP716" s="106" t="n">
        <v>3374225.58</v>
      </c>
      <c r="BQ716" s="106" t="n">
        <v>548136.26</v>
      </c>
      <c r="BR716" s="106" t="n">
        <v>0</v>
      </c>
      <c r="BS716" s="106" t="n"/>
      <c r="BT716" s="106" t="n"/>
      <c r="BU716" s="106" t="n">
        <v>0</v>
      </c>
      <c r="BV716" s="106" t="n">
        <v>0</v>
      </c>
      <c r="BW716" s="106" t="n">
        <v>0</v>
      </c>
      <c r="BX716" s="106" t="n">
        <v>0</v>
      </c>
      <c r="BY716" s="106" t="n">
        <v>0</v>
      </c>
      <c r="BZ716" s="106" t="n"/>
      <c r="CA716" s="114" t="n"/>
      <c r="CB716" s="115" t="n">
        <v>68728.1604099631</v>
      </c>
      <c r="CD716" s="116" t="e">
        <f aca="false" ca="false" dt2D="false" dtr="false" t="normal">+CD715+1</f>
        <v>#REF!</v>
      </c>
      <c r="CE716" s="117" t="e">
        <f aca="false" ca="false" dt2D="false" dtr="false" t="normal">+CE715+1</f>
        <v>#REF!</v>
      </c>
      <c r="CF716" s="104" t="s">
        <v>404</v>
      </c>
      <c r="CG716" s="117" t="s">
        <v>501</v>
      </c>
      <c r="CH716" s="108" t="n">
        <f aca="false" ca="true" dt2D="false" dtr="false" t="normal">SUBTOTAL(9, CI716:CW716)</f>
        <v>2425802.77</v>
      </c>
      <c r="CI716" s="106" t="n">
        <v>0</v>
      </c>
      <c r="CJ716" s="114" t="n">
        <v>0</v>
      </c>
      <c r="CK716" s="243" t="n">
        <v>2425802.77</v>
      </c>
      <c r="CL716" s="114" t="n"/>
      <c r="CM716" s="114" t="n">
        <v>0</v>
      </c>
      <c r="CN716" s="114" t="n"/>
      <c r="CO716" s="106" t="n"/>
      <c r="CP716" s="114" t="n">
        <v>0</v>
      </c>
      <c r="CQ716" s="114" t="n">
        <v>0</v>
      </c>
      <c r="CR716" s="114" t="n">
        <v>0</v>
      </c>
      <c r="CS716" s="114" t="n">
        <v>0</v>
      </c>
      <c r="CT716" s="114" t="n">
        <v>0</v>
      </c>
      <c r="CU716" s="114" t="n"/>
      <c r="CV716" s="114" t="n"/>
      <c r="CW716" s="115" t="n"/>
      <c r="CX716" s="3" t="n">
        <f aca="false" ca="false" dt2D="false" dtr="false" t="normal">+N716-CH716</f>
        <v>0</v>
      </c>
      <c r="CZ716" s="117" t="s">
        <v>501</v>
      </c>
      <c r="DA716" s="113" t="n">
        <f aca="false" ca="true" dt2D="false" dtr="false" t="normal">SUBTOTAL(9, DB716:DP716)</f>
        <v>2425802.77</v>
      </c>
      <c r="DB716" s="106" t="n">
        <v>0</v>
      </c>
      <c r="DC716" s="114" t="n">
        <v>0</v>
      </c>
      <c r="DD716" s="243" t="n">
        <v>2425802.77</v>
      </c>
      <c r="DE716" s="114" t="n"/>
      <c r="DF716" s="114" t="n">
        <v>0</v>
      </c>
      <c r="DG716" s="114" t="n"/>
      <c r="DH716" s="106" t="n"/>
      <c r="DI716" s="114" t="n">
        <v>0</v>
      </c>
      <c r="DJ716" s="114" t="n">
        <v>0</v>
      </c>
      <c r="DK716" s="114" t="n">
        <v>0</v>
      </c>
      <c r="DL716" s="114" t="n">
        <v>0</v>
      </c>
      <c r="DM716" s="114" t="n">
        <v>0</v>
      </c>
      <c r="DN716" s="114" t="n"/>
      <c r="DO716" s="114" t="n"/>
      <c r="DP716" s="240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</row>
    <row customFormat="true" hidden="false" ht="15" outlineLevel="0" r="717" s="1">
      <c r="A717" s="183" t="n">
        <f aca="false" ca="false" dt2D="false" dtr="false" t="normal">+A716+1</f>
        <v>695</v>
      </c>
      <c r="B717" s="117" t="n">
        <f aca="false" ca="false" dt2D="false" dtr="false" t="normal">+B716+1</f>
        <v>235</v>
      </c>
      <c r="C717" s="117" t="s">
        <v>404</v>
      </c>
      <c r="D717" s="117" t="s">
        <v>676</v>
      </c>
      <c r="E717" s="201" t="n">
        <v>1982</v>
      </c>
      <c r="F717" s="201" t="n">
        <v>2013</v>
      </c>
      <c r="G717" s="201" t="s">
        <v>68</v>
      </c>
      <c r="H717" s="201" t="n">
        <v>5</v>
      </c>
      <c r="I717" s="201" t="n">
        <v>4</v>
      </c>
      <c r="J717" s="114" t="n">
        <v>3426.4</v>
      </c>
      <c r="K717" s="114" t="n">
        <v>2421.7</v>
      </c>
      <c r="L717" s="114" t="n">
        <v>483.1</v>
      </c>
      <c r="M717" s="202" t="n">
        <v>77</v>
      </c>
      <c r="N717" s="108" t="n">
        <f aca="false" ca="false" dt2D="false" dtr="false" t="normal">SUM(P717:T717)</f>
        <v>2477308.49</v>
      </c>
      <c r="O717" s="114" t="n"/>
      <c r="P717" s="114" t="n"/>
      <c r="Q717" s="114" t="n"/>
      <c r="R717" s="113" t="n">
        <v>1583472.99</v>
      </c>
      <c r="S717" s="113" t="n">
        <v>893835.5</v>
      </c>
      <c r="T717" s="114" t="n">
        <v>0</v>
      </c>
      <c r="U717" s="114" t="n">
        <v>1236.76803007372</v>
      </c>
      <c r="V717" s="114" t="n">
        <v>1236.76803007372</v>
      </c>
      <c r="W717" s="110" t="n">
        <v>2024</v>
      </c>
      <c r="X717" s="9" t="e">
        <f aca="false" ca="false" dt2D="false" dtr="false" t="normal">+#REF!-'[9]Приложение №1'!$P790</f>
        <v>#REF!</v>
      </c>
      <c r="Z717" s="113" t="n">
        <f aca="false" ca="false" dt2D="false" dtr="false" t="normal">SUM(AA717:AO717)</f>
        <v>3753836.173376642</v>
      </c>
      <c r="AA717" s="106" t="n">
        <v>0</v>
      </c>
      <c r="AB717" s="106" t="n">
        <v>0</v>
      </c>
      <c r="AC717" s="106" t="n">
        <v>3269418.63054708</v>
      </c>
      <c r="AD717" s="106" t="n">
        <v>0</v>
      </c>
      <c r="AE717" s="106" t="n">
        <v>0</v>
      </c>
      <c r="AF717" s="106" t="n"/>
      <c r="AG717" s="106" t="n">
        <v>0</v>
      </c>
      <c r="AH717" s="106" t="n">
        <v>0</v>
      </c>
      <c r="AI717" s="106" t="n">
        <v>0</v>
      </c>
      <c r="AJ717" s="106" t="n">
        <v>0</v>
      </c>
      <c r="AK717" s="106" t="n">
        <v>0</v>
      </c>
      <c r="AL717" s="106" t="n">
        <v>0</v>
      </c>
      <c r="AM717" s="106" t="n">
        <v>375383.617337664</v>
      </c>
      <c r="AN717" s="114" t="n">
        <v>37538.3617337664</v>
      </c>
      <c r="AO717" s="115" t="n">
        <v>71495.5637581315</v>
      </c>
      <c r="AP717" s="112" t="n">
        <f aca="false" ca="false" dt2D="false" dtr="false" t="normal">+N717-'Приложение №2'!E717</f>
        <v>0</v>
      </c>
      <c r="AQ717" s="1" t="n">
        <v>1309402.75</v>
      </c>
      <c r="AR717" s="3" t="n">
        <f aca="false" ca="false" dt2D="false" dtr="false" t="normal">+(K717*10+L717*20)*12*0.85</f>
        <v>345565.8</v>
      </c>
      <c r="AS717" s="3" t="n">
        <f aca="false" ca="false" dt2D="false" dtr="false" t="normal">+(K717*10+L717*20)*12*30</f>
        <v>12196440</v>
      </c>
      <c r="AT717" s="9" t="n">
        <f aca="false" ca="false" dt2D="false" dtr="false" t="normal">+S717-AS717</f>
        <v>-11302604.5</v>
      </c>
      <c r="AU717" s="9" t="e">
        <f aca="false" ca="false" dt2D="false" dtr="false" t="normal">+P717-'[5]Приложение №1'!$P361</f>
        <v>#REF!</v>
      </c>
      <c r="AV717" s="9" t="e">
        <f aca="false" ca="false" dt2D="false" dtr="false" t="normal">+Q717-'[5]Приложение №1'!$Q361</f>
        <v>#REF!</v>
      </c>
      <c r="AW717" s="113" t="n">
        <f aca="false" ca="true" dt2D="false" dtr="false" t="normal">SUBTOTAL(9, AX717:BL717)</f>
        <v>3592563.7737581315</v>
      </c>
      <c r="AX717" s="106" t="n">
        <v>0</v>
      </c>
      <c r="AY717" s="106" t="n">
        <v>0</v>
      </c>
      <c r="AZ717" s="106" t="n">
        <v>3521068.21</v>
      </c>
      <c r="BA717" s="106" t="n">
        <v>0</v>
      </c>
      <c r="BB717" s="106" t="n">
        <v>0</v>
      </c>
      <c r="BC717" s="106" t="n"/>
      <c r="BD717" s="106" t="n"/>
      <c r="BE717" s="106" t="n">
        <v>0</v>
      </c>
      <c r="BF717" s="106" t="n">
        <v>0</v>
      </c>
      <c r="BG717" s="106" t="n">
        <v>0</v>
      </c>
      <c r="BH717" s="106" t="n">
        <v>0</v>
      </c>
      <c r="BI717" s="106" t="n">
        <v>0</v>
      </c>
      <c r="BJ717" s="106" t="n"/>
      <c r="BK717" s="114" t="n"/>
      <c r="BL717" s="115" t="n">
        <v>71495.5637581315</v>
      </c>
      <c r="BM717" s="113" t="n">
        <f aca="false" ca="true" dt2D="false" dtr="false" t="normal">SUBTOTAL(9, BN717:CB717)</f>
        <v>3592563.7737581315</v>
      </c>
      <c r="BN717" s="106" t="n">
        <v>0</v>
      </c>
      <c r="BO717" s="106" t="n">
        <v>0</v>
      </c>
      <c r="BP717" s="106" t="n">
        <v>3521068.21</v>
      </c>
      <c r="BQ717" s="106" t="n">
        <v>0</v>
      </c>
      <c r="BR717" s="106" t="n">
        <v>0</v>
      </c>
      <c r="BS717" s="106" t="n"/>
      <c r="BT717" s="106" t="n"/>
      <c r="BU717" s="106" t="n">
        <v>0</v>
      </c>
      <c r="BV717" s="106" t="n">
        <v>0</v>
      </c>
      <c r="BW717" s="106" t="n">
        <v>0</v>
      </c>
      <c r="BX717" s="106" t="n">
        <v>0</v>
      </c>
      <c r="BY717" s="106" t="n">
        <v>0</v>
      </c>
      <c r="BZ717" s="106" t="n"/>
      <c r="CA717" s="114" t="n"/>
      <c r="CB717" s="115" t="n">
        <v>71495.5637581315</v>
      </c>
      <c r="CD717" s="116" t="e">
        <f aca="false" ca="false" dt2D="false" dtr="false" t="normal">+CD716+1</f>
        <v>#REF!</v>
      </c>
      <c r="CE717" s="117" t="e">
        <f aca="false" ca="false" dt2D="false" dtr="false" t="normal">+CE716+1</f>
        <v>#REF!</v>
      </c>
      <c r="CF717" s="104" t="s">
        <v>404</v>
      </c>
      <c r="CG717" s="104" t="s">
        <v>676</v>
      </c>
      <c r="CH717" s="108" t="n">
        <f aca="false" ca="true" dt2D="false" dtr="false" t="normal">SUBTOTAL(9, CI717:CW717)</f>
        <v>2477308.49</v>
      </c>
      <c r="CI717" s="106" t="n">
        <v>0</v>
      </c>
      <c r="CJ717" s="114" t="n">
        <v>0</v>
      </c>
      <c r="CK717" s="243" t="n">
        <v>2477308.49</v>
      </c>
      <c r="CL717" s="114" t="n">
        <v>0</v>
      </c>
      <c r="CM717" s="114" t="n">
        <v>0</v>
      </c>
      <c r="CN717" s="114" t="n"/>
      <c r="CO717" s="106" t="n"/>
      <c r="CP717" s="114" t="n">
        <v>0</v>
      </c>
      <c r="CQ717" s="114" t="n">
        <v>0</v>
      </c>
      <c r="CR717" s="114" t="n">
        <v>0</v>
      </c>
      <c r="CS717" s="114" t="n">
        <v>0</v>
      </c>
      <c r="CT717" s="114" t="n">
        <v>0</v>
      </c>
      <c r="CU717" s="114" t="n"/>
      <c r="CV717" s="114" t="n"/>
      <c r="CW717" s="115" t="n"/>
      <c r="CX717" s="3" t="n">
        <f aca="false" ca="false" dt2D="false" dtr="false" t="normal">+N717-CH717</f>
        <v>0</v>
      </c>
      <c r="CZ717" s="104" t="s">
        <v>676</v>
      </c>
      <c r="DA717" s="113" t="n">
        <f aca="false" ca="true" dt2D="false" dtr="false" t="normal">SUBTOTAL(9, DB717:DP717)</f>
        <v>2477308.49</v>
      </c>
      <c r="DB717" s="106" t="n">
        <v>0</v>
      </c>
      <c r="DC717" s="114" t="n">
        <v>0</v>
      </c>
      <c r="DD717" s="243" t="n">
        <v>2477308.49</v>
      </c>
      <c r="DE717" s="114" t="n">
        <v>0</v>
      </c>
      <c r="DF717" s="114" t="n">
        <v>0</v>
      </c>
      <c r="DG717" s="114" t="n"/>
      <c r="DH717" s="106" t="n"/>
      <c r="DI717" s="114" t="n">
        <v>0</v>
      </c>
      <c r="DJ717" s="114" t="n">
        <v>0</v>
      </c>
      <c r="DK717" s="114" t="n">
        <v>0</v>
      </c>
      <c r="DL717" s="114" t="n">
        <v>0</v>
      </c>
      <c r="DM717" s="114" t="n">
        <v>0</v>
      </c>
      <c r="DN717" s="114" t="n"/>
      <c r="DO717" s="114" t="n"/>
      <c r="DP717" s="240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</row>
    <row customFormat="true" hidden="false" ht="15" outlineLevel="0" r="718" s="1">
      <c r="A718" s="183" t="n">
        <f aca="false" ca="false" dt2D="false" dtr="false" t="normal">+A717+1</f>
        <v>696</v>
      </c>
      <c r="B718" s="117" t="n">
        <f aca="false" ca="false" dt2D="false" dtr="false" t="normal">+B717+1</f>
        <v>236</v>
      </c>
      <c r="C718" s="104" t="s">
        <v>404</v>
      </c>
      <c r="D718" s="104" t="s">
        <v>677</v>
      </c>
      <c r="E718" s="105" t="n">
        <v>1975</v>
      </c>
      <c r="F718" s="105" t="n"/>
      <c r="G718" s="105" t="s">
        <v>68</v>
      </c>
      <c r="H718" s="105" t="n">
        <v>4</v>
      </c>
      <c r="I718" s="105" t="n">
        <v>3</v>
      </c>
      <c r="J718" s="106" t="n">
        <v>2248.5</v>
      </c>
      <c r="K718" s="106" t="n">
        <v>1870.6</v>
      </c>
      <c r="L718" s="106" t="n">
        <v>291.1</v>
      </c>
      <c r="M718" s="107" t="n">
        <v>72</v>
      </c>
      <c r="N718" s="108" t="n">
        <f aca="false" ca="false" dt2D="false" dtr="false" t="normal">SUM(P718:T718)</f>
        <v>640276.6</v>
      </c>
      <c r="O718" s="106" t="n"/>
      <c r="P718" s="114" t="n"/>
      <c r="Q718" s="114" t="n"/>
      <c r="R718" s="113" t="n">
        <v>640276.6</v>
      </c>
      <c r="S718" s="114" t="n">
        <v>0</v>
      </c>
      <c r="T718" s="190" t="n">
        <v>0</v>
      </c>
      <c r="U718" s="106" t="n">
        <v>296.191238377203</v>
      </c>
      <c r="V718" s="106" t="n">
        <v>296.191238377203</v>
      </c>
      <c r="W718" s="110" t="n">
        <v>2024</v>
      </c>
      <c r="X718" s="9" t="n"/>
      <c r="Z718" s="113" t="n"/>
      <c r="AA718" s="106" t="n"/>
      <c r="AB718" s="106" t="n"/>
      <c r="AC718" s="106" t="n"/>
      <c r="AD718" s="106" t="n"/>
      <c r="AE718" s="106" t="n"/>
      <c r="AF718" s="106" t="n"/>
      <c r="AG718" s="106" t="n"/>
      <c r="AH718" s="106" t="n"/>
      <c r="AI718" s="106" t="n"/>
      <c r="AJ718" s="106" t="n"/>
      <c r="AK718" s="106" t="n"/>
      <c r="AL718" s="106" t="n"/>
      <c r="AM718" s="106" t="n"/>
      <c r="AN718" s="114" t="n"/>
      <c r="AO718" s="115" t="n"/>
      <c r="AP718" s="112" t="n">
        <f aca="false" ca="false" dt2D="false" dtr="false" t="normal">+N718-'Приложение №2'!E718</f>
        <v>0</v>
      </c>
      <c r="AQ718" s="135" t="n">
        <v>1340374.7</v>
      </c>
      <c r="AR718" s="3" t="n">
        <f aca="false" ca="false" dt2D="false" dtr="false" t="normal">+(K718*10+L718*20)*12*0.85</f>
        <v>250185.6</v>
      </c>
      <c r="AS718" s="3" t="n">
        <f aca="false" ca="false" dt2D="false" dtr="false" t="normal">+(K718*10+L718*20)*12*30</f>
        <v>8830080</v>
      </c>
      <c r="AT718" s="9" t="n">
        <f aca="false" ca="false" dt2D="false" dtr="false" t="normal">+S718-AS718</f>
        <v>-8830080</v>
      </c>
      <c r="AW718" s="113" t="n">
        <f aca="false" ca="true" dt2D="false" dtr="false" t="normal">SUBTOTAL(9, AX718:BL718)</f>
        <v>640276.6</v>
      </c>
      <c r="AX718" s="106" t="n"/>
      <c r="AY718" s="106" t="n"/>
      <c r="AZ718" s="106" t="n"/>
      <c r="BA718" s="106" t="n">
        <v>640276.6</v>
      </c>
      <c r="BB718" s="106" t="n"/>
      <c r="BC718" s="106" t="n"/>
      <c r="BD718" s="106" t="n"/>
      <c r="BE718" s="106" t="n"/>
      <c r="BF718" s="106" t="n"/>
      <c r="BG718" s="106" t="n"/>
      <c r="BH718" s="106" t="n"/>
      <c r="BI718" s="106" t="n"/>
      <c r="BJ718" s="106" t="n"/>
      <c r="BK718" s="114" t="n"/>
      <c r="BL718" s="187" t="n"/>
      <c r="BM718" s="113" t="n">
        <f aca="false" ca="true" dt2D="false" dtr="false" t="normal">SUBTOTAL(9, BN718:CB718)</f>
        <v>640276.6</v>
      </c>
      <c r="BN718" s="106" t="n"/>
      <c r="BO718" s="106" t="n"/>
      <c r="BP718" s="106" t="n"/>
      <c r="BQ718" s="106" t="n">
        <v>640276.6</v>
      </c>
      <c r="BR718" s="106" t="n"/>
      <c r="BS718" s="106" t="n"/>
      <c r="BT718" s="106" t="n"/>
      <c r="BU718" s="106" t="n"/>
      <c r="BV718" s="106" t="n"/>
      <c r="BW718" s="106" t="n"/>
      <c r="BX718" s="106" t="n"/>
      <c r="BY718" s="106" t="n"/>
      <c r="BZ718" s="106" t="n"/>
      <c r="CA718" s="114" t="n"/>
      <c r="CB718" s="115" t="n"/>
      <c r="CD718" s="116" t="e">
        <f aca="false" ca="false" dt2D="false" dtr="false" t="normal">+CD717+1</f>
        <v>#REF!</v>
      </c>
      <c r="CE718" s="117" t="e">
        <f aca="false" ca="false" dt2D="false" dtr="false" t="normal">+CE717+1</f>
        <v>#REF!</v>
      </c>
      <c r="CF718" s="104" t="s">
        <v>404</v>
      </c>
      <c r="CG718" s="117" t="s">
        <v>677</v>
      </c>
      <c r="CH718" s="108" t="n">
        <f aca="false" ca="true" dt2D="false" dtr="false" t="normal">SUBTOTAL(9, CI718:CW718)</f>
        <v>640276.6</v>
      </c>
      <c r="CI718" s="106" t="n"/>
      <c r="CJ718" s="114" t="n"/>
      <c r="CK718" s="114" t="n"/>
      <c r="CL718" s="114" t="n">
        <v>640276.6</v>
      </c>
      <c r="CM718" s="114" t="n"/>
      <c r="CN718" s="114" t="n"/>
      <c r="CO718" s="106" t="n"/>
      <c r="CP718" s="114" t="n"/>
      <c r="CQ718" s="114" t="n"/>
      <c r="CR718" s="114" t="n"/>
      <c r="CS718" s="114" t="n"/>
      <c r="CT718" s="114" t="n"/>
      <c r="CU718" s="114" t="n"/>
      <c r="CV718" s="114" t="n"/>
      <c r="CW718" s="115" t="n"/>
      <c r="CX718" s="3" t="n">
        <f aca="false" ca="false" dt2D="false" dtr="false" t="normal">+N718-CH718</f>
        <v>0</v>
      </c>
      <c r="CZ718" s="117" t="s">
        <v>677</v>
      </c>
      <c r="DA718" s="113" t="n">
        <f aca="false" ca="true" dt2D="false" dtr="false" t="normal">SUBTOTAL(9, DB718:DP718)</f>
        <v>640276.6</v>
      </c>
      <c r="DB718" s="106" t="n"/>
      <c r="DC718" s="114" t="n"/>
      <c r="DD718" s="114" t="n"/>
      <c r="DE718" s="114" t="n">
        <v>640276.6</v>
      </c>
      <c r="DF718" s="114" t="n"/>
      <c r="DG718" s="114" t="n"/>
      <c r="DH718" s="106" t="n"/>
      <c r="DI718" s="114" t="n"/>
      <c r="DJ718" s="114" t="n"/>
      <c r="DK718" s="114" t="n"/>
      <c r="DL718" s="114" t="n"/>
      <c r="DM718" s="114" t="n"/>
      <c r="DN718" s="114" t="n"/>
      <c r="DO718" s="114" t="n"/>
      <c r="DP718" s="115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</row>
    <row customFormat="true" hidden="false" ht="15" outlineLevel="0" r="719" s="1">
      <c r="A719" s="183" t="n">
        <f aca="false" ca="false" dt2D="false" dtr="false" t="normal">+A718+1</f>
        <v>697</v>
      </c>
      <c r="B719" s="117" t="n">
        <f aca="false" ca="false" dt2D="false" dtr="false" t="normal">+B718+1</f>
        <v>237</v>
      </c>
      <c r="C719" s="117" t="s">
        <v>404</v>
      </c>
      <c r="D719" s="117" t="s">
        <v>678</v>
      </c>
      <c r="E719" s="201" t="n">
        <v>1974</v>
      </c>
      <c r="F719" s="201" t="n">
        <v>2013</v>
      </c>
      <c r="G719" s="201" t="s">
        <v>68</v>
      </c>
      <c r="H719" s="201" t="n">
        <v>4</v>
      </c>
      <c r="I719" s="201" t="n">
        <v>3</v>
      </c>
      <c r="J719" s="114" t="n">
        <v>2238.2</v>
      </c>
      <c r="K719" s="114" t="n">
        <v>2068.45</v>
      </c>
      <c r="L719" s="114" t="n">
        <v>0</v>
      </c>
      <c r="M719" s="202" t="n">
        <v>74</v>
      </c>
      <c r="N719" s="108" t="n">
        <f aca="false" ca="false" dt2D="false" dtr="false" t="normal">SUM(P719:T719)</f>
        <v>3067621.24</v>
      </c>
      <c r="O719" s="114" t="n"/>
      <c r="P719" s="114" t="n"/>
      <c r="Q719" s="114" t="n"/>
      <c r="R719" s="113" t="n">
        <v>160380.38</v>
      </c>
      <c r="S719" s="113" t="n">
        <v>1156823.49</v>
      </c>
      <c r="T719" s="114" t="n">
        <v>1750417.37</v>
      </c>
      <c r="U719" s="114" t="n">
        <v>1511.83073101516</v>
      </c>
      <c r="V719" s="114" t="n">
        <v>1511.83073101516</v>
      </c>
      <c r="W719" s="110" t="n">
        <v>2024</v>
      </c>
      <c r="X719" s="9" t="e">
        <f aca="false" ca="false" dt2D="false" dtr="false" t="normal">+#REF!-'[9]Приложение №1'!$P1158</f>
        <v>#REF!</v>
      </c>
      <c r="Z719" s="113" t="n">
        <f aca="false" ca="false" dt2D="false" dtr="false" t="normal">SUM(AA719:AO719)</f>
        <v>3125330.0203881604</v>
      </c>
      <c r="AA719" s="106" t="n">
        <v>0</v>
      </c>
      <c r="AB719" s="106" t="n">
        <v>0</v>
      </c>
      <c r="AC719" s="106" t="n">
        <v>2722018.68257715</v>
      </c>
      <c r="AD719" s="106" t="n">
        <v>0</v>
      </c>
      <c r="AE719" s="106" t="n">
        <v>0</v>
      </c>
      <c r="AF719" s="106" t="n"/>
      <c r="AG719" s="106" t="n">
        <v>0</v>
      </c>
      <c r="AH719" s="106" t="n">
        <v>0</v>
      </c>
      <c r="AI719" s="106" t="n">
        <v>0</v>
      </c>
      <c r="AJ719" s="106" t="n">
        <v>0</v>
      </c>
      <c r="AK719" s="106" t="n">
        <v>0</v>
      </c>
      <c r="AL719" s="106" t="n">
        <v>0</v>
      </c>
      <c r="AM719" s="106" t="n">
        <v>312533.002038816</v>
      </c>
      <c r="AN719" s="114" t="n">
        <v>31253.3002038816</v>
      </c>
      <c r="AO719" s="115" t="n">
        <v>59525.0355683129</v>
      </c>
      <c r="AP719" s="112" t="n">
        <f aca="false" ca="false" dt2D="false" dtr="false" t="normal">+N719-'Приложение №2'!E719</f>
        <v>0</v>
      </c>
      <c r="AQ719" s="1" t="n">
        <v>630402.22</v>
      </c>
      <c r="AR719" s="3" t="n">
        <f aca="false" ca="false" dt2D="false" dtr="false" t="normal">+(K719*10+L719*20)*12*0.85</f>
        <v>210981.9</v>
      </c>
      <c r="AS719" s="3" t="n">
        <f aca="false" ca="false" dt2D="false" dtr="false" t="normal">+(K719*10+L719*20)*12*30</f>
        <v>7446420</v>
      </c>
      <c r="AT719" s="9" t="n">
        <f aca="false" ca="false" dt2D="false" dtr="false" t="normal">+S719-AS719</f>
        <v>-6289596.51</v>
      </c>
      <c r="AU719" s="9" t="e">
        <f aca="false" ca="false" dt2D="false" dtr="false" t="normal">+P719-'[5]Приложение №1'!$P362</f>
        <v>#REF!</v>
      </c>
      <c r="AV719" s="9" t="e">
        <f aca="false" ca="false" dt2D="false" dtr="false" t="normal">+Q719-'[5]Приложение №1'!$Q362</f>
        <v>#REF!</v>
      </c>
      <c r="AW719" s="113" t="n">
        <f aca="false" ca="true" dt2D="false" dtr="false" t="normal">SUBTOTAL(9, AX719:BL719)</f>
        <v>3127146.275568313</v>
      </c>
      <c r="AX719" s="106" t="n">
        <v>0</v>
      </c>
      <c r="AY719" s="106" t="n">
        <v>0</v>
      </c>
      <c r="AZ719" s="106" t="n">
        <v>3067621.24</v>
      </c>
      <c r="BA719" s="106" t="n">
        <v>0</v>
      </c>
      <c r="BB719" s="106" t="n">
        <v>0</v>
      </c>
      <c r="BC719" s="106" t="n"/>
      <c r="BD719" s="106" t="n"/>
      <c r="BE719" s="106" t="n">
        <v>0</v>
      </c>
      <c r="BF719" s="106" t="n">
        <v>0</v>
      </c>
      <c r="BG719" s="106" t="n">
        <v>0</v>
      </c>
      <c r="BH719" s="106" t="n">
        <v>0</v>
      </c>
      <c r="BI719" s="106" t="n">
        <v>0</v>
      </c>
      <c r="BJ719" s="106" t="n"/>
      <c r="BK719" s="114" t="n"/>
      <c r="BL719" s="115" t="n">
        <v>59525.0355683129</v>
      </c>
      <c r="BM719" s="113" t="n">
        <f aca="false" ca="true" dt2D="false" dtr="false" t="normal">SUBTOTAL(9, BN719:CB719)</f>
        <v>3127146.275568313</v>
      </c>
      <c r="BN719" s="106" t="n">
        <v>0</v>
      </c>
      <c r="BO719" s="106" t="n">
        <v>0</v>
      </c>
      <c r="BP719" s="106" t="n">
        <v>3067621.24</v>
      </c>
      <c r="BQ719" s="106" t="n">
        <v>0</v>
      </c>
      <c r="BR719" s="106" t="n">
        <v>0</v>
      </c>
      <c r="BS719" s="106" t="n"/>
      <c r="BT719" s="106" t="n"/>
      <c r="BU719" s="106" t="n">
        <v>0</v>
      </c>
      <c r="BV719" s="106" t="n">
        <v>0</v>
      </c>
      <c r="BW719" s="106" t="n">
        <v>0</v>
      </c>
      <c r="BX719" s="106" t="n">
        <v>0</v>
      </c>
      <c r="BY719" s="106" t="n">
        <v>0</v>
      </c>
      <c r="BZ719" s="106" t="n"/>
      <c r="CA719" s="114" t="n"/>
      <c r="CB719" s="115" t="n">
        <v>59525.0355683129</v>
      </c>
      <c r="CD719" s="116" t="e">
        <f aca="false" ca="false" dt2D="false" dtr="false" t="normal">+CD718+1</f>
        <v>#REF!</v>
      </c>
      <c r="CE719" s="117" t="e">
        <f aca="false" ca="false" dt2D="false" dtr="false" t="normal">+CE718+1</f>
        <v>#REF!</v>
      </c>
      <c r="CF719" s="104" t="s">
        <v>404</v>
      </c>
      <c r="CG719" s="104" t="s">
        <v>678</v>
      </c>
      <c r="CH719" s="108" t="n">
        <f aca="false" ca="true" dt2D="false" dtr="false" t="normal">SUBTOTAL(9, CI719:CW719)</f>
        <v>3127146.2800000003</v>
      </c>
      <c r="CI719" s="106" t="n">
        <v>0</v>
      </c>
      <c r="CJ719" s="114" t="n">
        <v>0</v>
      </c>
      <c r="CK719" s="114" t="n">
        <v>3067621.24</v>
      </c>
      <c r="CL719" s="114" t="n">
        <v>0</v>
      </c>
      <c r="CM719" s="114" t="n">
        <v>0</v>
      </c>
      <c r="CN719" s="114" t="n"/>
      <c r="CO719" s="106" t="n"/>
      <c r="CP719" s="114" t="n">
        <v>0</v>
      </c>
      <c r="CQ719" s="114" t="n">
        <v>0</v>
      </c>
      <c r="CR719" s="114" t="n">
        <v>0</v>
      </c>
      <c r="CS719" s="114" t="n">
        <v>0</v>
      </c>
      <c r="CT719" s="114" t="n">
        <v>0</v>
      </c>
      <c r="CU719" s="114" t="n"/>
      <c r="CV719" s="114" t="n"/>
      <c r="CW719" s="115" t="n">
        <v>59525.04</v>
      </c>
      <c r="CX719" s="3" t="n">
        <f aca="false" ca="false" dt2D="false" dtr="false" t="normal">+N719-CH719</f>
        <v>-59525.04000000004</v>
      </c>
      <c r="CZ719" s="104" t="s">
        <v>678</v>
      </c>
      <c r="DA719" s="113" t="n">
        <f aca="false" ca="true" dt2D="false" dtr="false" t="normal">SUBTOTAL(9, DB719:DP719)</f>
        <v>3067621.24</v>
      </c>
      <c r="DB719" s="106" t="n">
        <v>0</v>
      </c>
      <c r="DC719" s="114" t="n">
        <v>0</v>
      </c>
      <c r="DD719" s="114" t="n">
        <v>3067621.24</v>
      </c>
      <c r="DE719" s="114" t="n">
        <v>0</v>
      </c>
      <c r="DF719" s="114" t="n">
        <v>0</v>
      </c>
      <c r="DG719" s="114" t="n"/>
      <c r="DH719" s="106" t="n"/>
      <c r="DI719" s="114" t="n">
        <v>0</v>
      </c>
      <c r="DJ719" s="114" t="n">
        <v>0</v>
      </c>
      <c r="DK719" s="114" t="n">
        <v>0</v>
      </c>
      <c r="DL719" s="114" t="n">
        <v>0</v>
      </c>
      <c r="DM719" s="114" t="n">
        <v>0</v>
      </c>
      <c r="DN719" s="114" t="n"/>
      <c r="DO719" s="114" t="n"/>
      <c r="DP719" s="240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</row>
    <row customFormat="true" hidden="false" ht="15" outlineLevel="0" r="720" s="1">
      <c r="A720" s="183" t="n">
        <f aca="false" ca="false" dt2D="false" dtr="false" t="normal">+A719+1</f>
        <v>698</v>
      </c>
      <c r="B720" s="117" t="n">
        <f aca="false" ca="false" dt2D="false" dtr="false" t="normal">+B719+1</f>
        <v>238</v>
      </c>
      <c r="C720" s="104" t="s">
        <v>404</v>
      </c>
      <c r="D720" s="104" t="s">
        <v>679</v>
      </c>
      <c r="E720" s="105" t="n">
        <v>1976</v>
      </c>
      <c r="F720" s="105" t="n"/>
      <c r="G720" s="105" t="s">
        <v>68</v>
      </c>
      <c r="H720" s="105" t="n">
        <v>4</v>
      </c>
      <c r="I720" s="105" t="n">
        <v>6</v>
      </c>
      <c r="J720" s="106" t="n">
        <v>4614</v>
      </c>
      <c r="K720" s="106" t="n">
        <v>4270.7</v>
      </c>
      <c r="L720" s="106" t="n">
        <v>0</v>
      </c>
      <c r="M720" s="107" t="n">
        <v>148</v>
      </c>
      <c r="N720" s="108" t="n">
        <f aca="false" ca="false" dt2D="false" dtr="false" t="normal">SUM(P720:T720)</f>
        <v>1357157.63</v>
      </c>
      <c r="O720" s="106" t="n"/>
      <c r="P720" s="114" t="n"/>
      <c r="Q720" s="114" t="n"/>
      <c r="R720" s="113" t="n">
        <v>1357157.63</v>
      </c>
      <c r="S720" s="114" t="n">
        <v>0</v>
      </c>
      <c r="T720" s="190" t="n">
        <v>0</v>
      </c>
      <c r="U720" s="106" t="n">
        <v>317.783414896855</v>
      </c>
      <c r="V720" s="106" t="n">
        <v>317.783414896855</v>
      </c>
      <c r="W720" s="110" t="n">
        <v>2024</v>
      </c>
      <c r="X720" s="9" t="n"/>
      <c r="Z720" s="113" t="n"/>
      <c r="AA720" s="106" t="n"/>
      <c r="AB720" s="106" t="n"/>
      <c r="AC720" s="106" t="n"/>
      <c r="AD720" s="106" t="n"/>
      <c r="AE720" s="106" t="n"/>
      <c r="AF720" s="106" t="n"/>
      <c r="AG720" s="106" t="n"/>
      <c r="AH720" s="106" t="n"/>
      <c r="AI720" s="106" t="n"/>
      <c r="AJ720" s="106" t="n"/>
      <c r="AK720" s="106" t="n"/>
      <c r="AL720" s="106" t="n"/>
      <c r="AM720" s="106" t="n"/>
      <c r="AN720" s="114" t="n"/>
      <c r="AO720" s="115" t="n"/>
      <c r="AP720" s="112" t="n">
        <f aca="false" ca="false" dt2D="false" dtr="false" t="normal">+N720-'Приложение №2'!E720</f>
        <v>0</v>
      </c>
      <c r="AQ720" s="135" t="n">
        <v>2376571.59</v>
      </c>
      <c r="AR720" s="3" t="n">
        <f aca="false" ca="false" dt2D="false" dtr="false" t="normal">+(K720*10+L720*20)*12*0.85</f>
        <v>435611.39999999997</v>
      </c>
      <c r="AS720" s="3" t="n">
        <f aca="false" ca="false" dt2D="false" dtr="false" t="normal">+(K720*10+L720*20)*12*30</f>
        <v>15374520</v>
      </c>
      <c r="AT720" s="9" t="n">
        <f aca="false" ca="false" dt2D="false" dtr="false" t="normal">+S720-AS720</f>
        <v>-15374520</v>
      </c>
      <c r="AU720" s="9" t="n"/>
      <c r="AW720" s="113" t="n">
        <f aca="false" ca="true" dt2D="false" dtr="false" t="normal">SUBTOTAL(9, AX720:BL720)</f>
        <v>1357157.63</v>
      </c>
      <c r="AX720" s="106" t="n"/>
      <c r="AY720" s="106" t="n"/>
      <c r="AZ720" s="106" t="n"/>
      <c r="BA720" s="106" t="n">
        <v>1357157.63</v>
      </c>
      <c r="BB720" s="106" t="n"/>
      <c r="BC720" s="106" t="n"/>
      <c r="BD720" s="106" t="n"/>
      <c r="BE720" s="106" t="n"/>
      <c r="BF720" s="106" t="n"/>
      <c r="BG720" s="106" t="n"/>
      <c r="BH720" s="106" t="n"/>
      <c r="BI720" s="106" t="n"/>
      <c r="BJ720" s="106" t="n"/>
      <c r="BK720" s="114" t="n"/>
      <c r="BL720" s="187" t="n"/>
      <c r="BM720" s="113" t="n">
        <f aca="false" ca="true" dt2D="false" dtr="false" t="normal">SUBTOTAL(9, BN720:CB720)</f>
        <v>1357157.63</v>
      </c>
      <c r="BN720" s="106" t="n"/>
      <c r="BO720" s="106" t="n"/>
      <c r="BP720" s="106" t="n"/>
      <c r="BQ720" s="106" t="n">
        <v>1357157.63</v>
      </c>
      <c r="BR720" s="106" t="n"/>
      <c r="BS720" s="106" t="n"/>
      <c r="BT720" s="106" t="n"/>
      <c r="BU720" s="106" t="n"/>
      <c r="BV720" s="106" t="n"/>
      <c r="BW720" s="106" t="n"/>
      <c r="BX720" s="106" t="n"/>
      <c r="BY720" s="106" t="n"/>
      <c r="BZ720" s="106" t="n"/>
      <c r="CA720" s="114" t="n"/>
      <c r="CB720" s="115" t="n"/>
      <c r="CD720" s="116" t="e">
        <f aca="false" ca="false" dt2D="false" dtr="false" t="normal">+CD719+1</f>
        <v>#REF!</v>
      </c>
      <c r="CE720" s="117" t="e">
        <f aca="false" ca="false" dt2D="false" dtr="false" t="normal">+CE719+1</f>
        <v>#REF!</v>
      </c>
      <c r="CF720" s="104" t="s">
        <v>404</v>
      </c>
      <c r="CG720" s="117" t="s">
        <v>679</v>
      </c>
      <c r="CH720" s="108" t="n">
        <f aca="false" ca="true" dt2D="false" dtr="false" t="normal">SUBTOTAL(9, CI720:CW720)</f>
        <v>1357157.63</v>
      </c>
      <c r="CI720" s="106" t="n"/>
      <c r="CJ720" s="114" t="n"/>
      <c r="CK720" s="114" t="n"/>
      <c r="CL720" s="114" t="n">
        <v>1357157.63</v>
      </c>
      <c r="CM720" s="114" t="n"/>
      <c r="CN720" s="114" t="n"/>
      <c r="CO720" s="106" t="n"/>
      <c r="CP720" s="114" t="n"/>
      <c r="CQ720" s="114" t="n"/>
      <c r="CR720" s="114" t="n"/>
      <c r="CS720" s="114" t="n"/>
      <c r="CT720" s="114" t="n"/>
      <c r="CU720" s="114" t="n"/>
      <c r="CV720" s="114" t="n"/>
      <c r="CW720" s="115" t="n"/>
      <c r="CX720" s="3" t="n">
        <f aca="false" ca="false" dt2D="false" dtr="false" t="normal">+N720-CH720</f>
        <v>0</v>
      </c>
      <c r="CZ720" s="117" t="s">
        <v>679</v>
      </c>
      <c r="DA720" s="113" t="n">
        <f aca="false" ca="true" dt2D="false" dtr="false" t="normal">SUBTOTAL(9, DB720:DP720)</f>
        <v>1357157.63</v>
      </c>
      <c r="DB720" s="106" t="n"/>
      <c r="DC720" s="114" t="n"/>
      <c r="DD720" s="114" t="n"/>
      <c r="DE720" s="114" t="n">
        <v>1357157.63</v>
      </c>
      <c r="DF720" s="114" t="n"/>
      <c r="DG720" s="114" t="n"/>
      <c r="DH720" s="106" t="n"/>
      <c r="DI720" s="114" t="n"/>
      <c r="DJ720" s="114" t="n"/>
      <c r="DK720" s="114" t="n"/>
      <c r="DL720" s="114" t="n"/>
      <c r="DM720" s="114" t="n"/>
      <c r="DN720" s="114" t="n"/>
      <c r="DO720" s="114" t="n"/>
      <c r="DP720" s="115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</row>
    <row customFormat="true" hidden="false" ht="15" outlineLevel="0" r="721" s="1">
      <c r="A721" s="183" t="n">
        <f aca="false" ca="false" dt2D="false" dtr="false" t="normal">+A720+1</f>
        <v>699</v>
      </c>
      <c r="B721" s="117" t="n">
        <f aca="false" ca="false" dt2D="false" dtr="false" t="normal">+B720+1</f>
        <v>239</v>
      </c>
      <c r="C721" s="104" t="s">
        <v>404</v>
      </c>
      <c r="D721" s="104" t="s">
        <v>680</v>
      </c>
      <c r="E721" s="105" t="n">
        <v>1981</v>
      </c>
      <c r="F721" s="105" t="n"/>
      <c r="G721" s="105" t="s">
        <v>68</v>
      </c>
      <c r="H721" s="105" t="n">
        <v>5</v>
      </c>
      <c r="I721" s="105" t="n">
        <v>4</v>
      </c>
      <c r="J721" s="106" t="n">
        <v>3315.7</v>
      </c>
      <c r="K721" s="106" t="n">
        <v>2406</v>
      </c>
      <c r="L721" s="106" t="n">
        <v>444.3</v>
      </c>
      <c r="M721" s="107" t="n">
        <v>83</v>
      </c>
      <c r="N721" s="108" t="n">
        <f aca="false" ca="false" dt2D="false" dtr="false" t="normal">SUM(P721:T721)</f>
        <v>530132.51</v>
      </c>
      <c r="O721" s="106" t="n"/>
      <c r="P721" s="114" t="n"/>
      <c r="Q721" s="114" t="n"/>
      <c r="R721" s="113" t="n">
        <v>530132.51</v>
      </c>
      <c r="S721" s="114" t="n">
        <v>0</v>
      </c>
      <c r="T721" s="190" t="n">
        <v>0</v>
      </c>
      <c r="U721" s="106" t="n">
        <v>185.991828930288</v>
      </c>
      <c r="V721" s="106" t="n">
        <v>185.991828930288</v>
      </c>
      <c r="W721" s="110" t="n">
        <v>2024</v>
      </c>
      <c r="X721" s="9" t="n"/>
      <c r="Z721" s="113" t="n"/>
      <c r="AA721" s="106" t="n"/>
      <c r="AB721" s="106" t="n"/>
      <c r="AC721" s="106" t="n"/>
      <c r="AD721" s="106" t="n"/>
      <c r="AE721" s="106" t="n"/>
      <c r="AF721" s="106" t="n"/>
      <c r="AG721" s="106" t="n"/>
      <c r="AH721" s="106" t="n"/>
      <c r="AI721" s="106" t="n"/>
      <c r="AJ721" s="106" t="n"/>
      <c r="AK721" s="106" t="n"/>
      <c r="AL721" s="106" t="n"/>
      <c r="AM721" s="106" t="n"/>
      <c r="AN721" s="114" t="n"/>
      <c r="AO721" s="115" t="n"/>
      <c r="AP721" s="112" t="n">
        <f aca="false" ca="false" dt2D="false" dtr="false" t="normal">+N721-'Приложение №2'!E721</f>
        <v>0</v>
      </c>
      <c r="AQ721" s="135" t="n">
        <v>1793143.38</v>
      </c>
      <c r="AR721" s="3" t="n">
        <f aca="false" ca="false" dt2D="false" dtr="false" t="normal">+(K721*10+L721*20)*12*0.85</f>
        <v>336049.2</v>
      </c>
      <c r="AS721" s="3" t="n">
        <f aca="false" ca="false" dt2D="false" dtr="false" t="normal">+(K721*10+L721*20)*12*30</f>
        <v>11860560</v>
      </c>
      <c r="AT721" s="9" t="n">
        <f aca="false" ca="false" dt2D="false" dtr="false" t="normal">+S721-AS721</f>
        <v>-11860560</v>
      </c>
      <c r="AU721" s="9" t="n"/>
      <c r="AW721" s="113" t="n">
        <f aca="false" ca="true" dt2D="false" dtr="false" t="normal">SUBTOTAL(9, AX721:BL721)</f>
        <v>530132.51</v>
      </c>
      <c r="AX721" s="106" t="n"/>
      <c r="AY721" s="106" t="n"/>
      <c r="AZ721" s="106" t="n"/>
      <c r="BA721" s="106" t="n">
        <v>530132.51</v>
      </c>
      <c r="BB721" s="106" t="n"/>
      <c r="BC721" s="106" t="n"/>
      <c r="BD721" s="106" t="n"/>
      <c r="BE721" s="106" t="n"/>
      <c r="BF721" s="106" t="n"/>
      <c r="BG721" s="106" t="n"/>
      <c r="BH721" s="106" t="n"/>
      <c r="BI721" s="106" t="n"/>
      <c r="BJ721" s="106" t="n"/>
      <c r="BK721" s="114" t="n"/>
      <c r="BL721" s="187" t="n"/>
      <c r="BM721" s="113" t="n">
        <f aca="false" ca="true" dt2D="false" dtr="false" t="normal">SUBTOTAL(9, BN721:CB721)</f>
        <v>530132.51</v>
      </c>
      <c r="BN721" s="106" t="n"/>
      <c r="BO721" s="106" t="n"/>
      <c r="BP721" s="106" t="n"/>
      <c r="BQ721" s="106" t="n">
        <v>530132.51</v>
      </c>
      <c r="BR721" s="106" t="n"/>
      <c r="BS721" s="106" t="n"/>
      <c r="BT721" s="106" t="n"/>
      <c r="BU721" s="106" t="n"/>
      <c r="BV721" s="106" t="n"/>
      <c r="BW721" s="106" t="n"/>
      <c r="BX721" s="106" t="n"/>
      <c r="BY721" s="106" t="n"/>
      <c r="BZ721" s="106" t="n"/>
      <c r="CA721" s="114" t="n"/>
      <c r="CB721" s="115" t="n"/>
      <c r="CD721" s="116" t="e">
        <f aca="false" ca="false" dt2D="false" dtr="false" t="normal">+CD720+1</f>
        <v>#REF!</v>
      </c>
      <c r="CE721" s="117" t="e">
        <f aca="false" ca="false" dt2D="false" dtr="false" t="normal">+CE720+1</f>
        <v>#REF!</v>
      </c>
      <c r="CF721" s="104" t="s">
        <v>404</v>
      </c>
      <c r="CG721" s="117" t="s">
        <v>680</v>
      </c>
      <c r="CH721" s="108" t="n">
        <f aca="false" ca="true" dt2D="false" dtr="false" t="normal">SUBTOTAL(9, CI721:CW721)</f>
        <v>530132.51</v>
      </c>
      <c r="CI721" s="106" t="n"/>
      <c r="CJ721" s="114" t="n"/>
      <c r="CK721" s="114" t="n"/>
      <c r="CL721" s="114" t="n">
        <v>530132.51</v>
      </c>
      <c r="CM721" s="114" t="n"/>
      <c r="CN721" s="114" t="n"/>
      <c r="CO721" s="106" t="n"/>
      <c r="CP721" s="114" t="n"/>
      <c r="CQ721" s="114" t="n"/>
      <c r="CR721" s="114" t="n"/>
      <c r="CS721" s="114" t="n"/>
      <c r="CT721" s="114" t="n"/>
      <c r="CU721" s="114" t="n"/>
      <c r="CV721" s="114" t="n"/>
      <c r="CW721" s="115" t="n"/>
      <c r="CX721" s="3" t="n">
        <f aca="false" ca="false" dt2D="false" dtr="false" t="normal">+N721-CH721</f>
        <v>0</v>
      </c>
      <c r="CZ721" s="117" t="s">
        <v>680</v>
      </c>
      <c r="DA721" s="113" t="n">
        <f aca="false" ca="true" dt2D="false" dtr="false" t="normal">SUBTOTAL(9, DB721:DP721)</f>
        <v>530132.51</v>
      </c>
      <c r="DB721" s="106" t="n"/>
      <c r="DC721" s="114" t="n"/>
      <c r="DD721" s="114" t="n"/>
      <c r="DE721" s="114" t="n">
        <v>530132.51</v>
      </c>
      <c r="DF721" s="114" t="n"/>
      <c r="DG721" s="114" t="n"/>
      <c r="DH721" s="106" t="n"/>
      <c r="DI721" s="114" t="n"/>
      <c r="DJ721" s="114" t="n"/>
      <c r="DK721" s="114" t="n"/>
      <c r="DL721" s="114" t="n"/>
      <c r="DM721" s="114" t="n"/>
      <c r="DN721" s="114" t="n"/>
      <c r="DO721" s="114" t="n"/>
      <c r="DP721" s="115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</row>
    <row customFormat="true" hidden="false" ht="15" outlineLevel="0" r="722" s="1">
      <c r="A722" s="183" t="n">
        <f aca="false" ca="false" dt2D="false" dtr="false" t="normal">+A721+1</f>
        <v>700</v>
      </c>
      <c r="B722" s="117" t="n">
        <f aca="false" ca="false" dt2D="false" dtr="false" t="normal">+B721+1</f>
        <v>240</v>
      </c>
      <c r="C722" s="104" t="s">
        <v>215</v>
      </c>
      <c r="D722" s="104" t="s">
        <v>681</v>
      </c>
      <c r="E722" s="105" t="n">
        <v>1976</v>
      </c>
      <c r="F722" s="105" t="n">
        <v>1976</v>
      </c>
      <c r="G722" s="105" t="s">
        <v>68</v>
      </c>
      <c r="H722" s="105" t="n">
        <v>3</v>
      </c>
      <c r="I722" s="105" t="n">
        <v>4</v>
      </c>
      <c r="J722" s="106" t="n">
        <v>2192.3</v>
      </c>
      <c r="K722" s="106" t="n">
        <v>2028.1</v>
      </c>
      <c r="L722" s="106" t="n">
        <v>0</v>
      </c>
      <c r="M722" s="107" t="n">
        <v>85</v>
      </c>
      <c r="N722" s="108" t="n">
        <f aca="false" ca="false" dt2D="false" dtr="false" t="normal">SUM(P722:T722)</f>
        <v>1825581.15</v>
      </c>
      <c r="O722" s="106" t="n"/>
      <c r="P722" s="114" t="n"/>
      <c r="Q722" s="114" t="n"/>
      <c r="R722" s="113" t="n">
        <v>1127247.27</v>
      </c>
      <c r="S722" s="113" t="n">
        <v>698333.88</v>
      </c>
      <c r="T722" s="190" t="n"/>
      <c r="U722" s="106" t="n">
        <v>1491.92414071481</v>
      </c>
      <c r="V722" s="106" t="n">
        <v>1491.92414071481</v>
      </c>
      <c r="W722" s="110" t="n">
        <v>2024</v>
      </c>
      <c r="X722" s="9" t="e">
        <f aca="false" ca="false" dt2D="false" dtr="false" t="normal">+#REF!-'[9]Приложение №1'!$P688</f>
        <v>#REF!</v>
      </c>
      <c r="Z722" s="113" t="n">
        <f aca="false" ca="false" dt2D="false" dtr="false" t="normal">SUM(AA722:AO722)</f>
        <v>31013862.251715004</v>
      </c>
      <c r="AA722" s="106" t="n">
        <v>0</v>
      </c>
      <c r="AB722" s="106" t="n">
        <v>0</v>
      </c>
      <c r="AC722" s="106" t="n">
        <v>0</v>
      </c>
      <c r="AD722" s="106" t="n">
        <v>0</v>
      </c>
      <c r="AE722" s="106" t="n">
        <v>0</v>
      </c>
      <c r="AF722" s="106" t="n"/>
      <c r="AG722" s="106" t="n">
        <v>0</v>
      </c>
      <c r="AH722" s="106" t="n">
        <v>0</v>
      </c>
      <c r="AI722" s="106" t="n"/>
      <c r="AJ722" s="106" t="n">
        <v>0</v>
      </c>
      <c r="AK722" s="106" t="n">
        <v>0</v>
      </c>
      <c r="AL722" s="106" t="n">
        <v>23285097.5474313</v>
      </c>
      <c r="AM722" s="106" t="n">
        <v>5902452.2175</v>
      </c>
      <c r="AN722" s="114" t="n">
        <v>626122.287</v>
      </c>
      <c r="AO722" s="115" t="n">
        <v>1200190.1997837</v>
      </c>
      <c r="AP722" s="112" t="n">
        <f aca="false" ca="false" dt2D="false" dtr="false" t="normal">+N722-'Приложение №2'!E722</f>
        <v>0</v>
      </c>
      <c r="AQ722" s="1" t="n">
        <v>920381.07</v>
      </c>
      <c r="AR722" s="3" t="n">
        <f aca="false" ca="false" dt2D="false" dtr="false" t="normal">+(K722*10+L722*20)*12*0.85</f>
        <v>206866.19999999998</v>
      </c>
      <c r="AS722" s="3" t="n">
        <f aca="false" ca="false" dt2D="false" dtr="false" t="normal">+(K722*10+L722*20)*12*30</f>
        <v>7301160</v>
      </c>
      <c r="AT722" s="9" t="n">
        <f aca="false" ca="false" dt2D="false" dtr="false" t="normal">+S722-AS722</f>
        <v>-6602826.12</v>
      </c>
      <c r="AU722" s="9" t="e">
        <f aca="false" ca="false" dt2D="false" dtr="false" t="normal">+P722-'[5]Приложение №1'!$P363</f>
        <v>#REF!</v>
      </c>
      <c r="AV722" s="9" t="e">
        <f aca="false" ca="false" dt2D="false" dtr="false" t="normal">+Q722-'[5]Приложение №1'!$Q363</f>
        <v>#REF!</v>
      </c>
      <c r="AW722" s="113" t="n">
        <f aca="false" ca="true" dt2D="false" dtr="false" t="normal">SUBTOTAL(9, AX722:BL722)</f>
        <v>3025771.3497837</v>
      </c>
      <c r="AX722" s="106" t="n">
        <v>0</v>
      </c>
      <c r="AY722" s="106" t="n">
        <v>0</v>
      </c>
      <c r="AZ722" s="106" t="n">
        <v>0</v>
      </c>
      <c r="BA722" s="106" t="n">
        <v>0</v>
      </c>
      <c r="BB722" s="106" t="n">
        <v>0</v>
      </c>
      <c r="BC722" s="106" t="n"/>
      <c r="BD722" s="106" t="n"/>
      <c r="BE722" s="106" t="n">
        <v>0</v>
      </c>
      <c r="BF722" s="106" t="n"/>
      <c r="BG722" s="106" t="n">
        <v>0</v>
      </c>
      <c r="BH722" s="106" t="n">
        <v>0</v>
      </c>
      <c r="BI722" s="106" t="n">
        <v>1825581.15</v>
      </c>
      <c r="BJ722" s="106" t="n"/>
      <c r="BK722" s="114" t="n"/>
      <c r="BL722" s="187" t="n">
        <v>1200190.1997837</v>
      </c>
      <c r="BM722" s="113" t="n">
        <f aca="false" ca="true" dt2D="false" dtr="false" t="normal">SUBTOTAL(9, BN722:CB722)</f>
        <v>3025771.3497837</v>
      </c>
      <c r="BN722" s="106" t="n">
        <v>0</v>
      </c>
      <c r="BO722" s="106" t="n">
        <v>0</v>
      </c>
      <c r="BP722" s="106" t="n">
        <v>0</v>
      </c>
      <c r="BQ722" s="106" t="n">
        <v>0</v>
      </c>
      <c r="BR722" s="106" t="n">
        <v>0</v>
      </c>
      <c r="BS722" s="106" t="n"/>
      <c r="BT722" s="106" t="n"/>
      <c r="BU722" s="106" t="n">
        <v>0</v>
      </c>
      <c r="BV722" s="106" t="n"/>
      <c r="BW722" s="106" t="n">
        <v>0</v>
      </c>
      <c r="BX722" s="106" t="n">
        <v>0</v>
      </c>
      <c r="BY722" s="106" t="n">
        <v>1825581.15</v>
      </c>
      <c r="BZ722" s="106" t="n"/>
      <c r="CA722" s="114" t="n"/>
      <c r="CB722" s="115" t="n">
        <v>1200190.1997837</v>
      </c>
      <c r="CD722" s="116" t="e">
        <f aca="false" ca="false" dt2D="false" dtr="false" t="normal">+CD721+1</f>
        <v>#REF!</v>
      </c>
      <c r="CE722" s="117" t="e">
        <f aca="false" ca="false" dt2D="false" dtr="false" t="normal">+CE721+1</f>
        <v>#REF!</v>
      </c>
      <c r="CF722" s="104" t="s">
        <v>215</v>
      </c>
      <c r="CG722" s="117" t="s">
        <v>681</v>
      </c>
      <c r="CH722" s="108" t="n">
        <f aca="false" ca="true" dt2D="false" dtr="false" t="normal">SUBTOTAL(9, CI722:CW722)</f>
        <v>3025771.3499999996</v>
      </c>
      <c r="CI722" s="106" t="n">
        <v>0</v>
      </c>
      <c r="CJ722" s="114" t="n">
        <v>0</v>
      </c>
      <c r="CK722" s="114" t="n">
        <v>0</v>
      </c>
      <c r="CL722" s="114" t="n">
        <v>0</v>
      </c>
      <c r="CM722" s="114" t="n">
        <v>0</v>
      </c>
      <c r="CN722" s="114" t="n"/>
      <c r="CO722" s="106" t="n"/>
      <c r="CP722" s="114" t="n">
        <v>0</v>
      </c>
      <c r="CQ722" s="114" t="n"/>
      <c r="CR722" s="114" t="n">
        <v>0</v>
      </c>
      <c r="CS722" s="114" t="n">
        <v>0</v>
      </c>
      <c r="CT722" s="114" t="n">
        <v>1825581.15</v>
      </c>
      <c r="CU722" s="114" t="n"/>
      <c r="CV722" s="114" t="n"/>
      <c r="CW722" s="115" t="n">
        <v>1200190.2</v>
      </c>
      <c r="CX722" s="3" t="n">
        <f aca="false" ca="false" dt2D="false" dtr="false" t="normal">+N722-CH722</f>
        <v>-1200190.1999999997</v>
      </c>
      <c r="CZ722" s="117" t="s">
        <v>681</v>
      </c>
      <c r="DA722" s="113" t="n">
        <f aca="false" ca="true" dt2D="false" dtr="false" t="normal">SUBTOTAL(9, DB722:DP722)</f>
        <v>1825581.15</v>
      </c>
      <c r="DB722" s="106" t="n">
        <v>0</v>
      </c>
      <c r="DC722" s="114" t="n">
        <v>0</v>
      </c>
      <c r="DD722" s="114" t="n">
        <v>0</v>
      </c>
      <c r="DE722" s="114" t="n">
        <v>0</v>
      </c>
      <c r="DF722" s="114" t="n">
        <v>0</v>
      </c>
      <c r="DG722" s="114" t="n"/>
      <c r="DH722" s="106" t="n"/>
      <c r="DI722" s="114" t="n">
        <v>0</v>
      </c>
      <c r="DJ722" s="114" t="n"/>
      <c r="DK722" s="114" t="n">
        <v>0</v>
      </c>
      <c r="DL722" s="114" t="n">
        <v>0</v>
      </c>
      <c r="DM722" s="114" t="n">
        <v>1825581.15</v>
      </c>
      <c r="DN722" s="114" t="n"/>
      <c r="DO722" s="114" t="n"/>
      <c r="DP722" s="240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</row>
    <row customFormat="true" hidden="false" ht="15" outlineLevel="0" r="723" s="1">
      <c r="A723" s="183" t="n">
        <f aca="false" ca="false" dt2D="false" dtr="false" t="normal">+A722+1</f>
        <v>701</v>
      </c>
      <c r="B723" s="117" t="n">
        <f aca="false" ca="false" dt2D="false" dtr="false" t="normal">+B722+1</f>
        <v>241</v>
      </c>
      <c r="C723" s="117" t="s">
        <v>215</v>
      </c>
      <c r="D723" s="117" t="s">
        <v>682</v>
      </c>
      <c r="E723" s="201" t="s">
        <v>683</v>
      </c>
      <c r="F723" s="201" t="n"/>
      <c r="G723" s="201" t="s">
        <v>68</v>
      </c>
      <c r="H723" s="201" t="s">
        <v>187</v>
      </c>
      <c r="I723" s="201" t="s">
        <v>105</v>
      </c>
      <c r="J723" s="114" t="n">
        <v>2391.4</v>
      </c>
      <c r="K723" s="114" t="n">
        <v>1852</v>
      </c>
      <c r="L723" s="114" t="n">
        <v>0</v>
      </c>
      <c r="M723" s="202" t="n">
        <v>60</v>
      </c>
      <c r="N723" s="108" t="n">
        <f aca="false" ca="false" dt2D="false" dtr="false" t="normal">SUM(P723:T723)</f>
        <v>7913665.7299999995</v>
      </c>
      <c r="O723" s="114" t="n"/>
      <c r="P723" s="114" t="n"/>
      <c r="Q723" s="113" t="n">
        <v>1000000</v>
      </c>
      <c r="R723" s="113" t="n">
        <v>1216932.59</v>
      </c>
      <c r="S723" s="113" t="n">
        <v>5696733.14</v>
      </c>
      <c r="T723" s="114" t="n"/>
      <c r="U723" s="114" t="n">
        <v>4357.90346055823</v>
      </c>
      <c r="V723" s="114" t="n">
        <v>4357.90346055823</v>
      </c>
      <c r="W723" s="110" t="n">
        <v>2024</v>
      </c>
      <c r="X723" s="9" t="n"/>
      <c r="Z723" s="113" t="n"/>
      <c r="AA723" s="106" t="n"/>
      <c r="AB723" s="106" t="n"/>
      <c r="AC723" s="106" t="n"/>
      <c r="AD723" s="106" t="n"/>
      <c r="AE723" s="106" t="n"/>
      <c r="AF723" s="106" t="n"/>
      <c r="AG723" s="106" t="n"/>
      <c r="AH723" s="106" t="n"/>
      <c r="AI723" s="106" t="n"/>
      <c r="AJ723" s="106" t="n"/>
      <c r="AK723" s="106" t="n"/>
      <c r="AL723" s="106" t="n"/>
      <c r="AM723" s="106" t="n"/>
      <c r="AN723" s="114" t="n"/>
      <c r="AO723" s="115" t="n"/>
      <c r="AP723" s="112" t="n">
        <f aca="false" ca="false" dt2D="false" dtr="false" t="normal">+N723-'Приложение №2'!E723</f>
        <v>0</v>
      </c>
      <c r="AQ723" s="121" t="n">
        <v>1018583.39</v>
      </c>
      <c r="AR723" s="3" t="n">
        <f aca="false" ca="false" dt2D="false" dtr="false" t="normal">+(K723*10.5+L723*21)*12*0.85</f>
        <v>198349.19999999998</v>
      </c>
      <c r="AS723" s="3" t="n">
        <f aca="false" ca="false" dt2D="false" dtr="false" t="normal">+(K723*10.5+L723*21)*12*30</f>
        <v>7000560</v>
      </c>
      <c r="AT723" s="9" t="n"/>
      <c r="AU723" s="9" t="n"/>
      <c r="AV723" s="9" t="n"/>
      <c r="AW723" s="186" t="n">
        <f aca="false" ca="true" dt2D="false" dtr="false" t="normal">SUBTOTAL(9, AX723:BL723)</f>
        <v>8070837.208953833</v>
      </c>
      <c r="AX723" s="106" t="n">
        <v>7187290.37634082</v>
      </c>
      <c r="AY723" s="106" t="n"/>
      <c r="AZ723" s="106" t="n"/>
      <c r="BA723" s="106" t="n"/>
      <c r="BB723" s="106" t="n"/>
      <c r="BC723" s="106" t="n"/>
      <c r="BD723" s="106" t="n"/>
      <c r="BE723" s="106" t="n"/>
      <c r="BF723" s="106" t="n"/>
      <c r="BG723" s="106" t="n"/>
      <c r="BH723" s="106" t="n"/>
      <c r="BI723" s="106" t="n"/>
      <c r="BJ723" s="106" t="n">
        <v>645666.976716307</v>
      </c>
      <c r="BK723" s="114" t="n">
        <v>80708.3720895383</v>
      </c>
      <c r="BL723" s="115" t="n">
        <v>157171.483807167</v>
      </c>
      <c r="BM723" s="186" t="n">
        <f aca="false" ca="true" dt2D="false" dtr="false" t="normal">SUBTOTAL(9, BN723:CB723)</f>
        <v>8070837.208953833</v>
      </c>
      <c r="BN723" s="106" t="n">
        <v>7187290.37634082</v>
      </c>
      <c r="BO723" s="106" t="n"/>
      <c r="BP723" s="106" t="n"/>
      <c r="BQ723" s="106" t="n"/>
      <c r="BR723" s="106" t="n"/>
      <c r="BS723" s="106" t="n"/>
      <c r="BT723" s="106" t="n"/>
      <c r="BU723" s="106" t="n"/>
      <c r="BV723" s="106" t="n"/>
      <c r="BW723" s="106" t="n"/>
      <c r="BX723" s="106" t="n"/>
      <c r="BY723" s="106" t="n"/>
      <c r="BZ723" s="106" t="n">
        <v>645666.976716307</v>
      </c>
      <c r="CA723" s="114" t="n">
        <v>80708.3720895383</v>
      </c>
      <c r="CB723" s="115" t="n">
        <v>157171.483807167</v>
      </c>
      <c r="CD723" s="116" t="e">
        <f aca="false" ca="false" dt2D="false" dtr="false" t="normal">+CD722+1</f>
        <v>#REF!</v>
      </c>
      <c r="CE723" s="117" t="e">
        <f aca="false" ca="false" dt2D="false" dtr="false" t="normal">+CE722+1</f>
        <v>#REF!</v>
      </c>
      <c r="CF723" s="104" t="s">
        <v>215</v>
      </c>
      <c r="CG723" s="104" t="s">
        <v>682</v>
      </c>
      <c r="CH723" s="232" t="n">
        <f aca="false" ca="true" dt2D="false" dtr="false" t="normal">SUBTOTAL(9, CI723:CW723)</f>
        <v>8070837.21</v>
      </c>
      <c r="CI723" s="106" t="n">
        <v>7187290.38</v>
      </c>
      <c r="CJ723" s="114" t="n"/>
      <c r="CK723" s="114" t="n"/>
      <c r="CL723" s="114" t="n"/>
      <c r="CM723" s="114" t="n"/>
      <c r="CN723" s="114" t="n"/>
      <c r="CO723" s="106" t="n"/>
      <c r="CP723" s="114" t="n"/>
      <c r="CQ723" s="114" t="n"/>
      <c r="CR723" s="114" t="n"/>
      <c r="CS723" s="114" t="n"/>
      <c r="CT723" s="114" t="n"/>
      <c r="CU723" s="114" t="n">
        <v>645666.98</v>
      </c>
      <c r="CV723" s="114" t="n">
        <v>80708.37</v>
      </c>
      <c r="CW723" s="115" t="n">
        <v>157171.48</v>
      </c>
      <c r="CX723" s="3" t="n">
        <f aca="false" ca="false" dt2D="false" dtr="false" t="normal">+N723-CH723</f>
        <v>-157171.48000000045</v>
      </c>
      <c r="CZ723" s="104" t="s">
        <v>682</v>
      </c>
      <c r="DA723" s="186" t="n">
        <f aca="false" ca="true" dt2D="false" dtr="false" t="normal">SUBTOTAL(9, DB723:DP723)</f>
        <v>7913665.7299999995</v>
      </c>
      <c r="DB723" s="106" t="n">
        <v>7187290.38</v>
      </c>
      <c r="DC723" s="114" t="n"/>
      <c r="DD723" s="114" t="n"/>
      <c r="DE723" s="114" t="n"/>
      <c r="DF723" s="114" t="n"/>
      <c r="DG723" s="114" t="n"/>
      <c r="DH723" s="106" t="n"/>
      <c r="DI723" s="114" t="n"/>
      <c r="DJ723" s="114" t="n"/>
      <c r="DK723" s="114" t="n"/>
      <c r="DL723" s="114" t="n"/>
      <c r="DM723" s="114" t="n"/>
      <c r="DN723" s="106" t="n">
        <v>645666.98</v>
      </c>
      <c r="DO723" s="106" t="n">
        <v>80708.37</v>
      </c>
      <c r="DP723" s="240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</row>
    <row customFormat="true" hidden="false" ht="15" outlineLevel="0" r="724" s="1">
      <c r="A724" s="183" t="n">
        <f aca="false" ca="false" dt2D="false" dtr="false" t="normal">+A723+1</f>
        <v>702</v>
      </c>
      <c r="B724" s="117" t="n">
        <f aca="false" ca="false" dt2D="false" dtr="false" t="normal">+B723+1</f>
        <v>242</v>
      </c>
      <c r="C724" s="117" t="s">
        <v>215</v>
      </c>
      <c r="D724" s="117" t="s">
        <v>684</v>
      </c>
      <c r="E724" s="201" t="n">
        <v>1974</v>
      </c>
      <c r="F724" s="201" t="n">
        <v>1974</v>
      </c>
      <c r="G724" s="201" t="s">
        <v>68</v>
      </c>
      <c r="H724" s="201" t="n">
        <v>2</v>
      </c>
      <c r="I724" s="201" t="n">
        <v>2</v>
      </c>
      <c r="J724" s="114" t="n">
        <v>473.3</v>
      </c>
      <c r="K724" s="114" t="n">
        <v>438.4</v>
      </c>
      <c r="L724" s="114" t="n">
        <v>0</v>
      </c>
      <c r="M724" s="202" t="n">
        <v>9</v>
      </c>
      <c r="N724" s="108" t="n">
        <f aca="false" ca="false" dt2D="false" dtr="false" t="normal">SUM(P724:T724)</f>
        <v>1385891.1</v>
      </c>
      <c r="O724" s="114" t="n"/>
      <c r="P724" s="113" t="n"/>
      <c r="Q724" s="114" t="n"/>
      <c r="R724" s="113" t="n">
        <v>34758.82</v>
      </c>
      <c r="S724" s="113" t="n">
        <v>677581.02</v>
      </c>
      <c r="T724" s="113" t="n">
        <v>673551.26</v>
      </c>
      <c r="U724" s="114" t="n">
        <v>3243.80385492701</v>
      </c>
      <c r="V724" s="114" t="n">
        <v>3243.80385492701</v>
      </c>
      <c r="W724" s="110" t="n">
        <v>2024</v>
      </c>
      <c r="X724" s="9" t="e">
        <f aca="false" ca="false" dt2D="false" dtr="false" t="normal">+#REF!-'[9]Приложение №1'!$P1765</f>
        <v>#REF!</v>
      </c>
      <c r="Z724" s="113" t="n">
        <f aca="false" ca="false" dt2D="false" dtr="false" t="normal">SUM(AA724:AO724)</f>
        <v>1576901.398524</v>
      </c>
      <c r="AA724" s="106" t="n"/>
      <c r="AB724" s="106" t="n"/>
      <c r="AC724" s="106" t="n">
        <v>758098.38</v>
      </c>
      <c r="AD724" s="106" t="n">
        <v>627792.72</v>
      </c>
      <c r="AE724" s="106" t="n">
        <v>0</v>
      </c>
      <c r="AF724" s="106" t="n"/>
      <c r="AG724" s="106" t="n">
        <v>154817.788524</v>
      </c>
      <c r="AH724" s="106" t="n">
        <v>0</v>
      </c>
      <c r="AI724" s="106" t="n"/>
      <c r="AJ724" s="106" t="n">
        <v>0</v>
      </c>
      <c r="AK724" s="106" t="n">
        <v>0</v>
      </c>
      <c r="AL724" s="106" t="n">
        <v>0</v>
      </c>
      <c r="AO724" s="115" t="n">
        <v>36192.51</v>
      </c>
      <c r="AP724" s="112" t="n">
        <f aca="false" ca="false" dt2D="false" dtr="false" t="normal">+N724-'Приложение №2'!E724</f>
        <v>0</v>
      </c>
      <c r="AQ724" s="1" t="n">
        <v>91395.82</v>
      </c>
      <c r="AR724" s="3" t="n">
        <f aca="false" ca="false" dt2D="false" dtr="false" t="normal">+(K724*10+L724*20)*12*0.85</f>
        <v>44716.799999999996</v>
      </c>
      <c r="AS724" s="3" t="n">
        <f aca="false" ca="false" dt2D="false" dtr="false" t="normal">+(K724*10+L724*20)*12*30-900658.98</f>
        <v>677581.02</v>
      </c>
      <c r="AT724" s="9" t="n">
        <f aca="false" ca="false" dt2D="false" dtr="false" t="normal">+S724-AS724</f>
        <v>0</v>
      </c>
      <c r="AU724" s="9" t="e">
        <f aca="false" ca="false" dt2D="false" dtr="false" t="normal">+P724-'[5]Приложение №1'!$P364</f>
        <v>#REF!</v>
      </c>
      <c r="AV724" s="9" t="e">
        <f aca="false" ca="false" dt2D="false" dtr="false" t="normal">+Q724-'[5]Приложение №1'!$Q364</f>
        <v>#REF!</v>
      </c>
      <c r="AW724" s="113" t="n">
        <f aca="false" ca="true" dt2D="false" dtr="false" t="normal">SUBTOTAL(9, AX724:BL724)</f>
        <v>1422083.61</v>
      </c>
      <c r="AX724" s="106" t="n"/>
      <c r="AY724" s="106" t="n"/>
      <c r="AZ724" s="106" t="n">
        <v>758098.38</v>
      </c>
      <c r="BA724" s="106" t="n">
        <v>627792.72</v>
      </c>
      <c r="BB724" s="106" t="n">
        <v>0</v>
      </c>
      <c r="BC724" s="106" t="n"/>
      <c r="BD724" s="106" t="n"/>
      <c r="BE724" s="106" t="n">
        <v>0</v>
      </c>
      <c r="BF724" s="106" t="n"/>
      <c r="BG724" s="106" t="n">
        <v>0</v>
      </c>
      <c r="BH724" s="106" t="n">
        <v>0</v>
      </c>
      <c r="BI724" s="106" t="n">
        <v>0</v>
      </c>
      <c r="BL724" s="115" t="n">
        <v>36192.51</v>
      </c>
      <c r="BM724" s="113" t="n">
        <f aca="false" ca="true" dt2D="false" dtr="false" t="normal">SUBTOTAL(9, BN724:CB724)</f>
        <v>1422083.61</v>
      </c>
      <c r="BN724" s="106" t="n"/>
      <c r="BO724" s="106" t="n"/>
      <c r="BP724" s="106" t="n">
        <v>758098.38</v>
      </c>
      <c r="BQ724" s="106" t="n">
        <v>627792.72</v>
      </c>
      <c r="BR724" s="106" t="n">
        <v>0</v>
      </c>
      <c r="BS724" s="106" t="n"/>
      <c r="BT724" s="106" t="n"/>
      <c r="BU724" s="106" t="n">
        <v>0</v>
      </c>
      <c r="BV724" s="106" t="n"/>
      <c r="BW724" s="106" t="n">
        <v>0</v>
      </c>
      <c r="BX724" s="106" t="n">
        <v>0</v>
      </c>
      <c r="BY724" s="106" t="n">
        <v>0</v>
      </c>
      <c r="CB724" s="115" t="n">
        <v>36192.51</v>
      </c>
      <c r="CD724" s="116" t="e">
        <f aca="false" ca="false" dt2D="false" dtr="false" t="normal">+CD723+1</f>
        <v>#REF!</v>
      </c>
      <c r="CE724" s="117" t="e">
        <f aca="false" ca="false" dt2D="false" dtr="false" t="normal">+CE723+1</f>
        <v>#REF!</v>
      </c>
      <c r="CF724" s="104" t="s">
        <v>215</v>
      </c>
      <c r="CG724" s="104" t="s">
        <v>684</v>
      </c>
      <c r="CH724" s="108" t="n">
        <f aca="false" ca="true" dt2D="false" dtr="false" t="normal">SUBTOTAL(9, CI724:CW724)</f>
        <v>1385891.1</v>
      </c>
      <c r="CI724" s="106" t="n"/>
      <c r="CJ724" s="114" t="n"/>
      <c r="CK724" s="114" t="n">
        <v>758098.38</v>
      </c>
      <c r="CL724" s="114" t="n">
        <v>627792.72</v>
      </c>
      <c r="CM724" s="114" t="n">
        <v>0</v>
      </c>
      <c r="CN724" s="114" t="n"/>
      <c r="CO724" s="106" t="n"/>
      <c r="CP724" s="114" t="n">
        <v>0</v>
      </c>
      <c r="CQ724" s="114" t="n"/>
      <c r="CR724" s="114" t="n">
        <v>0</v>
      </c>
      <c r="CS724" s="114" t="n">
        <v>0</v>
      </c>
      <c r="CT724" s="114" t="n">
        <v>0</v>
      </c>
      <c r="CU724" s="114" t="n"/>
      <c r="CV724" s="114" t="n"/>
      <c r="CW724" s="115" t="n"/>
      <c r="CX724" s="3" t="n">
        <f aca="false" ca="false" dt2D="false" dtr="false" t="normal">+N724-CH724</f>
        <v>0</v>
      </c>
      <c r="CZ724" s="104" t="s">
        <v>684</v>
      </c>
      <c r="DA724" s="113" t="n">
        <f aca="false" ca="true" dt2D="false" dtr="false" t="normal">SUBTOTAL(9, DB724:DP724)</f>
        <v>1385891.1</v>
      </c>
      <c r="DB724" s="106" t="n"/>
      <c r="DC724" s="114" t="n"/>
      <c r="DD724" s="114" t="n">
        <v>758098.38</v>
      </c>
      <c r="DE724" s="114" t="n">
        <v>627792.72</v>
      </c>
      <c r="DF724" s="114" t="n">
        <v>0</v>
      </c>
      <c r="DG724" s="114" t="n"/>
      <c r="DH724" s="106" t="n"/>
      <c r="DI724" s="114" t="n">
        <v>0</v>
      </c>
      <c r="DJ724" s="114" t="n"/>
      <c r="DK724" s="114" t="n">
        <v>0</v>
      </c>
      <c r="DL724" s="114" t="n">
        <v>0</v>
      </c>
      <c r="DM724" s="114" t="n">
        <v>0</v>
      </c>
      <c r="DN724" s="114" t="n"/>
      <c r="DO724" s="114" t="n"/>
      <c r="DP724" s="240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</row>
    <row customFormat="true" hidden="false" ht="15" outlineLevel="0" r="725" s="1">
      <c r="A725" s="183" t="n">
        <f aca="false" ca="false" dt2D="false" dtr="false" t="normal">+A724+1</f>
        <v>703</v>
      </c>
      <c r="B725" s="117" t="n">
        <f aca="false" ca="false" dt2D="false" dtr="false" t="normal">+B724+1</f>
        <v>243</v>
      </c>
      <c r="C725" s="117" t="s">
        <v>221</v>
      </c>
      <c r="D725" s="117" t="s">
        <v>409</v>
      </c>
      <c r="E725" s="201" t="n">
        <v>1972</v>
      </c>
      <c r="F725" s="201" t="n">
        <v>2013</v>
      </c>
      <c r="G725" s="201" t="s">
        <v>68</v>
      </c>
      <c r="H725" s="201" t="n">
        <v>4</v>
      </c>
      <c r="I725" s="201" t="n">
        <v>3</v>
      </c>
      <c r="J725" s="114" t="n">
        <v>1348.9</v>
      </c>
      <c r="K725" s="114" t="n">
        <v>1047.4</v>
      </c>
      <c r="L725" s="114" t="n">
        <v>182.5</v>
      </c>
      <c r="M725" s="202" t="n">
        <v>50</v>
      </c>
      <c r="N725" s="108" t="n">
        <f aca="false" ca="false" dt2D="false" dtr="false" t="normal">SUM(P725:T725)</f>
        <v>1041448.46</v>
      </c>
      <c r="O725" s="114" t="n"/>
      <c r="P725" s="114" t="n"/>
      <c r="Q725" s="114" t="n"/>
      <c r="R725" s="114" t="n"/>
      <c r="S725" s="113" t="n">
        <v>1041448.46</v>
      </c>
      <c r="T725" s="114" t="n">
        <v>0</v>
      </c>
      <c r="U725" s="114" t="n">
        <v>2310.24590133422</v>
      </c>
      <c r="V725" s="114" t="n">
        <v>1362.283020064</v>
      </c>
      <c r="W725" s="110" t="n">
        <v>2024</v>
      </c>
      <c r="X725" s="9" t="e">
        <f aca="false" ca="false" dt2D="false" dtr="false" t="normal">+#REF!-'[9]Приложение №1'!$P1167</f>
        <v>#REF!</v>
      </c>
      <c r="Z725" s="113" t="n">
        <f aca="false" ca="false" dt2D="false" dtr="false" t="normal">SUM(AA725:AO725)</f>
        <v>6001891.949999999</v>
      </c>
      <c r="AA725" s="106" t="n">
        <v>0</v>
      </c>
      <c r="AB725" s="106" t="n">
        <v>0</v>
      </c>
      <c r="AC725" s="106" t="n">
        <v>1189999.01255088</v>
      </c>
      <c r="AD725" s="106" t="n">
        <v>0</v>
      </c>
      <c r="AE725" s="106" t="n">
        <v>0</v>
      </c>
      <c r="AF725" s="106" t="n"/>
      <c r="AG725" s="106" t="n">
        <v>0</v>
      </c>
      <c r="AH725" s="106" t="n">
        <v>0</v>
      </c>
      <c r="AI725" s="106" t="n">
        <v>0</v>
      </c>
      <c r="AJ725" s="106" t="n">
        <v>764864.7916203</v>
      </c>
      <c r="AK725" s="106" t="n">
        <v>0</v>
      </c>
      <c r="AL725" s="106" t="n">
        <v>3272507.99724912</v>
      </c>
      <c r="AM725" s="106" t="n">
        <v>600189.195</v>
      </c>
      <c r="AN725" s="114" t="n">
        <v>60018.9195</v>
      </c>
      <c r="AO725" s="115" t="n">
        <v>114312.0340797</v>
      </c>
      <c r="AP725" s="112" t="n">
        <f aca="false" ca="false" dt2D="false" dtr="false" t="normal">+N725-'Приложение №2'!E725</f>
        <v>0</v>
      </c>
      <c r="AQ725" s="121" t="n">
        <f aca="false" ca="false" dt2D="false" dtr="false" t="normal">655483.31-R335</f>
        <v>230057.27035761403</v>
      </c>
      <c r="AR725" s="3" t="n">
        <f aca="false" ca="false" dt2D="false" dtr="false" t="normal">+(K725*10.5+L725*21)*12*0.85</f>
        <v>151268.04</v>
      </c>
      <c r="AS725" s="3" t="n">
        <f aca="false" ca="false" dt2D="false" dtr="false" t="normal">+(K725*10.5+L725*21)*12*30-S335</f>
        <v>5041242.139642387</v>
      </c>
      <c r="AT725" s="9" t="n">
        <f aca="false" ca="false" dt2D="false" dtr="false" t="normal">+S725-AS725</f>
        <v>-3999793.6796423867</v>
      </c>
      <c r="AU725" s="9" t="e">
        <f aca="false" ca="false" dt2D="false" dtr="false" t="normal">+P725-'[5]Приложение №1'!$P642</f>
        <v>#REF!</v>
      </c>
      <c r="AV725" s="9" t="e">
        <f aca="false" ca="false" dt2D="false" dtr="false" t="normal">+Q725-'[5]Приложение №1'!$Q642</f>
        <v>#REF!</v>
      </c>
      <c r="AW725" s="186" t="n">
        <f aca="false" ca="true" dt2D="false" dtr="false" t="normal">SUBTOTAL(9, AX725:BL725)</f>
        <v>2419751.55705746</v>
      </c>
      <c r="AX725" s="106" t="n">
        <v>0</v>
      </c>
      <c r="AY725" s="106" t="n">
        <v>0</v>
      </c>
      <c r="AZ725" s="106" t="n">
        <v>1257942.74</v>
      </c>
      <c r="BA725" s="106" t="n">
        <v>0</v>
      </c>
      <c r="BB725" s="106" t="n">
        <v>0</v>
      </c>
      <c r="BC725" s="106" t="n"/>
      <c r="BD725" s="106" t="n"/>
      <c r="BE725" s="106" t="n">
        <v>0</v>
      </c>
      <c r="BF725" s="106" t="n">
        <v>0</v>
      </c>
      <c r="BG725" s="106" t="n">
        <v>1041448.45836271</v>
      </c>
      <c r="BH725" s="106" t="n">
        <v>0</v>
      </c>
      <c r="BI725" s="106" t="n"/>
      <c r="BJ725" s="106" t="n"/>
      <c r="BK725" s="114" t="n"/>
      <c r="BL725" s="115" t="n">
        <v>120360.35869475</v>
      </c>
      <c r="BM725" s="186" t="n">
        <f aca="false" ca="true" dt2D="false" dtr="false" t="normal">SUBTOTAL(9, BN725:CB725)</f>
        <v>2419751.55705746</v>
      </c>
      <c r="BN725" s="106" t="n">
        <v>0</v>
      </c>
      <c r="BO725" s="106" t="n">
        <v>0</v>
      </c>
      <c r="BP725" s="106" t="n">
        <v>1257942.74</v>
      </c>
      <c r="BQ725" s="106" t="n">
        <v>0</v>
      </c>
      <c r="BR725" s="106" t="n">
        <v>0</v>
      </c>
      <c r="BS725" s="106" t="n"/>
      <c r="BT725" s="106" t="n"/>
      <c r="BU725" s="106" t="n">
        <v>0</v>
      </c>
      <c r="BV725" s="106" t="n">
        <v>0</v>
      </c>
      <c r="BW725" s="106" t="n">
        <v>1041448.45836271</v>
      </c>
      <c r="BX725" s="106" t="n">
        <v>0</v>
      </c>
      <c r="BY725" s="106" t="n"/>
      <c r="BZ725" s="106" t="n"/>
      <c r="CA725" s="114" t="n"/>
      <c r="CB725" s="115" t="n">
        <v>120360.35869475</v>
      </c>
      <c r="CD725" s="116" t="e">
        <f aca="false" ca="false" dt2D="false" dtr="false" t="normal">+CD724+1</f>
        <v>#REF!</v>
      </c>
      <c r="CE725" s="117" t="e">
        <f aca="false" ca="false" dt2D="false" dtr="false" t="normal">+CE724+1</f>
        <v>#REF!</v>
      </c>
      <c r="CF725" s="104" t="s">
        <v>221</v>
      </c>
      <c r="CG725" s="104" t="s">
        <v>409</v>
      </c>
      <c r="CH725" s="232" t="n">
        <f aca="false" ca="true" dt2D="false" dtr="false" t="normal">SUBTOTAL(9, CI725:CW725)</f>
        <v>1041448.46</v>
      </c>
      <c r="CI725" s="106" t="n">
        <v>0</v>
      </c>
      <c r="CJ725" s="114" t="n">
        <v>0</v>
      </c>
      <c r="CK725" s="114" t="n"/>
      <c r="CL725" s="114" t="n">
        <v>0</v>
      </c>
      <c r="CM725" s="114" t="n">
        <v>0</v>
      </c>
      <c r="CN725" s="114" t="n"/>
      <c r="CO725" s="106" t="n"/>
      <c r="CP725" s="114" t="n">
        <v>0</v>
      </c>
      <c r="CQ725" s="114" t="n">
        <v>0</v>
      </c>
      <c r="CR725" s="114" t="n">
        <v>1041448.46</v>
      </c>
      <c r="CS725" s="114" t="n">
        <v>0</v>
      </c>
      <c r="CT725" s="114" t="n"/>
      <c r="CU725" s="114" t="n"/>
      <c r="CV725" s="114" t="n"/>
      <c r="CW725" s="115" t="n"/>
      <c r="CX725" s="3" t="n">
        <f aca="false" ca="false" dt2D="false" dtr="false" t="normal">+N725-CH725</f>
        <v>0</v>
      </c>
      <c r="CZ725" s="104" t="s">
        <v>409</v>
      </c>
      <c r="DA725" s="186" t="n">
        <f aca="false" ca="true" dt2D="false" dtr="false" t="normal">SUBTOTAL(9, DB725:DP725)</f>
        <v>1041448.46</v>
      </c>
      <c r="DB725" s="106" t="n">
        <v>0</v>
      </c>
      <c r="DC725" s="114" t="n">
        <v>0</v>
      </c>
      <c r="DD725" s="114" t="n"/>
      <c r="DE725" s="114" t="n">
        <v>0</v>
      </c>
      <c r="DF725" s="114" t="n">
        <v>0</v>
      </c>
      <c r="DG725" s="114" t="n"/>
      <c r="DH725" s="106" t="n"/>
      <c r="DI725" s="114" t="n">
        <v>0</v>
      </c>
      <c r="DJ725" s="114" t="n">
        <v>0</v>
      </c>
      <c r="DK725" s="114" t="n">
        <v>1041448.46</v>
      </c>
      <c r="DL725" s="114" t="n">
        <v>0</v>
      </c>
      <c r="DM725" s="114" t="n"/>
      <c r="DN725" s="114" t="n"/>
      <c r="DO725" s="114" t="n"/>
      <c r="DP725" s="240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</row>
    <row customFormat="true" hidden="false" ht="15" outlineLevel="0" r="726" s="1">
      <c r="A726" s="183" t="n">
        <f aca="false" ca="false" dt2D="false" dtr="false" t="normal">+A725+1</f>
        <v>704</v>
      </c>
      <c r="B726" s="117" t="n">
        <f aca="false" ca="false" dt2D="false" dtr="false" t="normal">+B725+1</f>
        <v>244</v>
      </c>
      <c r="C726" s="117" t="s">
        <v>221</v>
      </c>
      <c r="D726" s="117" t="s">
        <v>685</v>
      </c>
      <c r="E726" s="201" t="n">
        <v>1972</v>
      </c>
      <c r="F726" s="201" t="n">
        <v>2013</v>
      </c>
      <c r="G726" s="201" t="s">
        <v>68</v>
      </c>
      <c r="H726" s="201" t="n">
        <v>4</v>
      </c>
      <c r="I726" s="201" t="n">
        <v>1</v>
      </c>
      <c r="J726" s="114" t="n">
        <v>1401</v>
      </c>
      <c r="K726" s="114" t="n">
        <v>1155.6</v>
      </c>
      <c r="L726" s="114" t="n">
        <v>81.1</v>
      </c>
      <c r="M726" s="202" t="n">
        <v>60</v>
      </c>
      <c r="N726" s="108" t="n">
        <f aca="false" ca="false" dt2D="false" dtr="false" t="normal">SUM(P726:T726)</f>
        <v>6106727.5200000005</v>
      </c>
      <c r="O726" s="114" t="n"/>
      <c r="P726" s="113" t="n">
        <v>12859.56</v>
      </c>
      <c r="Q726" s="114" t="n"/>
      <c r="R726" s="113" t="n">
        <v>778877.5</v>
      </c>
      <c r="S726" s="113" t="n">
        <v>5178611.52</v>
      </c>
      <c r="T726" s="114" t="n">
        <v>136378.94</v>
      </c>
      <c r="U726" s="114" t="n">
        <v>5399.27263390571</v>
      </c>
      <c r="V726" s="114" t="n">
        <v>1363.283020064</v>
      </c>
      <c r="W726" s="110" t="n">
        <v>2024</v>
      </c>
      <c r="X726" s="9" t="e">
        <f aca="false" ca="false" dt2D="false" dtr="false" t="normal">+#REF!-'[9]Приложение №1'!$P1168</f>
        <v>#REF!</v>
      </c>
      <c r="Z726" s="113" t="n">
        <f aca="false" ca="false" dt2D="false" dtr="false" t="normal">SUM(AA726:AO726)</f>
        <v>6803706.830000001</v>
      </c>
      <c r="AA726" s="106" t="n">
        <v>0</v>
      </c>
      <c r="AB726" s="106" t="n">
        <v>0</v>
      </c>
      <c r="AC726" s="106" t="n">
        <v>1348975.36970154</v>
      </c>
      <c r="AD726" s="106" t="n">
        <v>0</v>
      </c>
      <c r="AE726" s="106" t="n">
        <v>0</v>
      </c>
      <c r="AF726" s="106" t="n"/>
      <c r="AG726" s="106" t="n">
        <v>0</v>
      </c>
      <c r="AH726" s="106" t="n">
        <v>0</v>
      </c>
      <c r="AI726" s="106" t="n">
        <v>0</v>
      </c>
      <c r="AJ726" s="106" t="n">
        <v>867045.8987589</v>
      </c>
      <c r="AK726" s="106" t="n">
        <v>0</v>
      </c>
      <c r="AL726" s="106" t="n">
        <v>3709694.40995538</v>
      </c>
      <c r="AM726" s="106" t="n">
        <v>680370.683</v>
      </c>
      <c r="AN726" s="114" t="n">
        <v>68037.0683</v>
      </c>
      <c r="AO726" s="115" t="n">
        <v>129583.40028418</v>
      </c>
      <c r="AP726" s="112" t="n">
        <f aca="false" ca="false" dt2D="false" dtr="false" t="normal">+N726-'Приложение №2'!E726</f>
        <v>0</v>
      </c>
      <c r="AQ726" s="121" t="n">
        <v>637741.12</v>
      </c>
      <c r="AR726" s="3" t="n">
        <f aca="false" ca="false" dt2D="false" dtr="false" t="normal">+(K726*10.5+L726*21)*12*0.85</f>
        <v>141136.37999999998</v>
      </c>
      <c r="AS726" s="3" t="n">
        <f aca="false" ca="false" dt2D="false" dtr="false" t="normal">+(K726*10.5+L726*21)*12*30</f>
        <v>4981284</v>
      </c>
      <c r="AT726" s="9" t="n">
        <f aca="false" ca="false" dt2D="false" dtr="false" t="normal">+S726-AS726</f>
        <v>197327.51999999955</v>
      </c>
      <c r="AU726" s="9" t="e">
        <f aca="false" ca="false" dt2D="false" dtr="false" t="normal">+P726-'[5]Приложение №1'!$P643</f>
        <v>#REF!</v>
      </c>
      <c r="AV726" s="9" t="e">
        <f aca="false" ca="false" dt2D="false" dtr="false" t="normal">+Q726-'[5]Приложение №1'!$Q643</f>
        <v>#REF!</v>
      </c>
      <c r="AW726" s="186" t="n">
        <f aca="false" ca="true" dt2D="false" dtr="false" t="normal">SUBTOTAL(9, AX726:BL726)</f>
        <v>6239399.455741437</v>
      </c>
      <c r="AX726" s="106" t="n">
        <v>0</v>
      </c>
      <c r="AY726" s="106" t="n">
        <v>0</v>
      </c>
      <c r="AZ726" s="106" t="n">
        <v>1348975.36970154</v>
      </c>
      <c r="BA726" s="106" t="n">
        <v>0</v>
      </c>
      <c r="BB726" s="106" t="n">
        <v>0</v>
      </c>
      <c r="BC726" s="106" t="n"/>
      <c r="BD726" s="106" t="n"/>
      <c r="BE726" s="106" t="n">
        <v>0</v>
      </c>
      <c r="BF726" s="106" t="n">
        <v>0</v>
      </c>
      <c r="BG726" s="106" t="n">
        <v>1047206.52773165</v>
      </c>
      <c r="BH726" s="106" t="n">
        <v>0</v>
      </c>
      <c r="BI726" s="106" t="n">
        <v>3709694.40995538</v>
      </c>
      <c r="BJ726" s="106" t="n"/>
      <c r="BK726" s="114" t="n"/>
      <c r="BL726" s="115" t="n">
        <v>133523.148352867</v>
      </c>
      <c r="BM726" s="186" t="n">
        <f aca="false" ca="true" dt2D="false" dtr="false" t="normal">SUBTOTAL(9, BN726:CB726)</f>
        <v>6239399.455741437</v>
      </c>
      <c r="BN726" s="106" t="n">
        <v>0</v>
      </c>
      <c r="BO726" s="106" t="n">
        <v>0</v>
      </c>
      <c r="BP726" s="106" t="n">
        <v>1348975.36970154</v>
      </c>
      <c r="BQ726" s="106" t="n">
        <v>0</v>
      </c>
      <c r="BR726" s="106" t="n">
        <v>0</v>
      </c>
      <c r="BS726" s="106" t="n"/>
      <c r="BT726" s="106" t="n"/>
      <c r="BU726" s="106" t="n">
        <v>0</v>
      </c>
      <c r="BV726" s="106" t="n">
        <v>0</v>
      </c>
      <c r="BW726" s="106" t="n">
        <v>1047206.52773165</v>
      </c>
      <c r="BX726" s="106" t="n">
        <v>0</v>
      </c>
      <c r="BY726" s="106" t="n">
        <v>3709694.40995538</v>
      </c>
      <c r="BZ726" s="106" t="n"/>
      <c r="CA726" s="114" t="n"/>
      <c r="CB726" s="115" t="n">
        <v>133523.148352867</v>
      </c>
      <c r="CD726" s="116" t="e">
        <f aca="false" ca="false" dt2D="false" dtr="false" t="normal">+CD725+1</f>
        <v>#REF!</v>
      </c>
      <c r="CE726" s="117" t="e">
        <f aca="false" ca="false" dt2D="false" dtr="false" t="normal">+CE725+1</f>
        <v>#REF!</v>
      </c>
      <c r="CF726" s="104" t="s">
        <v>221</v>
      </c>
      <c r="CG726" s="104" t="s">
        <v>685</v>
      </c>
      <c r="CH726" s="232" t="n">
        <f aca="false" ca="true" dt2D="false" dtr="false" t="normal">SUBTOTAL(9, CI726:CW726)</f>
        <v>6240250.670000001</v>
      </c>
      <c r="CI726" s="106" t="n">
        <v>0</v>
      </c>
      <c r="CJ726" s="114" t="n">
        <v>0</v>
      </c>
      <c r="CK726" s="114" t="n">
        <v>1349826.58</v>
      </c>
      <c r="CL726" s="114" t="n">
        <v>0</v>
      </c>
      <c r="CM726" s="114" t="n">
        <v>0</v>
      </c>
      <c r="CN726" s="114" t="n"/>
      <c r="CO726" s="106" t="n"/>
      <c r="CP726" s="114" t="n">
        <v>0</v>
      </c>
      <c r="CQ726" s="114" t="n">
        <v>0</v>
      </c>
      <c r="CR726" s="114" t="n">
        <v>1047206.53</v>
      </c>
      <c r="CS726" s="114" t="n">
        <v>0</v>
      </c>
      <c r="CT726" s="114" t="n">
        <v>3709694.41</v>
      </c>
      <c r="CU726" s="114" t="n"/>
      <c r="CV726" s="114" t="n"/>
      <c r="CW726" s="115" t="n">
        <v>133523.15</v>
      </c>
      <c r="CX726" s="3" t="n">
        <f aca="false" ca="false" dt2D="false" dtr="false" t="normal">+N726-CH726</f>
        <v>-133523.15000000037</v>
      </c>
      <c r="CZ726" s="104" t="s">
        <v>685</v>
      </c>
      <c r="DA726" s="186" t="n">
        <f aca="false" ca="true" dt2D="false" dtr="false" t="normal">SUBTOTAL(9, DB726:DP726)</f>
        <v>6106727.5200000005</v>
      </c>
      <c r="DB726" s="106" t="n">
        <v>0</v>
      </c>
      <c r="DC726" s="114" t="n">
        <v>0</v>
      </c>
      <c r="DD726" s="114" t="n">
        <v>1349826.58</v>
      </c>
      <c r="DE726" s="114" t="n">
        <v>0</v>
      </c>
      <c r="DF726" s="114" t="n">
        <v>0</v>
      </c>
      <c r="DG726" s="114" t="n"/>
      <c r="DH726" s="106" t="n"/>
      <c r="DI726" s="114" t="n">
        <v>0</v>
      </c>
      <c r="DJ726" s="114" t="n">
        <v>0</v>
      </c>
      <c r="DK726" s="114" t="n">
        <v>1047206.53</v>
      </c>
      <c r="DL726" s="114" t="n">
        <v>0</v>
      </c>
      <c r="DM726" s="114" t="n">
        <v>3709694.41</v>
      </c>
      <c r="DN726" s="114" t="n"/>
      <c r="DO726" s="114" t="n"/>
      <c r="DP726" s="240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</row>
    <row customFormat="true" hidden="false" ht="15" outlineLevel="0" r="727" s="1">
      <c r="A727" s="183" t="n">
        <f aca="false" ca="false" dt2D="false" dtr="false" t="normal">+A726+1</f>
        <v>705</v>
      </c>
      <c r="B727" s="117" t="n">
        <f aca="false" ca="false" dt2D="false" dtr="false" t="normal">+B726+1</f>
        <v>245</v>
      </c>
      <c r="C727" s="117" t="s">
        <v>221</v>
      </c>
      <c r="D727" s="117" t="s">
        <v>223</v>
      </c>
      <c r="E727" s="201" t="n">
        <v>1973</v>
      </c>
      <c r="F727" s="201" t="n">
        <v>1973</v>
      </c>
      <c r="G727" s="201" t="s">
        <v>68</v>
      </c>
      <c r="H727" s="201" t="n">
        <v>4</v>
      </c>
      <c r="I727" s="201" t="n">
        <v>3</v>
      </c>
      <c r="J727" s="114" t="n">
        <v>1399</v>
      </c>
      <c r="K727" s="114" t="n">
        <v>1081.6</v>
      </c>
      <c r="L727" s="114" t="n">
        <v>197.9</v>
      </c>
      <c r="M727" s="202" t="n">
        <v>41</v>
      </c>
      <c r="N727" s="108" t="n">
        <f aca="false" ca="false" dt2D="false" dtr="false" t="normal">SUM(P727:T727)</f>
        <v>1722929.3499999999</v>
      </c>
      <c r="O727" s="114" t="n"/>
      <c r="P727" s="114" t="n"/>
      <c r="Q727" s="114" t="n"/>
      <c r="R727" s="113" t="n">
        <v>402664.44</v>
      </c>
      <c r="S727" s="113" t="n">
        <v>1320264.91</v>
      </c>
      <c r="T727" s="114" t="n">
        <v>0</v>
      </c>
      <c r="U727" s="114" t="n">
        <v>1627.7795214497</v>
      </c>
      <c r="V727" s="114" t="n">
        <v>1361.283020064</v>
      </c>
      <c r="W727" s="110" t="n">
        <v>2024</v>
      </c>
      <c r="X727" s="9" t="e">
        <f aca="false" ca="false" dt2D="false" dtr="false" t="normal">+#REF!-'[9]Приложение №1'!$P474</f>
        <v>#REF!</v>
      </c>
      <c r="Z727" s="113" t="n">
        <f aca="false" ca="false" dt2D="false" dtr="false" t="normal">SUM(AA727:AO727)</f>
        <v>7079219.8</v>
      </c>
      <c r="AA727" s="106" t="n">
        <v>3593692.25738796</v>
      </c>
      <c r="AB727" s="106" t="n">
        <v>1296470.75263692</v>
      </c>
      <c r="AC727" s="106" t="n">
        <v>1354494.03907944</v>
      </c>
      <c r="AD727" s="106" t="n">
        <v>0</v>
      </c>
      <c r="AE727" s="106" t="n">
        <v>0</v>
      </c>
      <c r="AF727" s="106" t="n"/>
      <c r="AG727" s="106" t="n">
        <v>0</v>
      </c>
      <c r="AH727" s="106" t="n">
        <v>0</v>
      </c>
      <c r="AI727" s="106" t="n">
        <v>0</v>
      </c>
      <c r="AJ727" s="106" t="n">
        <v>0</v>
      </c>
      <c r="AK727" s="106" t="n">
        <v>0</v>
      </c>
      <c r="AL727" s="106" t="n">
        <v>0</v>
      </c>
      <c r="AM727" s="106" t="n">
        <v>627212.5508</v>
      </c>
      <c r="AN727" s="114" t="n">
        <v>70792.198</v>
      </c>
      <c r="AO727" s="115" t="n">
        <v>136558.00209568</v>
      </c>
      <c r="AP727" s="112" t="n">
        <f aca="false" ca="false" dt2D="false" dtr="false" t="normal">+N727-'Приложение №2'!E727</f>
        <v>0</v>
      </c>
      <c r="AQ727" s="9" t="n">
        <f aca="false" ca="false" dt2D="false" dtr="false" t="normal">569860.72-R149</f>
        <v>244434.89999999997</v>
      </c>
      <c r="AR727" s="3" t="n">
        <f aca="false" ca="false" dt2D="false" dtr="false" t="normal">+(K727*10.5+L727*21)*12*0.85</f>
        <v>158229.54</v>
      </c>
      <c r="AS727" s="3" t="n">
        <f aca="false" ca="false" dt2D="false" dtr="false" t="normal">+(K727*10.5+L727*21)*12*30-S149</f>
        <v>3828969.670000001</v>
      </c>
      <c r="AT727" s="9" t="n">
        <f aca="false" ca="false" dt2D="false" dtr="false" t="normal">+S727-AS727</f>
        <v>-2508704.7600000007</v>
      </c>
      <c r="AU727" s="9" t="e">
        <f aca="false" ca="false" dt2D="false" dtr="false" t="normal">+P727-'[5]Приложение №1'!$P641</f>
        <v>#REF!</v>
      </c>
      <c r="AV727" s="9" t="e">
        <f aca="false" ca="false" dt2D="false" dtr="false" t="normal">+Q727-'[5]Приложение №1'!$Q641</f>
        <v>#REF!</v>
      </c>
      <c r="AW727" s="186" t="n">
        <f aca="false" ca="true" dt2D="false" dtr="false" t="normal">SUBTOTAL(9, AX727:BL727)</f>
        <v>1760606.3303999999</v>
      </c>
      <c r="AX727" s="106" t="n"/>
      <c r="AY727" s="106" t="n"/>
      <c r="AZ727" s="106" t="n">
        <v>1722929.35492944</v>
      </c>
      <c r="BA727" s="106" t="n">
        <v>0</v>
      </c>
      <c r="BB727" s="106" t="n">
        <v>0</v>
      </c>
      <c r="BC727" s="106" t="n"/>
      <c r="BD727" s="106" t="n"/>
      <c r="BE727" s="106" t="n">
        <v>0</v>
      </c>
      <c r="BF727" s="106" t="n">
        <v>0</v>
      </c>
      <c r="BG727" s="106" t="n">
        <v>0</v>
      </c>
      <c r="BH727" s="106" t="n">
        <v>0</v>
      </c>
      <c r="BI727" s="106" t="n">
        <v>0</v>
      </c>
      <c r="BJ727" s="106" t="n"/>
      <c r="BK727" s="114" t="n"/>
      <c r="BL727" s="115" t="n">
        <v>37676.97547056</v>
      </c>
      <c r="BM727" s="186" t="n">
        <f aca="false" ca="true" dt2D="false" dtr="false" t="normal">SUBTOTAL(9, BN727:CB727)</f>
        <v>1760606.3303999999</v>
      </c>
      <c r="BN727" s="106" t="n"/>
      <c r="BO727" s="106" t="n"/>
      <c r="BP727" s="106" t="n">
        <v>1722929.35492944</v>
      </c>
      <c r="BQ727" s="106" t="n">
        <v>0</v>
      </c>
      <c r="BR727" s="106" t="n">
        <v>0</v>
      </c>
      <c r="BS727" s="106" t="n"/>
      <c r="BT727" s="106" t="n"/>
      <c r="BU727" s="106" t="n">
        <v>0</v>
      </c>
      <c r="BV727" s="106" t="n">
        <v>0</v>
      </c>
      <c r="BW727" s="106" t="n">
        <v>0</v>
      </c>
      <c r="BX727" s="106" t="n">
        <v>0</v>
      </c>
      <c r="BY727" s="106" t="n">
        <v>0</v>
      </c>
      <c r="BZ727" s="106" t="n"/>
      <c r="CA727" s="114" t="n"/>
      <c r="CB727" s="115" t="n">
        <v>37676.97547056</v>
      </c>
      <c r="CD727" s="116" t="e">
        <f aca="false" ca="false" dt2D="false" dtr="false" t="normal">+CD726+1</f>
        <v>#REF!</v>
      </c>
      <c r="CE727" s="117" t="e">
        <f aca="false" ca="false" dt2D="false" dtr="false" t="normal">+CE726+1</f>
        <v>#REF!</v>
      </c>
      <c r="CF727" s="104" t="s">
        <v>221</v>
      </c>
      <c r="CG727" s="104" t="s">
        <v>223</v>
      </c>
      <c r="CH727" s="232" t="n">
        <f aca="false" ca="true" dt2D="false" dtr="false" t="normal">SUBTOTAL(9, CI727:CW727)</f>
        <v>1722929.35</v>
      </c>
      <c r="CI727" s="106" t="n"/>
      <c r="CJ727" s="114" t="n"/>
      <c r="CK727" s="114" t="n">
        <v>1722929.35</v>
      </c>
      <c r="CL727" s="114" t="n">
        <v>0</v>
      </c>
      <c r="CM727" s="114" t="n">
        <v>0</v>
      </c>
      <c r="CN727" s="114" t="n"/>
      <c r="CO727" s="106" t="n"/>
      <c r="CP727" s="114" t="n">
        <v>0</v>
      </c>
      <c r="CQ727" s="114" t="n">
        <v>0</v>
      </c>
      <c r="CR727" s="114" t="n">
        <v>0</v>
      </c>
      <c r="CS727" s="114" t="n">
        <v>0</v>
      </c>
      <c r="CT727" s="114" t="n">
        <v>0</v>
      </c>
      <c r="CU727" s="114" t="n"/>
      <c r="CV727" s="114" t="n"/>
      <c r="CW727" s="115" t="n"/>
      <c r="CX727" s="3" t="n">
        <f aca="false" ca="false" dt2D="false" dtr="false" t="normal">+N727-CH727</f>
        <v>0</v>
      </c>
      <c r="CZ727" s="104" t="s">
        <v>223</v>
      </c>
      <c r="DA727" s="186" t="n">
        <f aca="false" ca="true" dt2D="false" dtr="false" t="normal">SUBTOTAL(9, DB727:DP727)</f>
        <v>1722929.35</v>
      </c>
      <c r="DB727" s="106" t="n"/>
      <c r="DC727" s="114" t="n"/>
      <c r="DD727" s="114" t="n">
        <v>1722929.35</v>
      </c>
      <c r="DE727" s="114" t="n">
        <v>0</v>
      </c>
      <c r="DF727" s="114" t="n">
        <v>0</v>
      </c>
      <c r="DG727" s="114" t="n"/>
      <c r="DH727" s="106" t="n"/>
      <c r="DI727" s="114" t="n">
        <v>0</v>
      </c>
      <c r="DJ727" s="114" t="n">
        <v>0</v>
      </c>
      <c r="DK727" s="114" t="n">
        <v>0</v>
      </c>
      <c r="DL727" s="114" t="n">
        <v>0</v>
      </c>
      <c r="DM727" s="114" t="n">
        <v>0</v>
      </c>
      <c r="DN727" s="114" t="n"/>
      <c r="DO727" s="114" t="n"/>
      <c r="DP727" s="240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</row>
    <row customFormat="true" hidden="false" ht="15" outlineLevel="0" r="728" s="1">
      <c r="A728" s="183" t="n">
        <f aca="false" ca="false" dt2D="false" dtr="false" t="normal">+A727+1</f>
        <v>706</v>
      </c>
      <c r="B728" s="117" t="n">
        <f aca="false" ca="false" dt2D="false" dtr="false" t="normal">+B727+1</f>
        <v>246</v>
      </c>
      <c r="C728" s="104" t="s">
        <v>221</v>
      </c>
      <c r="D728" s="104" t="s">
        <v>413</v>
      </c>
      <c r="E728" s="105" t="n">
        <v>1975</v>
      </c>
      <c r="F728" s="105" t="n">
        <v>1975</v>
      </c>
      <c r="G728" s="105" t="s">
        <v>68</v>
      </c>
      <c r="H728" s="105" t="n">
        <v>5</v>
      </c>
      <c r="I728" s="105" t="n">
        <v>5</v>
      </c>
      <c r="J728" s="106" t="n">
        <v>3670.4</v>
      </c>
      <c r="K728" s="106" t="n">
        <v>2958</v>
      </c>
      <c r="L728" s="106" t="n">
        <v>417.2</v>
      </c>
      <c r="M728" s="107" t="n">
        <v>116</v>
      </c>
      <c r="N728" s="108" t="n">
        <f aca="false" ca="false" dt2D="false" dtr="false" t="normal">SUM(P728:T728)</f>
        <v>20939871.77</v>
      </c>
      <c r="O728" s="106" t="n"/>
      <c r="P728" s="114" t="n">
        <v>2265083.04</v>
      </c>
      <c r="Q728" s="114" t="n"/>
      <c r="R728" s="113" t="n">
        <v>1023193.59</v>
      </c>
      <c r="S728" s="113" t="n">
        <v>7162355.14</v>
      </c>
      <c r="T728" s="113" t="n">
        <v>10489240</v>
      </c>
      <c r="U728" s="114" t="n">
        <v>17616.2217731655</v>
      </c>
      <c r="V728" s="114" t="n">
        <v>1375.283020064</v>
      </c>
      <c r="W728" s="110" t="n">
        <v>2024</v>
      </c>
      <c r="X728" s="9" t="e">
        <f aca="false" ca="false" dt2D="false" dtr="false" t="normal">+#REF!-'[9]Приложение №1'!$P1889</f>
        <v>#REF!</v>
      </c>
      <c r="Z728" s="113" t="n">
        <f aca="false" ca="false" dt2D="false" dtr="false" t="normal">SUM(AA728:AO728)</f>
        <v>63008068.42</v>
      </c>
      <c r="AA728" s="106" t="n">
        <v>10289263.558588</v>
      </c>
      <c r="AB728" s="106" t="n">
        <v>3743156.061442</v>
      </c>
      <c r="AC728" s="106" t="n">
        <v>3946478.511262</v>
      </c>
      <c r="AD728" s="106" t="n">
        <v>2525477.515036</v>
      </c>
      <c r="AE728" s="106" t="n">
        <v>0</v>
      </c>
      <c r="AF728" s="106" t="n"/>
      <c r="AG728" s="106" t="n">
        <v>347116.720356</v>
      </c>
      <c r="AH728" s="106" t="n">
        <v>0</v>
      </c>
      <c r="AI728" s="106" t="n">
        <v>19311206.205424</v>
      </c>
      <c r="AJ728" s="106" t="n">
        <v>0</v>
      </c>
      <c r="AK728" s="106" t="n">
        <v>10034931.104254</v>
      </c>
      <c r="AL728" s="106" t="n">
        <v>10831078.675998</v>
      </c>
      <c r="AM728" s="106" t="n">
        <v>572156.82</v>
      </c>
      <c r="AN728" s="106" t="n">
        <v>72629</v>
      </c>
      <c r="AO728" s="115" t="n">
        <v>1334574.24764</v>
      </c>
      <c r="AP728" s="112" t="e">
        <f aca="false" ca="false" dt2D="false" dtr="false" t="normal">+N728-#REF!</f>
        <v>#REF!</v>
      </c>
      <c r="AQ728" s="121" t="n">
        <v>1791489.77</v>
      </c>
      <c r="AR728" s="3" t="n">
        <f aca="false" ca="false" dt2D="false" dtr="false" t="normal">+(K728*10.5+L728*21)*12*0.85</f>
        <v>406166.04</v>
      </c>
      <c r="AS728" s="3" t="n">
        <f aca="false" ca="false" dt2D="false" dtr="false" t="normal">+(K728*10.5+L728*21)*12*30</f>
        <v>14335271.999999998</v>
      </c>
      <c r="AT728" s="9" t="n">
        <f aca="false" ca="false" dt2D="false" dtr="false" t="normal">+S728-AS728</f>
        <v>-7172916.8599999985</v>
      </c>
      <c r="AU728" s="9" t="e">
        <f aca="false" ca="false" dt2D="false" dtr="false" t="normal">+P728-'[5]Приложение №1'!$P990</f>
        <v>#REF!</v>
      </c>
      <c r="AV728" s="9" t="e">
        <f aca="false" ca="false" dt2D="false" dtr="false" t="normal">+Q728-'[5]Приложение №1'!$Q990</f>
        <v>#REF!</v>
      </c>
      <c r="AW728" s="186" t="n">
        <f aca="false" ca="true" dt2D="false" dtr="false" t="normal">SUBTOTAL(9, AX728:BL728)</f>
        <v>52108784.00502341</v>
      </c>
      <c r="AX728" s="106" t="n">
        <v>10289258.887333</v>
      </c>
      <c r="AY728" s="106" t="n">
        <v>3743163.2397435</v>
      </c>
      <c r="AZ728" s="106" t="n">
        <v>3946494.73677818</v>
      </c>
      <c r="BA728" s="106" t="n">
        <v>2525483.22419293</v>
      </c>
      <c r="BB728" s="106" t="n">
        <v>0</v>
      </c>
      <c r="BC728" s="106" t="n"/>
      <c r="BD728" s="106" t="n">
        <v>347129.279308192</v>
      </c>
      <c r="BE728" s="106" t="n">
        <v>0</v>
      </c>
      <c r="BF728" s="106" t="n">
        <v>19311208.0205521</v>
      </c>
      <c r="BG728" s="106" t="n">
        <v>0</v>
      </c>
      <c r="BH728" s="106" t="n"/>
      <c r="BI728" s="106" t="n">
        <v>10831087.3864405</v>
      </c>
      <c r="BJ728" s="106" t="n"/>
      <c r="BK728" s="106" t="n"/>
      <c r="BL728" s="187" t="n">
        <v>1114959.23067501</v>
      </c>
      <c r="BM728" s="186" t="n">
        <f aca="false" ca="true" dt2D="false" dtr="false" t="normal">SUBTOTAL(9, BN728:CB728)</f>
        <v>52108784.00502341</v>
      </c>
      <c r="BN728" s="106" t="n">
        <v>10289258.887333</v>
      </c>
      <c r="BO728" s="106" t="n">
        <v>3743163.2397435</v>
      </c>
      <c r="BP728" s="106" t="n">
        <v>3946494.73677818</v>
      </c>
      <c r="BQ728" s="106" t="n">
        <v>2525483.22419293</v>
      </c>
      <c r="BR728" s="106" t="n">
        <v>0</v>
      </c>
      <c r="BS728" s="106" t="n"/>
      <c r="BT728" s="106" t="n">
        <v>347129.279308192</v>
      </c>
      <c r="BU728" s="106" t="n">
        <v>0</v>
      </c>
      <c r="BV728" s="106" t="n">
        <v>19311208.0205521</v>
      </c>
      <c r="BW728" s="106" t="n">
        <v>0</v>
      </c>
      <c r="BX728" s="106" t="n"/>
      <c r="BY728" s="106" t="n">
        <v>10831087.3864405</v>
      </c>
      <c r="BZ728" s="106" t="n"/>
      <c r="CA728" s="106" t="n"/>
      <c r="CB728" s="115" t="n">
        <v>1114959.23067501</v>
      </c>
      <c r="CD728" s="116" t="e">
        <f aca="false" ca="false" dt2D="false" dtr="false" t="normal">+#REF!+1</f>
        <v>#REF!</v>
      </c>
      <c r="CE728" s="117" t="e">
        <f aca="false" ca="false" dt2D="false" dtr="false" t="normal">+#REF!+1</f>
        <v>#REF!</v>
      </c>
      <c r="CF728" s="104" t="s">
        <v>221</v>
      </c>
      <c r="CG728" s="117" t="s">
        <v>413</v>
      </c>
      <c r="CH728" s="232" t="n">
        <f aca="false" ca="true" dt2D="false" dtr="false" t="normal">SUBTOTAL(9, CI728:CW728)</f>
        <v>22054831</v>
      </c>
      <c r="CI728" s="106" t="n"/>
      <c r="CJ728" s="114" t="n">
        <v>4985424.9</v>
      </c>
      <c r="CK728" s="114" t="n"/>
      <c r="CL728" s="114" t="n">
        <v>1839863.46</v>
      </c>
      <c r="CM728" s="114" t="n">
        <v>0</v>
      </c>
      <c r="CN728" s="114" t="n"/>
      <c r="CO728" s="106" t="n"/>
      <c r="CP728" s="114" t="n">
        <v>0</v>
      </c>
      <c r="CQ728" s="114" t="n">
        <v>14114583.41</v>
      </c>
      <c r="CR728" s="114" t="n">
        <v>0</v>
      </c>
      <c r="CS728" s="114" t="n"/>
      <c r="CT728" s="114" t="n"/>
      <c r="CU728" s="114" t="n"/>
      <c r="CV728" s="114" t="n"/>
      <c r="CW728" s="115" t="n">
        <v>1114959.23</v>
      </c>
      <c r="CX728" s="3" t="n">
        <f aca="false" ca="false" dt2D="false" dtr="false" t="normal">+N728-CH728</f>
        <v>-1114959.2300000004</v>
      </c>
      <c r="CZ728" s="117" t="s">
        <v>413</v>
      </c>
      <c r="DA728" s="186" t="n">
        <f aca="false" ca="true" dt2D="false" dtr="false" t="normal">SUBTOTAL(9, DB728:DP728)</f>
        <v>20939871.77</v>
      </c>
      <c r="DB728" s="106" t="n"/>
      <c r="DC728" s="114" t="n">
        <v>4985424.9</v>
      </c>
      <c r="DD728" s="114" t="n"/>
      <c r="DE728" s="114" t="n">
        <v>1839863.46</v>
      </c>
      <c r="DF728" s="114" t="n">
        <v>0</v>
      </c>
      <c r="DG728" s="114" t="n"/>
      <c r="DH728" s="106" t="n"/>
      <c r="DI728" s="114" t="n">
        <v>0</v>
      </c>
      <c r="DJ728" s="114" t="n">
        <v>14114583.41</v>
      </c>
      <c r="DK728" s="114" t="n">
        <v>0</v>
      </c>
      <c r="DL728" s="114" t="n"/>
      <c r="DM728" s="114" t="n"/>
      <c r="DN728" s="114" t="n"/>
      <c r="DO728" s="114" t="n"/>
      <c r="DP728" s="240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</row>
    <row customFormat="true" hidden="false" ht="15" outlineLevel="0" r="729" s="1">
      <c r="A729" s="183" t="n">
        <f aca="false" ca="false" dt2D="false" dtr="false" t="normal">+A728+1</f>
        <v>707</v>
      </c>
      <c r="B729" s="117" t="n">
        <f aca="false" ca="false" dt2D="false" dtr="false" t="normal">+B728+1</f>
        <v>247</v>
      </c>
      <c r="C729" s="117" t="s">
        <v>221</v>
      </c>
      <c r="D729" s="117" t="s">
        <v>224</v>
      </c>
      <c r="E729" s="201" t="n">
        <v>1969</v>
      </c>
      <c r="F729" s="201" t="n">
        <v>1969</v>
      </c>
      <c r="G729" s="201" t="s">
        <v>68</v>
      </c>
      <c r="H729" s="201" t="n">
        <v>4</v>
      </c>
      <c r="I729" s="201" t="n">
        <v>4</v>
      </c>
      <c r="J729" s="114" t="n">
        <v>1301.1</v>
      </c>
      <c r="K729" s="114" t="n">
        <v>1206.1</v>
      </c>
      <c r="L729" s="114" t="n">
        <v>0</v>
      </c>
      <c r="M729" s="202" t="n">
        <v>55</v>
      </c>
      <c r="N729" s="108" t="n">
        <f aca="false" ca="false" dt2D="false" dtr="false" t="normal">SUM(P729:T729)</f>
        <v>12461220.95</v>
      </c>
      <c r="O729" s="114" t="n"/>
      <c r="P729" s="113" t="n">
        <v>4341243.73</v>
      </c>
      <c r="Q729" s="114" t="n"/>
      <c r="R729" s="113" t="n">
        <v>129173.31</v>
      </c>
      <c r="S729" s="113" t="n">
        <v>2964843.42</v>
      </c>
      <c r="T729" s="113" t="n">
        <v>5025960.49</v>
      </c>
      <c r="U729" s="114" t="n">
        <v>6767.50786872611</v>
      </c>
      <c r="V729" s="114" t="n">
        <v>1365.283020064</v>
      </c>
      <c r="W729" s="110" t="n">
        <v>2024</v>
      </c>
      <c r="X729" s="9" t="e">
        <f aca="false" ca="false" dt2D="false" dtr="false" t="normal">+#REF!-'[9]Приложение №1'!$P1507</f>
        <v>#REF!</v>
      </c>
      <c r="Z729" s="113" t="n">
        <f aca="false" ca="false" dt2D="false" dtr="false" t="normal">SUM(AA729:AO729)</f>
        <v>20711430.51</v>
      </c>
      <c r="AA729" s="106" t="n">
        <v>3099206.36779026</v>
      </c>
      <c r="AB729" s="106" t="n">
        <v>1118078.60118402</v>
      </c>
      <c r="AC729" s="106" t="n">
        <v>1168117.98295164</v>
      </c>
      <c r="AD729" s="106" t="n">
        <v>731341.61352924</v>
      </c>
      <c r="AE729" s="106" t="n">
        <v>0</v>
      </c>
      <c r="AF729" s="106" t="n"/>
      <c r="AG729" s="106" t="n">
        <v>111818.98213248</v>
      </c>
      <c r="AH729" s="106" t="n">
        <v>0</v>
      </c>
      <c r="AI729" s="106" t="n">
        <v>5736153.9664296</v>
      </c>
      <c r="AJ729" s="106" t="n">
        <v>0</v>
      </c>
      <c r="AK729" s="106" t="n">
        <v>2978257.41639426</v>
      </c>
      <c r="AL729" s="106" t="n">
        <v>3212334.96117702</v>
      </c>
      <c r="AM729" s="106" t="n">
        <v>1951986.4567</v>
      </c>
      <c r="AN729" s="114" t="n">
        <v>207114.3051</v>
      </c>
      <c r="AO729" s="115" t="n">
        <v>397019.85661148</v>
      </c>
      <c r="AP729" s="112" t="n">
        <f aca="false" ca="false" dt2D="false" dtr="false" t="normal">+N729-'Приложение №2'!E729</f>
        <v>0</v>
      </c>
      <c r="AQ729" s="9" t="e">
        <f aca="false" ca="false" dt2D="false" dtr="false" t="normal">624368.58-R150-#REF!</f>
        <v>#REF!</v>
      </c>
      <c r="AR729" s="3" t="n">
        <f aca="false" ca="false" dt2D="false" dtr="false" t="normal">+(K729*10.5+L729*21)*12*0.85</f>
        <v>129173.30999999998</v>
      </c>
      <c r="AS729" s="3" t="e">
        <f aca="false" ca="false" dt2D="false" dtr="false" t="normal">+(K729*10.5+L729*21)*12*30-S150-#REF!</f>
        <v>#REF!</v>
      </c>
      <c r="AT729" s="9" t="e">
        <f aca="false" ca="false" dt2D="false" dtr="false" t="normal">+S729-AS729</f>
        <v>#REF!</v>
      </c>
      <c r="AU729" s="9" t="e">
        <f aca="false" ca="false" dt2D="false" dtr="false" t="normal">+P729-'[5]Приложение №1'!$P645</f>
        <v>#REF!</v>
      </c>
      <c r="AV729" s="9" t="e">
        <f aca="false" ca="false" dt2D="false" dtr="false" t="normal">+Q729-'[5]Приложение №1'!$Q645</f>
        <v>#REF!</v>
      </c>
      <c r="AW729" s="186" t="n">
        <f aca="false" ca="true" dt2D="false" dtr="false" t="normal">SUBTOTAL(9, AX729:BL729)</f>
        <v>8162291.24047056</v>
      </c>
      <c r="AX729" s="106" t="n"/>
      <c r="AY729" s="106" t="n"/>
      <c r="AZ729" s="106" t="n">
        <v>1168117.98295164</v>
      </c>
      <c r="BA729" s="106" t="n"/>
      <c r="BB729" s="106" t="n"/>
      <c r="BC729" s="106" t="n"/>
      <c r="BD729" s="106" t="n"/>
      <c r="BE729" s="106" t="n">
        <v>0</v>
      </c>
      <c r="BF729" s="106" t="n">
        <v>6819500.22497285</v>
      </c>
      <c r="BG729" s="106" t="n">
        <v>0</v>
      </c>
      <c r="BH729" s="106" t="n"/>
      <c r="BI729" s="106" t="n"/>
      <c r="BJ729" s="106" t="n"/>
      <c r="BK729" s="114" t="n"/>
      <c r="BL729" s="115" t="n">
        <v>174673.03254607</v>
      </c>
      <c r="BM729" s="186" t="n">
        <f aca="false" ca="true" dt2D="false" dtr="false" t="normal">SUBTOTAL(9, BN729:CB729)</f>
        <v>8162291.24047056</v>
      </c>
      <c r="BN729" s="106" t="n"/>
      <c r="BO729" s="106" t="n"/>
      <c r="BP729" s="106" t="n">
        <v>1168117.98295164</v>
      </c>
      <c r="BQ729" s="106" t="n"/>
      <c r="BR729" s="106" t="n"/>
      <c r="BS729" s="106" t="n"/>
      <c r="BT729" s="106" t="n"/>
      <c r="BU729" s="106" t="n">
        <v>0</v>
      </c>
      <c r="BV729" s="106" t="n">
        <v>6819500.22497285</v>
      </c>
      <c r="BW729" s="106" t="n">
        <v>0</v>
      </c>
      <c r="BX729" s="106" t="n"/>
      <c r="BY729" s="106" t="n"/>
      <c r="BZ729" s="106" t="n"/>
      <c r="CA729" s="114" t="n"/>
      <c r="CB729" s="115" t="n">
        <v>174673.03254607</v>
      </c>
      <c r="CD729" s="116" t="e">
        <f aca="false" ca="false" dt2D="false" dtr="false" t="normal">+CD728+1</f>
        <v>#REF!</v>
      </c>
      <c r="CE729" s="117" t="e">
        <f aca="false" ca="false" dt2D="false" dtr="false" t="normal">+CE728+1</f>
        <v>#REF!</v>
      </c>
      <c r="CF729" s="104" t="s">
        <v>221</v>
      </c>
      <c r="CG729" s="104" t="s">
        <v>224</v>
      </c>
      <c r="CH729" s="232" t="n">
        <f aca="false" ca="true" dt2D="false" dtr="false" t="normal">SUBTOTAL(9, CI729:CW729)</f>
        <v>12635893.98</v>
      </c>
      <c r="CI729" s="106" t="n"/>
      <c r="CJ729" s="114" t="n"/>
      <c r="CK729" s="243" t="n">
        <v>1303632.49</v>
      </c>
      <c r="CL729" s="114" t="n"/>
      <c r="CM729" s="114" t="n"/>
      <c r="CN729" s="114" t="n"/>
      <c r="CO729" s="106" t="n"/>
      <c r="CP729" s="114" t="n">
        <v>0</v>
      </c>
      <c r="CQ729" s="243" t="n">
        <v>11157588.46</v>
      </c>
      <c r="CR729" s="114" t="n">
        <v>0</v>
      </c>
      <c r="CS729" s="114" t="n"/>
      <c r="CT729" s="114" t="n"/>
      <c r="CU729" s="114" t="n"/>
      <c r="CV729" s="114" t="n"/>
      <c r="CW729" s="115" t="n">
        <v>174673.03</v>
      </c>
      <c r="CX729" s="3" t="n">
        <f aca="false" ca="false" dt2D="false" dtr="false" t="normal">+N729-CH729</f>
        <v>-174673.0300000012</v>
      </c>
      <c r="CZ729" s="104" t="s">
        <v>224</v>
      </c>
      <c r="DA729" s="186" t="n">
        <f aca="false" ca="true" dt2D="false" dtr="false" t="normal">SUBTOTAL(9, DB729:DP729)</f>
        <v>12461220.950000001</v>
      </c>
      <c r="DB729" s="106" t="n"/>
      <c r="DC729" s="114" t="n"/>
      <c r="DD729" s="243" t="n">
        <v>1303632.49</v>
      </c>
      <c r="DE729" s="114" t="n"/>
      <c r="DF729" s="114" t="n"/>
      <c r="DG729" s="114" t="n"/>
      <c r="DH729" s="106" t="n"/>
      <c r="DI729" s="114" t="n">
        <v>0</v>
      </c>
      <c r="DJ729" s="243" t="n">
        <v>11157588.46</v>
      </c>
      <c r="DK729" s="114" t="n">
        <v>0</v>
      </c>
      <c r="DL729" s="114" t="n"/>
      <c r="DM729" s="114" t="n"/>
      <c r="DN729" s="114" t="n"/>
      <c r="DO729" s="114" t="n"/>
      <c r="DP729" s="240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</row>
    <row customFormat="true" hidden="false" ht="15" outlineLevel="0" r="730" s="1">
      <c r="A730" s="183" t="n">
        <f aca="false" ca="false" dt2D="false" dtr="false" t="normal">+A729+1</f>
        <v>708</v>
      </c>
      <c r="B730" s="117" t="n">
        <f aca="false" ca="false" dt2D="false" dtr="false" t="normal">+B729+1</f>
        <v>248</v>
      </c>
      <c r="C730" s="117" t="s">
        <v>221</v>
      </c>
      <c r="D730" s="117" t="s">
        <v>416</v>
      </c>
      <c r="E730" s="201" t="n">
        <v>1970</v>
      </c>
      <c r="F730" s="201" t="n">
        <v>1970</v>
      </c>
      <c r="G730" s="201" t="s">
        <v>68</v>
      </c>
      <c r="H730" s="201" t="n">
        <v>4</v>
      </c>
      <c r="I730" s="201" t="n">
        <v>4</v>
      </c>
      <c r="J730" s="114" t="n">
        <v>1365.1</v>
      </c>
      <c r="K730" s="114" t="n">
        <v>1195.16</v>
      </c>
      <c r="L730" s="114" t="n">
        <v>66.4</v>
      </c>
      <c r="M730" s="202" t="n">
        <v>42</v>
      </c>
      <c r="N730" s="108" t="n">
        <f aca="false" ca="false" dt2D="false" dtr="false" t="normal">SUM(P730:T730)</f>
        <v>6359724.42</v>
      </c>
      <c r="O730" s="114" t="n"/>
      <c r="P730" s="113" t="n">
        <v>1460525.39</v>
      </c>
      <c r="Q730" s="114" t="n"/>
      <c r="R730" s="113" t="n">
        <v>142224.52</v>
      </c>
      <c r="S730" s="113" t="n">
        <v>103510.89</v>
      </c>
      <c r="T730" s="113" t="n">
        <v>4653463.62</v>
      </c>
      <c r="U730" s="114" t="n">
        <v>5482.30010451123</v>
      </c>
      <c r="V730" s="114" t="n">
        <v>1366.283020064</v>
      </c>
      <c r="W730" s="110" t="n">
        <v>2024</v>
      </c>
      <c r="X730" s="9" t="e">
        <f aca="false" ca="false" dt2D="false" dtr="false" t="normal">+#REF!-'[9]Приложение №1'!$P1172</f>
        <v>#REF!</v>
      </c>
      <c r="Z730" s="113" t="n">
        <f aca="false" ca="false" dt2D="false" dtr="false" t="normal">SUM(AA730:AO730)</f>
        <v>20539765.11</v>
      </c>
      <c r="AA730" s="106" t="n">
        <v>3073518.78910986</v>
      </c>
      <c r="AB730" s="106" t="n">
        <v>1108811.47643322</v>
      </c>
      <c r="AC730" s="106" t="n">
        <v>1158436.10990604</v>
      </c>
      <c r="AD730" s="106" t="n">
        <v>725279.93417964</v>
      </c>
      <c r="AE730" s="106" t="n">
        <v>0</v>
      </c>
      <c r="AF730" s="106" t="n"/>
      <c r="AG730" s="106" t="n">
        <v>110892.17747328</v>
      </c>
      <c r="AH730" s="106" t="n">
        <v>0</v>
      </c>
      <c r="AI730" s="106" t="n">
        <v>5688610.2120456</v>
      </c>
      <c r="AJ730" s="106" t="n">
        <v>0</v>
      </c>
      <c r="AK730" s="106" t="n">
        <v>2953572.31555386</v>
      </c>
      <c r="AL730" s="106" t="n">
        <v>3185709.72320622</v>
      </c>
      <c r="AM730" s="106" t="n">
        <v>1935807.5387</v>
      </c>
      <c r="AN730" s="114" t="n">
        <v>205397.6511</v>
      </c>
      <c r="AO730" s="115" t="n">
        <v>393729.18229228</v>
      </c>
      <c r="AP730" s="112" t="n">
        <f aca="false" ca="false" dt2D="false" dtr="false" t="normal">+N730-'Приложение №2'!E730</f>
        <v>0</v>
      </c>
      <c r="AQ730" s="9" t="n">
        <f aca="false" ca="false" dt2D="false" dtr="false" t="normal">578197.03-161435.17-R341</f>
        <v>-142224.51600000006</v>
      </c>
      <c r="AR730" s="3" t="n">
        <f aca="false" ca="false" dt2D="false" dtr="false" t="normal">+(K730*10.5+L730*21)*12*0.85</f>
        <v>142224.516</v>
      </c>
      <c r="AS730" s="3" t="n">
        <f aca="false" ca="false" dt2D="false" dtr="false" t="normal">+(K730*10.5+L730*21)*12*30-1010645.26-S341</f>
        <v>514666.48600000003</v>
      </c>
      <c r="AT730" s="9" t="n">
        <f aca="false" ca="false" dt2D="false" dtr="false" t="normal">+S730-AS730</f>
        <v>-411155.596</v>
      </c>
      <c r="AU730" s="9" t="e">
        <f aca="false" ca="false" dt2D="false" dtr="false" t="normal">+P730-'[5]Приложение №1'!$P646</f>
        <v>#REF!</v>
      </c>
      <c r="AV730" s="9" t="e">
        <f aca="false" ca="false" dt2D="false" dtr="false" t="normal">+Q730-'[5]Приложение №1'!$Q646</f>
        <v>#REF!</v>
      </c>
      <c r="AW730" s="186" t="n">
        <f aca="false" ca="true" dt2D="false" dtr="false" t="normal">SUBTOTAL(9, AX730:BL730)</f>
        <v>5359717.149090778</v>
      </c>
      <c r="AX730" s="106" t="n">
        <v>3853954.65618314</v>
      </c>
      <c r="AY730" s="106" t="n"/>
      <c r="AZ730" s="106" t="n">
        <v>1158436.10990604</v>
      </c>
      <c r="BA730" s="106" t="n"/>
      <c r="BB730" s="106" t="n">
        <v>0</v>
      </c>
      <c r="BC730" s="106" t="n"/>
      <c r="BD730" s="106" t="n">
        <v>110892.17747328</v>
      </c>
      <c r="BE730" s="106" t="n">
        <v>0</v>
      </c>
      <c r="BF730" s="106" t="n"/>
      <c r="BG730" s="106" t="n">
        <v>0</v>
      </c>
      <c r="BH730" s="106" t="n"/>
      <c r="BI730" s="106" t="n"/>
      <c r="BJ730" s="106" t="n"/>
      <c r="BK730" s="114" t="n"/>
      <c r="BL730" s="115" t="n">
        <v>236434.205528319</v>
      </c>
      <c r="BM730" s="186" t="n">
        <f aca="false" ca="true" dt2D="false" dtr="false" t="normal">SUBTOTAL(9, BN730:CB730)</f>
        <v>6552225.7929076385</v>
      </c>
      <c r="BN730" s="106" t="n">
        <v>5046463.3</v>
      </c>
      <c r="BO730" s="106" t="n"/>
      <c r="BP730" s="106" t="n">
        <v>1158436.10990604</v>
      </c>
      <c r="BQ730" s="106" t="n"/>
      <c r="BR730" s="106" t="n">
        <v>0</v>
      </c>
      <c r="BS730" s="106" t="n"/>
      <c r="BT730" s="106" t="n">
        <v>110892.17747328</v>
      </c>
      <c r="BU730" s="106" t="n">
        <v>0</v>
      </c>
      <c r="BV730" s="106" t="n"/>
      <c r="BW730" s="106" t="n">
        <v>0</v>
      </c>
      <c r="BX730" s="106" t="n"/>
      <c r="BY730" s="106" t="n"/>
      <c r="BZ730" s="106" t="n"/>
      <c r="CA730" s="114" t="n"/>
      <c r="CB730" s="115" t="n">
        <v>236434.205528319</v>
      </c>
      <c r="CD730" s="116" t="e">
        <f aca="false" ca="false" dt2D="false" dtr="false" t="normal">+CD729+1</f>
        <v>#REF!</v>
      </c>
      <c r="CE730" s="117" t="e">
        <f aca="false" ca="false" dt2D="false" dtr="false" t="normal">+CE729+1</f>
        <v>#REF!</v>
      </c>
      <c r="CF730" s="104" t="s">
        <v>221</v>
      </c>
      <c r="CG730" s="104" t="s">
        <v>416</v>
      </c>
      <c r="CH730" s="232" t="n">
        <f aca="false" ca="true" dt2D="false" dtr="false" t="normal">SUBTOTAL(9, CI730:CW730)</f>
        <v>6596158.63</v>
      </c>
      <c r="CI730" s="106" t="n">
        <v>5046463.3</v>
      </c>
      <c r="CJ730" s="114" t="n"/>
      <c r="CK730" s="243" t="n">
        <v>1313261.12</v>
      </c>
      <c r="CL730" s="114" t="n"/>
      <c r="CM730" s="114" t="n">
        <v>0</v>
      </c>
      <c r="CN730" s="114" t="n"/>
      <c r="CO730" s="106" t="n"/>
      <c r="CP730" s="114" t="n">
        <v>0</v>
      </c>
      <c r="CQ730" s="114" t="n"/>
      <c r="CR730" s="114" t="n">
        <v>0</v>
      </c>
      <c r="CS730" s="114" t="n"/>
      <c r="CT730" s="114" t="n"/>
      <c r="CU730" s="114" t="n"/>
      <c r="CV730" s="114" t="n"/>
      <c r="CW730" s="115" t="n">
        <v>236434.21</v>
      </c>
      <c r="CX730" s="3" t="n">
        <f aca="false" ca="false" dt2D="false" dtr="false" t="normal">+N730-CH730</f>
        <v>-236434.20999999996</v>
      </c>
      <c r="CZ730" s="104" t="s">
        <v>416</v>
      </c>
      <c r="DA730" s="186" t="n">
        <f aca="false" ca="true" dt2D="false" dtr="false" t="normal">SUBTOTAL(9, DB730:DP730)</f>
        <v>6359724.42</v>
      </c>
      <c r="DB730" s="106" t="n">
        <v>5046463.3</v>
      </c>
      <c r="DC730" s="114" t="n"/>
      <c r="DD730" s="243" t="n">
        <v>1313261.12</v>
      </c>
      <c r="DE730" s="114" t="n"/>
      <c r="DF730" s="114" t="n">
        <v>0</v>
      </c>
      <c r="DG730" s="114" t="n"/>
      <c r="DH730" s="106" t="n"/>
      <c r="DI730" s="114" t="n">
        <v>0</v>
      </c>
      <c r="DJ730" s="114" t="n"/>
      <c r="DK730" s="114" t="n">
        <v>0</v>
      </c>
      <c r="DL730" s="114" t="n"/>
      <c r="DM730" s="114" t="n"/>
      <c r="DN730" s="114" t="n"/>
      <c r="DO730" s="114" t="n"/>
      <c r="DP730" s="240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</row>
    <row customFormat="true" hidden="false" ht="15" outlineLevel="0" r="731" s="1">
      <c r="A731" s="183" t="n">
        <f aca="false" ca="false" dt2D="false" dtr="false" t="normal">+A730+1</f>
        <v>709</v>
      </c>
      <c r="B731" s="117" t="n">
        <f aca="false" ca="false" dt2D="false" dtr="false" t="normal">+B730+1</f>
        <v>249</v>
      </c>
      <c r="C731" s="117" t="s">
        <v>221</v>
      </c>
      <c r="D731" s="117" t="s">
        <v>417</v>
      </c>
      <c r="E731" s="201" t="n">
        <v>1965</v>
      </c>
      <c r="F731" s="201" t="n">
        <v>1965</v>
      </c>
      <c r="G731" s="201" t="s">
        <v>68</v>
      </c>
      <c r="H731" s="201" t="n">
        <v>3</v>
      </c>
      <c r="I731" s="201" t="n">
        <v>2</v>
      </c>
      <c r="J731" s="114" t="n">
        <v>987.3</v>
      </c>
      <c r="K731" s="114" t="n">
        <v>918.1</v>
      </c>
      <c r="L731" s="114" t="n">
        <v>68.1</v>
      </c>
      <c r="M731" s="202" t="n">
        <v>38</v>
      </c>
      <c r="N731" s="108" t="n">
        <f aca="false" ca="false" dt2D="false" dtr="false" t="normal">SUM(P731:T731)</f>
        <v>15380104.450000001</v>
      </c>
      <c r="O731" s="114" t="n"/>
      <c r="P731" s="113" t="n"/>
      <c r="Q731" s="114" t="n"/>
      <c r="R731" s="113" t="n">
        <v>226640.2</v>
      </c>
      <c r="S731" s="113" t="n">
        <v>1901339.1</v>
      </c>
      <c r="T731" s="113" t="n">
        <v>13252125.15</v>
      </c>
      <c r="U731" s="114" t="n">
        <v>9623.12427325564</v>
      </c>
      <c r="V731" s="114" t="n">
        <v>1367.283020064</v>
      </c>
      <c r="W731" s="110" t="n">
        <v>2024</v>
      </c>
      <c r="X731" s="9" t="e">
        <f aca="false" ca="false" dt2D="false" dtr="false" t="normal">+#REF!-'[9]Приложение №1'!$P1173</f>
        <v>#REF!</v>
      </c>
      <c r="Z731" s="113" t="n">
        <f aca="false" ca="false" dt2D="false" dtr="false" t="normal">SUM(AA731:AO731)</f>
        <v>36579168.81999999</v>
      </c>
      <c r="AA731" s="106" t="n">
        <v>3296586.42421836</v>
      </c>
      <c r="AB731" s="106" t="n">
        <v>2005923.7262883</v>
      </c>
      <c r="AC731" s="106" t="n">
        <v>945220.05597012</v>
      </c>
      <c r="AD731" s="106" t="n">
        <v>805515.18886356</v>
      </c>
      <c r="AE731" s="106" t="n">
        <v>0</v>
      </c>
      <c r="AF731" s="106" t="n"/>
      <c r="AG731" s="106" t="n">
        <v>312478.894455</v>
      </c>
      <c r="AH731" s="106" t="n">
        <v>0</v>
      </c>
      <c r="AI731" s="106" t="n">
        <v>9536457.4951716</v>
      </c>
      <c r="AJ731" s="106" t="n">
        <v>0</v>
      </c>
      <c r="AK731" s="106" t="n">
        <v>7797629.05718748</v>
      </c>
      <c r="AL731" s="106" t="n">
        <v>7337973.32029314</v>
      </c>
      <c r="AM731" s="106" t="n">
        <v>3474991.5172</v>
      </c>
      <c r="AN731" s="114" t="n">
        <v>365791.6882</v>
      </c>
      <c r="AO731" s="115" t="n">
        <v>700601.45215244</v>
      </c>
      <c r="AP731" s="112" t="n">
        <f aca="false" ca="false" dt2D="false" dtr="false" t="normal">+N731-'Приложение №2'!E731</f>
        <v>0</v>
      </c>
      <c r="AQ731" s="121" t="n">
        <f aca="false" ca="false" dt2D="false" dtr="false" t="normal">403863.49-R342</f>
        <v>-112915.53000000003</v>
      </c>
      <c r="AR731" s="3" t="n">
        <f aca="false" ca="false" dt2D="false" dtr="false" t="normal">+(K731*10.5+L731*21)*12*0.85</f>
        <v>112915.53000000001</v>
      </c>
      <c r="AS731" s="3" t="n">
        <f aca="false" ca="false" dt2D="false" dtr="false" t="normal">+(K731*10.5+L731*21)*12*30-S342</f>
        <v>2020847.7800000005</v>
      </c>
      <c r="AT731" s="9" t="n">
        <f aca="false" ca="false" dt2D="false" dtr="false" t="normal">+S731-AS731</f>
        <v>-119508.6800000004</v>
      </c>
      <c r="AU731" s="9" t="e">
        <f aca="false" ca="false" dt2D="false" dtr="false" t="normal">+P731-'[5]Приложение №1'!$P647</f>
        <v>#REF!</v>
      </c>
      <c r="AV731" s="9" t="e">
        <f aca="false" ca="false" dt2D="false" dtr="false" t="normal">+Q731-'[5]Приложение №1'!$Q647</f>
        <v>#REF!</v>
      </c>
      <c r="AW731" s="186" t="n">
        <f aca="false" ca="true" dt2D="false" dtr="false" t="normal">SUBTOTAL(9, AX731:BL731)</f>
        <v>8834990.395276</v>
      </c>
      <c r="AX731" s="106" t="n">
        <v>3583619.264736</v>
      </c>
      <c r="AY731" s="106" t="n">
        <v>2218742.44641</v>
      </c>
      <c r="AZ731" s="106" t="n">
        <v>1040167.914408</v>
      </c>
      <c r="BA731" s="106" t="n">
        <v>906414.559386</v>
      </c>
      <c r="BB731" s="106" t="n">
        <v>0</v>
      </c>
      <c r="BC731" s="106" t="n"/>
      <c r="BD731" s="106" t="n">
        <v>312478.894455</v>
      </c>
      <c r="BE731" s="106" t="n">
        <v>0</v>
      </c>
      <c r="BF731" s="106" t="n"/>
      <c r="BG731" s="106" t="n">
        <v>0</v>
      </c>
      <c r="BH731" s="106" t="n"/>
      <c r="BI731" s="106" t="n"/>
      <c r="BJ731" s="106" t="n"/>
      <c r="BK731" s="114" t="n"/>
      <c r="BL731" s="115" t="n">
        <v>773567.315881</v>
      </c>
      <c r="BM731" s="186" t="n">
        <f aca="false" ca="true" dt2D="false" dtr="false" t="normal">SUBTOTAL(9, BN731:CB731)</f>
        <v>8834990.395276</v>
      </c>
      <c r="BN731" s="106" t="n">
        <v>3583619.264736</v>
      </c>
      <c r="BO731" s="106" t="n">
        <v>2218742.44641</v>
      </c>
      <c r="BP731" s="106" t="n">
        <v>1040167.914408</v>
      </c>
      <c r="BQ731" s="106" t="n">
        <v>906414.559386</v>
      </c>
      <c r="BR731" s="106" t="n">
        <v>0</v>
      </c>
      <c r="BS731" s="106" t="n"/>
      <c r="BT731" s="106" t="n">
        <v>312478.894455</v>
      </c>
      <c r="BU731" s="106" t="n">
        <v>0</v>
      </c>
      <c r="BV731" s="106" t="n"/>
      <c r="BW731" s="106" t="n">
        <v>0</v>
      </c>
      <c r="BX731" s="106" t="n"/>
      <c r="BY731" s="106" t="n"/>
      <c r="BZ731" s="106" t="n"/>
      <c r="CA731" s="114" t="n"/>
      <c r="CB731" s="115" t="n">
        <v>773567.315881</v>
      </c>
      <c r="CD731" s="116" t="e">
        <f aca="false" ca="false" dt2D="false" dtr="false" t="normal">+CD730+1</f>
        <v>#REF!</v>
      </c>
      <c r="CE731" s="117" t="e">
        <f aca="false" ca="false" dt2D="false" dtr="false" t="normal">+CE730+1</f>
        <v>#REF!</v>
      </c>
      <c r="CF731" s="104" t="s">
        <v>221</v>
      </c>
      <c r="CG731" s="104" t="s">
        <v>417</v>
      </c>
      <c r="CH731" s="232" t="n">
        <f aca="false" ca="true" dt2D="false" dtr="false" t="normal">SUBTOTAL(9, CI731:CW731)</f>
        <v>16153671.77</v>
      </c>
      <c r="CI731" s="106" t="n">
        <v>3583619.26</v>
      </c>
      <c r="CJ731" s="114" t="n">
        <v>2218742.45</v>
      </c>
      <c r="CK731" s="114" t="n"/>
      <c r="CL731" s="114" t="n">
        <v>906414.56</v>
      </c>
      <c r="CM731" s="114" t="n">
        <v>0</v>
      </c>
      <c r="CN731" s="114" t="n"/>
      <c r="CO731" s="106" t="n"/>
      <c r="CP731" s="114" t="n">
        <v>0</v>
      </c>
      <c r="CQ731" s="114" t="n"/>
      <c r="CR731" s="114" t="n">
        <v>0</v>
      </c>
      <c r="CS731" s="114" t="n">
        <v>8671328.18</v>
      </c>
      <c r="CT731" s="114" t="n"/>
      <c r="CU731" s="114" t="n"/>
      <c r="CV731" s="114" t="n"/>
      <c r="CW731" s="115" t="n">
        <v>773567.32</v>
      </c>
      <c r="CX731" s="3" t="n">
        <f aca="false" ca="false" dt2D="false" dtr="false" t="normal">+N731-CH731</f>
        <v>-773567.3199999984</v>
      </c>
      <c r="CZ731" s="104" t="s">
        <v>417</v>
      </c>
      <c r="DA731" s="186" t="n">
        <f aca="false" ca="true" dt2D="false" dtr="false" t="normal">SUBTOTAL(9, DB731:DP731)</f>
        <v>15380104.45</v>
      </c>
      <c r="DB731" s="106" t="n">
        <v>3583619.26</v>
      </c>
      <c r="DC731" s="114" t="n">
        <v>2218742.45</v>
      </c>
      <c r="DD731" s="114" t="n"/>
      <c r="DE731" s="114" t="n">
        <v>906414.56</v>
      </c>
      <c r="DF731" s="114" t="n">
        <v>0</v>
      </c>
      <c r="DG731" s="114" t="n"/>
      <c r="DH731" s="106" t="n"/>
      <c r="DI731" s="114" t="n">
        <v>0</v>
      </c>
      <c r="DJ731" s="114" t="n"/>
      <c r="DK731" s="114" t="n">
        <v>0</v>
      </c>
      <c r="DL731" s="114" t="n">
        <v>8671328.18</v>
      </c>
      <c r="DM731" s="114" t="n"/>
      <c r="DN731" s="114" t="n"/>
      <c r="DO731" s="114" t="n"/>
      <c r="DP731" s="240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</row>
    <row customFormat="true" hidden="false" ht="15" outlineLevel="0" r="732" s="1">
      <c r="A732" s="183" t="n">
        <f aca="false" ca="false" dt2D="false" dtr="false" t="normal">+A731+1</f>
        <v>710</v>
      </c>
      <c r="B732" s="117" t="n">
        <f aca="false" ca="false" dt2D="false" dtr="false" t="normal">+B731+1</f>
        <v>250</v>
      </c>
      <c r="C732" s="117" t="s">
        <v>221</v>
      </c>
      <c r="D732" s="117" t="s">
        <v>418</v>
      </c>
      <c r="E732" s="201" t="n">
        <v>1964</v>
      </c>
      <c r="F732" s="201" t="n">
        <v>1964</v>
      </c>
      <c r="G732" s="201" t="s">
        <v>68</v>
      </c>
      <c r="H732" s="201" t="n">
        <v>3</v>
      </c>
      <c r="I732" s="201" t="n">
        <v>1</v>
      </c>
      <c r="J732" s="114" t="n">
        <v>998.5</v>
      </c>
      <c r="K732" s="114" t="n">
        <v>928.6</v>
      </c>
      <c r="L732" s="114" t="n">
        <v>69.9</v>
      </c>
      <c r="M732" s="202" t="n">
        <v>43</v>
      </c>
      <c r="N732" s="108" t="n">
        <f aca="false" ca="false" dt2D="false" dtr="false" t="normal">SUM(P732:T732)</f>
        <v>15531686.02</v>
      </c>
      <c r="O732" s="114" t="n"/>
      <c r="P732" s="113" t="n"/>
      <c r="Q732" s="114" t="n"/>
      <c r="R732" s="113" t="n">
        <v>174251.99</v>
      </c>
      <c r="S732" s="113" t="n">
        <v>964605.61</v>
      </c>
      <c r="T732" s="113" t="n">
        <v>14392828.42</v>
      </c>
      <c r="U732" s="114" t="n">
        <v>9594.93235121904</v>
      </c>
      <c r="V732" s="114" t="n">
        <v>1368.283020064</v>
      </c>
      <c r="W732" s="110" t="n">
        <v>2024</v>
      </c>
      <c r="X732" s="9" t="e">
        <f aca="false" ca="false" dt2D="false" dtr="false" t="normal">+#REF!-'[9]Приложение №1'!$P1174</f>
        <v>#REF!</v>
      </c>
      <c r="Z732" s="113" t="n">
        <f aca="false" ca="false" dt2D="false" dtr="false" t="normal">SUM(AA732:AO732)</f>
        <v>36927435.980000004</v>
      </c>
      <c r="AA732" s="106" t="n">
        <v>3327972.94184628</v>
      </c>
      <c r="AB732" s="106" t="n">
        <v>2025021.95334306</v>
      </c>
      <c r="AC732" s="106" t="n">
        <v>954219.41462316</v>
      </c>
      <c r="AD732" s="106" t="n">
        <v>813184.4343966</v>
      </c>
      <c r="AE732" s="106" t="n">
        <v>0</v>
      </c>
      <c r="AF732" s="106" t="n"/>
      <c r="AG732" s="106" t="n">
        <v>315453.97193604</v>
      </c>
      <c r="AH732" s="106" t="n">
        <v>0</v>
      </c>
      <c r="AI732" s="106" t="n">
        <v>9627253.298838</v>
      </c>
      <c r="AJ732" s="106" t="n">
        <v>0</v>
      </c>
      <c r="AK732" s="106" t="n">
        <v>7871869.62904356</v>
      </c>
      <c r="AL732" s="106" t="n">
        <v>7407837.5399091</v>
      </c>
      <c r="AM732" s="106" t="n">
        <v>3508076.6172</v>
      </c>
      <c r="AN732" s="114" t="n">
        <v>369274.3598</v>
      </c>
      <c r="AO732" s="115" t="n">
        <v>707271.8190642</v>
      </c>
      <c r="AP732" s="112" t="n">
        <f aca="false" ca="false" dt2D="false" dtr="false" t="normal">+N732-'Приложение №2'!E732</f>
        <v>0</v>
      </c>
      <c r="AQ732" s="121" t="n">
        <f aca="false" ca="false" dt2D="false" dtr="false" t="normal">483296.11-R343</f>
        <v>-114425.64000000001</v>
      </c>
      <c r="AR732" s="3" t="n">
        <f aca="false" ca="false" dt2D="false" dtr="false" t="normal">+(K732*10.5+L732*21)*12*0.85</f>
        <v>114425.64000000001</v>
      </c>
      <c r="AS732" s="3" t="n">
        <f aca="false" ca="false" dt2D="false" dtr="false" t="normal">+(K732*10.5+L732*21)*12*30-S343</f>
        <v>-792487.5599999987</v>
      </c>
      <c r="AT732" s="9" t="n">
        <f aca="false" ca="false" dt2D="false" dtr="false" t="normal">+S732-AS732</f>
        <v>1757093.1699999985</v>
      </c>
      <c r="AU732" s="9" t="e">
        <f aca="false" ca="false" dt2D="false" dtr="false" t="normal">+P732-'[5]Приложение №1'!$P648</f>
        <v>#REF!</v>
      </c>
      <c r="AV732" s="9" t="e">
        <f aca="false" ca="false" dt2D="false" dtr="false" t="normal">+Q732-'[5]Приложение №1'!$Q648</f>
        <v>#REF!</v>
      </c>
      <c r="AW732" s="186" t="n">
        <f aca="false" ca="true" dt2D="false" dtr="false" t="normal">SUBTOTAL(9, AX732:BL732)</f>
        <v>8909854.181342</v>
      </c>
      <c r="AX732" s="106" t="n">
        <v>3617984.026986</v>
      </c>
      <c r="AY732" s="106" t="n">
        <v>2231790.384432</v>
      </c>
      <c r="AZ732" s="106" t="n">
        <v>1050168.4431</v>
      </c>
      <c r="BA732" s="106" t="n">
        <v>912769.656288</v>
      </c>
      <c r="BB732" s="106" t="n">
        <v>0</v>
      </c>
      <c r="BC732" s="106" t="n"/>
      <c r="BD732" s="106" t="n">
        <v>315453.97193604</v>
      </c>
      <c r="BE732" s="106" t="n">
        <v>0</v>
      </c>
      <c r="BF732" s="106" t="n"/>
      <c r="BG732" s="106" t="n">
        <v>0</v>
      </c>
      <c r="BH732" s="106" t="n"/>
      <c r="BI732" s="106" t="n"/>
      <c r="BJ732" s="106" t="n"/>
      <c r="BK732" s="114" t="n"/>
      <c r="BL732" s="115" t="n">
        <v>781687.69859996</v>
      </c>
      <c r="BM732" s="186" t="n">
        <f aca="false" ca="true" dt2D="false" dtr="false" t="normal">SUBTOTAL(9, BN732:CB732)</f>
        <v>8909854.181342</v>
      </c>
      <c r="BN732" s="106" t="n">
        <v>3617984.026986</v>
      </c>
      <c r="BO732" s="106" t="n">
        <v>2231790.384432</v>
      </c>
      <c r="BP732" s="106" t="n">
        <v>1050168.4431</v>
      </c>
      <c r="BQ732" s="106" t="n">
        <v>912769.656288</v>
      </c>
      <c r="BR732" s="106" t="n">
        <v>0</v>
      </c>
      <c r="BS732" s="106" t="n"/>
      <c r="BT732" s="106" t="n">
        <v>315453.97193604</v>
      </c>
      <c r="BU732" s="106" t="n">
        <v>0</v>
      </c>
      <c r="BV732" s="106" t="n"/>
      <c r="BW732" s="106" t="n">
        <v>0</v>
      </c>
      <c r="BX732" s="106" t="n"/>
      <c r="BY732" s="106" t="n"/>
      <c r="BZ732" s="106" t="n"/>
      <c r="CA732" s="114" t="n"/>
      <c r="CB732" s="115" t="n">
        <v>781687.69859996</v>
      </c>
      <c r="CD732" s="116" t="e">
        <f aca="false" ca="false" dt2D="false" dtr="false" t="normal">+CD731+1</f>
        <v>#REF!</v>
      </c>
      <c r="CE732" s="117" t="e">
        <f aca="false" ca="false" dt2D="false" dtr="false" t="normal">+CE731+1</f>
        <v>#REF!</v>
      </c>
      <c r="CF732" s="104" t="s">
        <v>221</v>
      </c>
      <c r="CG732" s="104" t="s">
        <v>418</v>
      </c>
      <c r="CH732" s="232" t="n">
        <f aca="false" ca="true" dt2D="false" dtr="false" t="normal">SUBTOTAL(9, CI732:CW732)</f>
        <v>16313373.719999999</v>
      </c>
      <c r="CI732" s="106" t="n">
        <v>3617984.03</v>
      </c>
      <c r="CJ732" s="114" t="n">
        <v>2231790.38</v>
      </c>
      <c r="CK732" s="114" t="n"/>
      <c r="CL732" s="114" t="n">
        <v>912769.66</v>
      </c>
      <c r="CM732" s="114" t="n">
        <v>0</v>
      </c>
      <c r="CN732" s="114" t="n"/>
      <c r="CO732" s="106" t="n"/>
      <c r="CP732" s="114" t="n">
        <v>0</v>
      </c>
      <c r="CQ732" s="114" t="n"/>
      <c r="CR732" s="114" t="n">
        <v>0</v>
      </c>
      <c r="CS732" s="114" t="n">
        <v>8769141.95</v>
      </c>
      <c r="CT732" s="114" t="n"/>
      <c r="CU732" s="114" t="n"/>
      <c r="CV732" s="114" t="n"/>
      <c r="CW732" s="115" t="n">
        <v>781687.7</v>
      </c>
      <c r="CX732" s="3" t="n">
        <f aca="false" ca="false" dt2D="false" dtr="false" t="normal">+N732-CH732</f>
        <v>-781687.6999999993</v>
      </c>
      <c r="CZ732" s="104" t="s">
        <v>418</v>
      </c>
      <c r="DA732" s="186" t="n">
        <f aca="false" ca="true" dt2D="false" dtr="false" t="normal">SUBTOTAL(9, DB732:DP732)</f>
        <v>15531686.02</v>
      </c>
      <c r="DB732" s="106" t="n">
        <v>3617984.03</v>
      </c>
      <c r="DC732" s="114" t="n">
        <v>2231790.38</v>
      </c>
      <c r="DD732" s="114" t="n"/>
      <c r="DE732" s="114" t="n">
        <v>912769.66</v>
      </c>
      <c r="DF732" s="114" t="n">
        <v>0</v>
      </c>
      <c r="DG732" s="114" t="n"/>
      <c r="DH732" s="106" t="n"/>
      <c r="DI732" s="114" t="n">
        <v>0</v>
      </c>
      <c r="DJ732" s="114" t="n"/>
      <c r="DK732" s="114" t="n">
        <v>0</v>
      </c>
      <c r="DL732" s="114" t="n">
        <v>8769141.95</v>
      </c>
      <c r="DM732" s="114" t="n"/>
      <c r="DN732" s="114" t="n"/>
      <c r="DO732" s="114" t="n"/>
      <c r="DP732" s="240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</row>
    <row customFormat="true" hidden="false" ht="15" outlineLevel="0" r="733" s="1">
      <c r="A733" s="183" t="n">
        <f aca="false" ca="false" dt2D="false" dtr="false" t="normal">+A732+1</f>
        <v>711</v>
      </c>
      <c r="B733" s="117" t="n">
        <f aca="false" ca="false" dt2D="false" dtr="false" t="normal">+B732+1</f>
        <v>251</v>
      </c>
      <c r="C733" s="117" t="s">
        <v>221</v>
      </c>
      <c r="D733" s="117" t="s">
        <v>686</v>
      </c>
      <c r="E733" s="201" t="n">
        <v>1977</v>
      </c>
      <c r="F733" s="201" t="n">
        <v>1977</v>
      </c>
      <c r="G733" s="201" t="s">
        <v>68</v>
      </c>
      <c r="H733" s="201" t="n">
        <v>4</v>
      </c>
      <c r="I733" s="201" t="n">
        <v>1</v>
      </c>
      <c r="J733" s="114" t="n">
        <v>1491.2</v>
      </c>
      <c r="K733" s="114" t="n">
        <v>1247.2</v>
      </c>
      <c r="L733" s="114" t="n">
        <v>130.5</v>
      </c>
      <c r="M733" s="202" t="n">
        <v>31</v>
      </c>
      <c r="N733" s="108" t="n">
        <f aca="false" ca="false" dt2D="false" dtr="false" t="normal">SUM(P733:T733)</f>
        <v>20077512.990000002</v>
      </c>
      <c r="O733" s="114" t="n"/>
      <c r="P733" s="113" t="n">
        <v>4791538.49</v>
      </c>
      <c r="Q733" s="114" t="n"/>
      <c r="R733" s="113" t="n">
        <v>711225.82</v>
      </c>
      <c r="S733" s="113" t="n">
        <v>6972661.94</v>
      </c>
      <c r="T733" s="113" t="n">
        <v>7602086.74</v>
      </c>
      <c r="U733" s="114" t="n">
        <v>15485.3380153853</v>
      </c>
      <c r="V733" s="114" t="n">
        <v>1377.283020064</v>
      </c>
      <c r="W733" s="110" t="n">
        <v>2024</v>
      </c>
      <c r="X733" s="9" t="e">
        <f aca="false" ca="false" dt2D="false" dtr="false" t="normal">+#REF!-'[9]Приложение №1'!$P1556</f>
        <v>#REF!</v>
      </c>
      <c r="Z733" s="113" t="n">
        <f aca="false" ca="false" dt2D="false" dtr="false" t="normal">SUM(AA733:AO733)</f>
        <v>24547091.72</v>
      </c>
      <c r="AA733" s="106" t="n">
        <v>3823646.793114</v>
      </c>
      <c r="AB733" s="106" t="n">
        <v>1377432.691104</v>
      </c>
      <c r="AC733" s="106" t="n">
        <v>1464223.795434</v>
      </c>
      <c r="AD733" s="106" t="n">
        <v>926339.456526</v>
      </c>
      <c r="AE733" s="106" t="n">
        <v>0</v>
      </c>
      <c r="AF733" s="106" t="n"/>
      <c r="AG733" s="106" t="n">
        <v>129828.307854</v>
      </c>
      <c r="AH733" s="106" t="n">
        <v>0</v>
      </c>
      <c r="AI733" s="106" t="n">
        <v>7205871.635964</v>
      </c>
      <c r="AJ733" s="106" t="n">
        <v>887837.0169</v>
      </c>
      <c r="AK733" s="106" t="n">
        <v>3723413.45325</v>
      </c>
      <c r="AL733" s="106" t="n">
        <v>4008332.672694</v>
      </c>
      <c r="AM733" s="106" t="n">
        <v>421405.55</v>
      </c>
      <c r="AN733" s="106" t="n">
        <v>63836.77</v>
      </c>
      <c r="AO733" s="115" t="n">
        <v>514923.57716</v>
      </c>
      <c r="AP733" s="112" t="n">
        <f aca="false" ca="false" dt2D="false" dtr="false" t="normal">+N733-'Приложение №2'!E733</f>
        <v>0</v>
      </c>
      <c r="AQ733" s="121" t="e">
        <f aca="false" ca="false" dt2D="false" dtr="false" t="normal">549697.6-#REF!</f>
        <v>#REF!</v>
      </c>
      <c r="AR733" s="3" t="n">
        <f aca="false" ca="false" dt2D="false" dtr="false" t="normal">+(K733*10.5+L733*21)*12*0.85</f>
        <v>161528.22</v>
      </c>
      <c r="AS733" s="3" t="e">
        <f aca="false" ca="false" dt2D="false" dtr="false" t="normal">+(K733*10.5+L733*21)*12*30-#REF!</f>
        <v>#REF!</v>
      </c>
      <c r="AT733" s="9" t="e">
        <f aca="false" ca="false" dt2D="false" dtr="false" t="normal">+S733-AS733</f>
        <v>#REF!</v>
      </c>
      <c r="AU733" s="9" t="e">
        <f aca="false" ca="false" dt2D="false" dtr="false" t="normal">+P733-'[5]Приложение №1'!$P657</f>
        <v>#REF!</v>
      </c>
      <c r="AV733" s="9" t="e">
        <f aca="false" ca="false" dt2D="false" dtr="false" t="normal">+Q733-'[5]Приложение №1'!$Q657</f>
        <v>#REF!</v>
      </c>
      <c r="AW733" s="186" t="n">
        <f aca="false" ca="true" dt2D="false" dtr="false" t="normal">SUBTOTAL(9, AX733:BL733)</f>
        <v>19313313.5727886</v>
      </c>
      <c r="AX733" s="106" t="n">
        <v>3823646.793114</v>
      </c>
      <c r="AY733" s="106" t="n">
        <v>1377432.691104</v>
      </c>
      <c r="AZ733" s="106" t="n">
        <v>1464223.795434</v>
      </c>
      <c r="BA733" s="106" t="n">
        <v>926339.456526</v>
      </c>
      <c r="BB733" s="106" t="n">
        <v>0</v>
      </c>
      <c r="BC733" s="106" t="n"/>
      <c r="BD733" s="106" t="n">
        <v>129828.307854</v>
      </c>
      <c r="BE733" s="106" t="n">
        <v>0</v>
      </c>
      <c r="BF733" s="106" t="n">
        <v>7205871.635964</v>
      </c>
      <c r="BG733" s="106" t="n"/>
      <c r="BH733" s="106" t="n"/>
      <c r="BI733" s="106" t="n">
        <v>4008332.672694</v>
      </c>
      <c r="BJ733" s="106" t="n"/>
      <c r="BK733" s="106" t="n"/>
      <c r="BL733" s="115" t="n">
        <v>377638.2200986</v>
      </c>
      <c r="BM733" s="186" t="n">
        <f aca="false" ca="true" dt2D="false" dtr="false" t="normal">SUBTOTAL(9, BN733:CB733)</f>
        <v>19313313.5727886</v>
      </c>
      <c r="BN733" s="106" t="n">
        <v>3823646.793114</v>
      </c>
      <c r="BO733" s="106" t="n">
        <v>1377432.691104</v>
      </c>
      <c r="BP733" s="106" t="n">
        <v>1464223.795434</v>
      </c>
      <c r="BQ733" s="106" t="n">
        <v>926339.456526</v>
      </c>
      <c r="BR733" s="106" t="n">
        <v>0</v>
      </c>
      <c r="BS733" s="106" t="n"/>
      <c r="BT733" s="106" t="n">
        <v>129828.307854</v>
      </c>
      <c r="BU733" s="106" t="n">
        <v>0</v>
      </c>
      <c r="BV733" s="106" t="n">
        <v>7205871.635964</v>
      </c>
      <c r="BW733" s="106" t="n"/>
      <c r="BX733" s="106" t="n"/>
      <c r="BY733" s="106" t="n">
        <v>4008332.672694</v>
      </c>
      <c r="BZ733" s="106" t="n"/>
      <c r="CA733" s="106" t="n"/>
      <c r="CB733" s="115" t="n">
        <v>377638.2200986</v>
      </c>
      <c r="CD733" s="116" t="e">
        <f aca="false" ca="false" dt2D="false" dtr="false" t="normal">+CD732+1</f>
        <v>#REF!</v>
      </c>
      <c r="CE733" s="117" t="e">
        <f aca="false" ca="false" dt2D="false" dtr="false" t="normal">+CE732+1</f>
        <v>#REF!</v>
      </c>
      <c r="CF733" s="104" t="s">
        <v>221</v>
      </c>
      <c r="CG733" s="104" t="s">
        <v>686</v>
      </c>
      <c r="CH733" s="232" t="n">
        <f aca="false" ca="true" dt2D="false" dtr="false" t="normal">SUBTOTAL(9, CI733:CW733)</f>
        <v>20455151.21</v>
      </c>
      <c r="CI733" s="106" t="n">
        <v>3823646.79</v>
      </c>
      <c r="CJ733" s="114" t="n">
        <v>1377432.69</v>
      </c>
      <c r="CK733" s="114" t="n">
        <v>1299925.64</v>
      </c>
      <c r="CL733" s="114" t="n">
        <v>926339.46</v>
      </c>
      <c r="CM733" s="114" t="n">
        <v>0</v>
      </c>
      <c r="CN733" s="114" t="n"/>
      <c r="CO733" s="106" t="n"/>
      <c r="CP733" s="114" t="n">
        <v>0</v>
      </c>
      <c r="CQ733" s="114" t="n">
        <v>8641835.74</v>
      </c>
      <c r="CR733" s="114" t="n"/>
      <c r="CS733" s="114" t="n"/>
      <c r="CT733" s="114" t="n">
        <v>4008332.67</v>
      </c>
      <c r="CU733" s="114" t="n"/>
      <c r="CV733" s="114" t="n"/>
      <c r="CW733" s="115" t="n">
        <v>377638.22</v>
      </c>
      <c r="CX733" s="3" t="n">
        <f aca="false" ca="false" dt2D="false" dtr="false" t="normal">+N733-CH733</f>
        <v>-377638.2199999988</v>
      </c>
      <c r="CZ733" s="104" t="s">
        <v>686</v>
      </c>
      <c r="DA733" s="186" t="n">
        <f aca="false" ca="true" dt2D="false" dtr="false" t="normal">SUBTOTAL(9, DB733:DP733)</f>
        <v>20077512.990000002</v>
      </c>
      <c r="DB733" s="106" t="n">
        <v>3823646.79</v>
      </c>
      <c r="DC733" s="114" t="n">
        <v>1377432.69</v>
      </c>
      <c r="DD733" s="114" t="n">
        <v>1299925.64</v>
      </c>
      <c r="DE733" s="114" t="n">
        <v>926339.46</v>
      </c>
      <c r="DF733" s="114" t="n">
        <v>0</v>
      </c>
      <c r="DG733" s="114" t="n"/>
      <c r="DH733" s="106" t="n"/>
      <c r="DI733" s="114" t="n">
        <v>0</v>
      </c>
      <c r="DJ733" s="114" t="n">
        <v>8641835.74</v>
      </c>
      <c r="DK733" s="114" t="n"/>
      <c r="DL733" s="114" t="n"/>
      <c r="DM733" s="114" t="n">
        <v>4008332.67</v>
      </c>
      <c r="DN733" s="114" t="n"/>
      <c r="DO733" s="114" t="n"/>
      <c r="DP733" s="240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</row>
    <row customFormat="true" hidden="false" ht="15" outlineLevel="0" r="734" s="1">
      <c r="A734" s="183" t="n">
        <f aca="false" ca="false" dt2D="false" dtr="false" t="normal">+A733+1</f>
        <v>712</v>
      </c>
      <c r="B734" s="117" t="n">
        <f aca="false" ca="false" dt2D="false" dtr="false" t="normal">+B733+1</f>
        <v>252</v>
      </c>
      <c r="C734" s="117" t="s">
        <v>221</v>
      </c>
      <c r="D734" s="117" t="s">
        <v>687</v>
      </c>
      <c r="E734" s="201" t="n">
        <v>1979</v>
      </c>
      <c r="F734" s="201" t="n">
        <v>1979</v>
      </c>
      <c r="G734" s="201" t="s">
        <v>68</v>
      </c>
      <c r="H734" s="201" t="n">
        <v>5</v>
      </c>
      <c r="I734" s="201" t="n">
        <v>4</v>
      </c>
      <c r="J734" s="114" t="n">
        <v>3568.8</v>
      </c>
      <c r="K734" s="114" t="n">
        <v>2956.3</v>
      </c>
      <c r="L734" s="114" t="n">
        <v>398.4</v>
      </c>
      <c r="M734" s="202" t="n">
        <v>89</v>
      </c>
      <c r="N734" s="108" t="n">
        <f aca="false" ca="false" dt2D="false" dtr="false" t="normal">SUM(P734:T734)</f>
        <v>36743337.85</v>
      </c>
      <c r="O734" s="114" t="n"/>
      <c r="P734" s="113" t="n">
        <v>4286486.78</v>
      </c>
      <c r="Q734" s="114" t="n"/>
      <c r="R734" s="113" t="n">
        <v>2046209.08</v>
      </c>
      <c r="S734" s="113" t="n">
        <v>14186718</v>
      </c>
      <c r="T734" s="113" t="n">
        <v>16223923.99</v>
      </c>
      <c r="U734" s="114" t="n">
        <v>15637.8507161458</v>
      </c>
      <c r="V734" s="114" t="n">
        <v>1378.283020064</v>
      </c>
      <c r="W734" s="110" t="n">
        <v>2024</v>
      </c>
      <c r="X734" s="9" t="e">
        <f aca="false" ca="false" dt2D="false" dtr="false" t="normal">+#REF!-'[9]Приложение №1'!$P1557</f>
        <v>#REF!</v>
      </c>
      <c r="Z734" s="113" t="n">
        <f aca="false" ca="false" dt2D="false" dtr="false" t="normal">SUM(AA734:AO734)</f>
        <v>58415569.580000006</v>
      </c>
      <c r="AA734" s="106" t="n">
        <v>9150018.922374</v>
      </c>
      <c r="AB734" s="106" t="n">
        <v>3322771.23708</v>
      </c>
      <c r="AC734" s="106" t="n">
        <v>3507760.114986</v>
      </c>
      <c r="AD734" s="106" t="n">
        <v>2240831.51745</v>
      </c>
      <c r="AE734" s="106" t="n">
        <v>0</v>
      </c>
      <c r="AF734" s="106" t="n"/>
      <c r="AG734" s="106" t="n">
        <v>308956.957092</v>
      </c>
      <c r="AH734" s="106" t="n">
        <v>0</v>
      </c>
      <c r="AI734" s="106" t="n">
        <v>17090431.012026</v>
      </c>
      <c r="AJ734" s="106" t="n">
        <v>2174763.364152</v>
      </c>
      <c r="AK734" s="106" t="n">
        <v>8910518.041566</v>
      </c>
      <c r="AL734" s="106" t="n">
        <v>9620247.980952</v>
      </c>
      <c r="AM734" s="106" t="n">
        <v>780893.53</v>
      </c>
      <c r="AN734" s="106" t="n">
        <v>76634.82</v>
      </c>
      <c r="AO734" s="115" t="n">
        <v>1231742.082322</v>
      </c>
      <c r="AP734" s="112" t="n">
        <f aca="false" ca="false" dt2D="false" dtr="false" t="normal">+N734-'Приложение №2'!E734</f>
        <v>0</v>
      </c>
      <c r="AQ734" s="121" t="n">
        <v>1644252.07</v>
      </c>
      <c r="AR734" s="3" t="n">
        <f aca="false" ca="false" dt2D="false" dtr="false" t="normal">+(K734*10.5+L734*21)*12*0.85</f>
        <v>401957.01</v>
      </c>
      <c r="AS734" s="3" t="n">
        <f aca="false" ca="false" dt2D="false" dtr="false" t="normal">+(K734*10.5+L734*21)*12*30</f>
        <v>14186718.000000002</v>
      </c>
      <c r="AT734" s="9" t="n">
        <f aca="false" ca="false" dt2D="false" dtr="false" t="normal">+S734-AS734</f>
        <v>0</v>
      </c>
      <c r="AU734" s="9" t="e">
        <f aca="false" ca="false" dt2D="false" dtr="false" t="normal">+P734-'[5]Приложение №1'!$P658</f>
        <v>#REF!</v>
      </c>
      <c r="AV734" s="9" t="e">
        <f aca="false" ca="false" dt2D="false" dtr="false" t="normal">+Q734-'[5]Приложение №1'!$Q658</f>
        <v>#REF!</v>
      </c>
      <c r="AW734" s="186" t="n">
        <f aca="false" ca="true" dt2D="false" dtr="false" t="normal">SUBTOTAL(9, AX734:BL734)</f>
        <v>46230178.07214184</v>
      </c>
      <c r="AX734" s="106" t="n">
        <v>9150018.922374</v>
      </c>
      <c r="AY734" s="106" t="n">
        <v>3322771.23708</v>
      </c>
      <c r="AZ734" s="106" t="n">
        <v>3507760.114986</v>
      </c>
      <c r="BA734" s="106" t="n">
        <v>2240831.51745</v>
      </c>
      <c r="BB734" s="106" t="n">
        <v>0</v>
      </c>
      <c r="BC734" s="106" t="n"/>
      <c r="BD734" s="106" t="n">
        <v>308956.957092</v>
      </c>
      <c r="BE734" s="106" t="n">
        <v>0</v>
      </c>
      <c r="BF734" s="106" t="n">
        <v>17090431.012026</v>
      </c>
      <c r="BG734" s="106" t="n"/>
      <c r="BH734" s="106" t="n"/>
      <c r="BI734" s="106" t="n">
        <v>9620247.980952</v>
      </c>
      <c r="BJ734" s="106" t="n"/>
      <c r="BK734" s="106" t="n"/>
      <c r="BL734" s="115" t="n">
        <v>989160.33018184</v>
      </c>
      <c r="BM734" s="186" t="n">
        <f aca="false" ca="true" dt2D="false" dtr="false" t="normal">SUBTOTAL(9, BN734:CB734)</f>
        <v>46230178.07214184</v>
      </c>
      <c r="BN734" s="106" t="n">
        <v>9150018.922374</v>
      </c>
      <c r="BO734" s="106" t="n">
        <v>3322771.23708</v>
      </c>
      <c r="BP734" s="106" t="n">
        <v>3507760.114986</v>
      </c>
      <c r="BQ734" s="106" t="n">
        <v>2240831.51745</v>
      </c>
      <c r="BR734" s="106" t="n">
        <v>0</v>
      </c>
      <c r="BS734" s="106" t="n"/>
      <c r="BT734" s="106" t="n">
        <v>308956.957092</v>
      </c>
      <c r="BU734" s="106" t="n">
        <v>0</v>
      </c>
      <c r="BV734" s="106" t="n">
        <v>17090431.012026</v>
      </c>
      <c r="BW734" s="106" t="n"/>
      <c r="BX734" s="106" t="n"/>
      <c r="BY734" s="106" t="n">
        <v>9620247.980952</v>
      </c>
      <c r="BZ734" s="106" t="n"/>
      <c r="CA734" s="106" t="n"/>
      <c r="CB734" s="115" t="n">
        <v>989160.33018184</v>
      </c>
      <c r="CD734" s="116" t="e">
        <f aca="false" ca="false" dt2D="false" dtr="false" t="normal">+CD733+1</f>
        <v>#REF!</v>
      </c>
      <c r="CE734" s="117" t="e">
        <f aca="false" ca="false" dt2D="false" dtr="false" t="normal">+CE733+1</f>
        <v>#REF!</v>
      </c>
      <c r="CF734" s="104" t="s">
        <v>221</v>
      </c>
      <c r="CG734" s="104" t="s">
        <v>687</v>
      </c>
      <c r="CH734" s="232" t="n">
        <f aca="false" ca="true" dt2D="false" dtr="false" t="normal">SUBTOTAL(9, CI734:CW734)</f>
        <v>37732498.17999999</v>
      </c>
      <c r="CI734" s="106" t="n">
        <v>9150018.92</v>
      </c>
      <c r="CJ734" s="114" t="n">
        <v>3322771.24</v>
      </c>
      <c r="CK734" s="114" t="n">
        <v>3507760.11</v>
      </c>
      <c r="CL734" s="114" t="n">
        <v>2240831.52</v>
      </c>
      <c r="CM734" s="114" t="n">
        <v>0</v>
      </c>
      <c r="CN734" s="114" t="n"/>
      <c r="CO734" s="106" t="n"/>
      <c r="CP734" s="114" t="n">
        <v>0</v>
      </c>
      <c r="CQ734" s="114" t="n">
        <v>8901708.08</v>
      </c>
      <c r="CR734" s="114" t="n"/>
      <c r="CS734" s="114" t="n"/>
      <c r="CT734" s="114" t="n">
        <v>9620247.98</v>
      </c>
      <c r="CU734" s="114" t="n"/>
      <c r="CV734" s="114" t="n"/>
      <c r="CW734" s="115" t="n">
        <v>989160.33</v>
      </c>
      <c r="CX734" s="3" t="n">
        <f aca="false" ca="false" dt2D="false" dtr="false" t="normal">+N734-CH734</f>
        <v>-989160.3299999908</v>
      </c>
      <c r="CZ734" s="104" t="s">
        <v>687</v>
      </c>
      <c r="DA734" s="186" t="n">
        <f aca="false" ca="true" dt2D="false" dtr="false" t="normal">SUBTOTAL(9, DB734:DP734)</f>
        <v>36743337.849999994</v>
      </c>
      <c r="DB734" s="106" t="n">
        <v>9150018.92</v>
      </c>
      <c r="DC734" s="114" t="n">
        <v>3322771.24</v>
      </c>
      <c r="DD734" s="114" t="n">
        <v>3507760.11</v>
      </c>
      <c r="DE734" s="114" t="n">
        <v>2240831.52</v>
      </c>
      <c r="DF734" s="114" t="n">
        <v>0</v>
      </c>
      <c r="DG734" s="114" t="n"/>
      <c r="DH734" s="106" t="n"/>
      <c r="DI734" s="114" t="n">
        <v>0</v>
      </c>
      <c r="DJ734" s="114" t="n">
        <v>8901708.08</v>
      </c>
      <c r="DK734" s="114" t="n"/>
      <c r="DL734" s="114" t="n"/>
      <c r="DM734" s="114" t="n">
        <v>9620247.98</v>
      </c>
      <c r="DN734" s="114" t="n"/>
      <c r="DO734" s="114" t="n"/>
      <c r="DP734" s="240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</row>
    <row customFormat="true" hidden="false" ht="15" outlineLevel="0" r="735" s="1">
      <c r="A735" s="183" t="n">
        <f aca="false" ca="false" dt2D="false" dtr="false" t="normal">+A734+1</f>
        <v>713</v>
      </c>
      <c r="B735" s="117" t="n">
        <f aca="false" ca="false" dt2D="false" dtr="false" t="normal">+B734+1</f>
        <v>253</v>
      </c>
      <c r="C735" s="117" t="s">
        <v>221</v>
      </c>
      <c r="D735" s="117" t="s">
        <v>419</v>
      </c>
      <c r="E735" s="201" t="n">
        <v>1976</v>
      </c>
      <c r="F735" s="201" t="n">
        <v>1976</v>
      </c>
      <c r="G735" s="201" t="s">
        <v>68</v>
      </c>
      <c r="H735" s="201" t="n">
        <v>5</v>
      </c>
      <c r="I735" s="201" t="n">
        <v>5</v>
      </c>
      <c r="J735" s="114" t="n">
        <v>3760.4</v>
      </c>
      <c r="K735" s="114" t="n">
        <v>2861.4</v>
      </c>
      <c r="L735" s="114" t="n">
        <v>798.2</v>
      </c>
      <c r="M735" s="202" t="n">
        <v>103</v>
      </c>
      <c r="N735" s="108" t="n">
        <f aca="false" ca="false" dt2D="false" dtr="false" t="normal">SUM(P735:T735)</f>
        <v>22238361.36</v>
      </c>
      <c r="O735" s="114" t="n"/>
      <c r="P735" s="113" t="n"/>
      <c r="Q735" s="114" t="n"/>
      <c r="R735" s="113" t="n">
        <v>1178222.92</v>
      </c>
      <c r="S735" s="113" t="n">
        <v>11329984.53</v>
      </c>
      <c r="T735" s="113" t="n">
        <v>9730153.91</v>
      </c>
      <c r="U735" s="114" t="n">
        <v>6449.63154015947</v>
      </c>
      <c r="V735" s="114" t="n">
        <v>1376.283020064</v>
      </c>
      <c r="W735" s="110" t="n">
        <v>2024</v>
      </c>
      <c r="X735" s="9" t="e">
        <f aca="false" ca="false" dt2D="false" dtr="false" t="normal">+#REF!-'[9]Приложение №1'!$P1555</f>
        <v>#REF!</v>
      </c>
      <c r="Z735" s="113" t="n">
        <f aca="false" ca="false" dt2D="false" dtr="false" t="normal">SUM(AA735:AO735)</f>
        <v>64553057.02</v>
      </c>
      <c r="AA735" s="106" t="n">
        <v>10537075.366258</v>
      </c>
      <c r="AB735" s="106" t="n">
        <v>3835013.475832</v>
      </c>
      <c r="AC735" s="106" t="n">
        <v>4042843.38661</v>
      </c>
      <c r="AD735" s="106" t="n">
        <v>2587058.611186</v>
      </c>
      <c r="AE735" s="106" t="n">
        <v>0</v>
      </c>
      <c r="AF735" s="106" t="n"/>
      <c r="AG735" s="106" t="n">
        <v>355628.191716</v>
      </c>
      <c r="AH735" s="106" t="n">
        <v>0</v>
      </c>
      <c r="AI735" s="106" t="n">
        <v>19695633.831832</v>
      </c>
      <c r="AJ735" s="106" t="n">
        <v>0</v>
      </c>
      <c r="AK735" s="106" t="n">
        <v>10278986.262244</v>
      </c>
      <c r="AL735" s="106" t="n">
        <v>11095009.75779</v>
      </c>
      <c r="AM735" s="106" t="n">
        <v>686396.29</v>
      </c>
      <c r="AN735" s="106" t="n">
        <v>74254.35</v>
      </c>
      <c r="AO735" s="115" t="n">
        <v>1365157.496532</v>
      </c>
      <c r="AP735" s="112" t="n">
        <f aca="false" ca="false" dt2D="false" dtr="false" t="normal">+N735-'Приложение №2'!E735</f>
        <v>0</v>
      </c>
      <c r="AQ735" s="121" t="n">
        <f aca="false" ca="false" dt2D="false" dtr="false" t="normal">1678565.67-R344</f>
        <v>1384009.94</v>
      </c>
      <c r="AR735" s="3" t="n">
        <f aca="false" ca="false" dt2D="false" dtr="false" t="normal">+(K735*10.5+L735*21)*12*0.85</f>
        <v>477430.38</v>
      </c>
      <c r="AS735" s="3" t="n">
        <f aca="false" ca="false" dt2D="false" dtr="false" t="normal">+(K735*10.5+L735*21)*12*30-S344</f>
        <v>15799094.28</v>
      </c>
      <c r="AT735" s="9" t="n">
        <f aca="false" ca="false" dt2D="false" dtr="false" t="normal">+S735-AS735</f>
        <v>-4469109.75</v>
      </c>
      <c r="AU735" s="9" t="e">
        <f aca="false" ca="false" dt2D="false" dtr="false" t="normal">+P735-'[5]Приложение №1'!$P656</f>
        <v>#REF!</v>
      </c>
      <c r="AV735" s="9" t="e">
        <f aca="false" ca="false" dt2D="false" dtr="false" t="normal">+Q735-'[5]Приложение №1'!$Q656</f>
        <v>#REF!</v>
      </c>
      <c r="AW735" s="186" t="n">
        <f aca="false" ca="true" dt2D="false" dtr="false" t="normal">SUBTOTAL(9, AX735:BL735)</f>
        <v>18454975.689012323</v>
      </c>
      <c r="AX735" s="106" t="n">
        <v>10537075.366258</v>
      </c>
      <c r="AY735" s="106" t="n">
        <v>3835013.475832</v>
      </c>
      <c r="AZ735" s="106" t="n"/>
      <c r="BA735" s="106" t="n">
        <v>2587058.611186</v>
      </c>
      <c r="BB735" s="106" t="n">
        <v>0</v>
      </c>
      <c r="BC735" s="106" t="n"/>
      <c r="BD735" s="106" t="n">
        <v>355628.191716</v>
      </c>
      <c r="BE735" s="106" t="n">
        <v>0</v>
      </c>
      <c r="BF735" s="106" t="n"/>
      <c r="BG735" s="106" t="n"/>
      <c r="BH735" s="106" t="n"/>
      <c r="BI735" s="106" t="n"/>
      <c r="BJ735" s="106" t="n"/>
      <c r="BK735" s="106" t="n"/>
      <c r="BL735" s="115" t="n">
        <v>1140200.04402032</v>
      </c>
      <c r="BM735" s="186" t="n">
        <f aca="false" ca="true" dt2D="false" dtr="false" t="normal">SUBTOTAL(9, BN735:CB735)</f>
        <v>18454975.689012323</v>
      </c>
      <c r="BN735" s="106" t="n">
        <v>10537075.366258</v>
      </c>
      <c r="BO735" s="106" t="n">
        <v>3835013.475832</v>
      </c>
      <c r="BP735" s="106" t="n"/>
      <c r="BQ735" s="106" t="n">
        <v>2587058.611186</v>
      </c>
      <c r="BR735" s="106" t="n">
        <v>0</v>
      </c>
      <c r="BS735" s="106" t="n"/>
      <c r="BT735" s="106" t="n">
        <v>355628.191716</v>
      </c>
      <c r="BU735" s="106" t="n">
        <v>0</v>
      </c>
      <c r="BV735" s="106" t="n"/>
      <c r="BW735" s="106" t="n"/>
      <c r="BX735" s="106" t="n"/>
      <c r="BY735" s="106" t="n"/>
      <c r="BZ735" s="106" t="n"/>
      <c r="CA735" s="106" t="n"/>
      <c r="CB735" s="115" t="n">
        <v>1140200.04402032</v>
      </c>
      <c r="CD735" s="116" t="e">
        <f aca="false" ca="false" dt2D="false" dtr="false" t="normal">+CD734+1</f>
        <v>#REF!</v>
      </c>
      <c r="CE735" s="117" t="e">
        <f aca="false" ca="false" dt2D="false" dtr="false" t="normal">+CE734+1</f>
        <v>#REF!</v>
      </c>
      <c r="CF735" s="104" t="s">
        <v>221</v>
      </c>
      <c r="CG735" s="104" t="s">
        <v>419</v>
      </c>
      <c r="CH735" s="232" t="n">
        <f aca="false" ca="true" dt2D="false" dtr="false" t="normal">SUBTOTAL(9, CI735:CW735)</f>
        <v>23378561.4</v>
      </c>
      <c r="CI735" s="106" t="n">
        <v>10537075.37</v>
      </c>
      <c r="CJ735" s="114" t="n">
        <v>3835013.48</v>
      </c>
      <c r="CK735" s="114" t="n">
        <v>4042843.39</v>
      </c>
      <c r="CL735" s="114" t="n">
        <v>2587058.61</v>
      </c>
      <c r="CM735" s="114" t="n">
        <v>0</v>
      </c>
      <c r="CN735" s="114" t="n"/>
      <c r="CO735" s="106" t="n"/>
      <c r="CP735" s="114" t="n">
        <v>0</v>
      </c>
      <c r="CQ735" s="243" t="n">
        <v>1236370.51</v>
      </c>
      <c r="CR735" s="114" t="n"/>
      <c r="CS735" s="114" t="n"/>
      <c r="CT735" s="114" t="n"/>
      <c r="CU735" s="114" t="n"/>
      <c r="CV735" s="114" t="n"/>
      <c r="CW735" s="115" t="n">
        <v>1140200.04</v>
      </c>
      <c r="CX735" s="3" t="n">
        <f aca="false" ca="false" dt2D="false" dtr="false" t="normal">+N735-CH735</f>
        <v>-1140200.039999999</v>
      </c>
      <c r="CZ735" s="104" t="s">
        <v>419</v>
      </c>
      <c r="DA735" s="186" t="n">
        <f aca="false" ca="true" dt2D="false" dtr="false" t="normal">SUBTOTAL(9, DB735:DP735)</f>
        <v>22238361.36</v>
      </c>
      <c r="DB735" s="106" t="n">
        <v>10537075.37</v>
      </c>
      <c r="DC735" s="114" t="n">
        <v>3835013.48</v>
      </c>
      <c r="DD735" s="114" t="n">
        <v>4042843.39</v>
      </c>
      <c r="DE735" s="114" t="n">
        <v>2587058.61</v>
      </c>
      <c r="DF735" s="114" t="n">
        <v>0</v>
      </c>
      <c r="DG735" s="114" t="n"/>
      <c r="DH735" s="106" t="n"/>
      <c r="DI735" s="114" t="n">
        <v>0</v>
      </c>
      <c r="DJ735" s="243" t="n">
        <v>1236370.51</v>
      </c>
      <c r="DK735" s="114" t="n"/>
      <c r="DL735" s="114" t="n"/>
      <c r="DM735" s="114" t="n"/>
      <c r="DN735" s="114" t="n"/>
      <c r="DO735" s="114" t="n"/>
      <c r="DP735" s="240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</row>
    <row customFormat="true" hidden="false" ht="15" outlineLevel="0" r="736" s="1">
      <c r="A736" s="183" t="n">
        <f aca="false" ca="false" dt2D="false" dtr="false" t="normal">+A735+1</f>
        <v>714</v>
      </c>
      <c r="B736" s="117" t="n">
        <f aca="false" ca="false" dt2D="false" dtr="false" t="normal">+B735+1</f>
        <v>254</v>
      </c>
      <c r="C736" s="117" t="s">
        <v>221</v>
      </c>
      <c r="D736" s="117" t="s">
        <v>420</v>
      </c>
      <c r="E736" s="201" t="n">
        <v>1967</v>
      </c>
      <c r="F736" s="201" t="n">
        <v>1967</v>
      </c>
      <c r="G736" s="201" t="s">
        <v>68</v>
      </c>
      <c r="H736" s="201" t="n">
        <v>3</v>
      </c>
      <c r="I736" s="201" t="n">
        <v>2</v>
      </c>
      <c r="J736" s="114" t="n">
        <v>994.3</v>
      </c>
      <c r="K736" s="114" t="n">
        <v>775.2</v>
      </c>
      <c r="L736" s="114" t="n">
        <v>168.7</v>
      </c>
      <c r="M736" s="202" t="n">
        <v>26</v>
      </c>
      <c r="N736" s="108" t="n">
        <f aca="false" ca="false" dt2D="false" dtr="false" t="normal">SUM(P736:T736)</f>
        <v>2579824.2199999997</v>
      </c>
      <c r="O736" s="114" t="n"/>
      <c r="P736" s="114" t="n"/>
      <c r="Q736" s="114" t="n"/>
      <c r="R736" s="113" t="n">
        <v>486776.28</v>
      </c>
      <c r="S736" s="113" t="n">
        <v>1299265.38</v>
      </c>
      <c r="T736" s="113" t="n">
        <v>793782.56</v>
      </c>
      <c r="U736" s="114" t="n">
        <v>1325.78203196453</v>
      </c>
      <c r="V736" s="114" t="n">
        <v>1325.78203196453</v>
      </c>
      <c r="W736" s="110" t="n">
        <v>2024</v>
      </c>
      <c r="X736" s="9" t="e">
        <f aca="false" ca="false" dt2D="false" dtr="false" t="normal">+#REF!-'[9]Приложение №1'!$P1673</f>
        <v>#REF!</v>
      </c>
      <c r="Z736" s="113" t="n">
        <f aca="false" ca="false" dt2D="false" dtr="false" t="normal">SUM(AA736:AO736)</f>
        <v>34167233.34</v>
      </c>
      <c r="AA736" s="106" t="n">
        <v>3079218.06645726</v>
      </c>
      <c r="AB736" s="106" t="n">
        <v>1873658.31769158</v>
      </c>
      <c r="AC736" s="106" t="n">
        <v>882894.70095414</v>
      </c>
      <c r="AD736" s="106" t="n">
        <v>752401.61084172</v>
      </c>
      <c r="AE736" s="106" t="n">
        <v>0</v>
      </c>
      <c r="AF736" s="106" t="n"/>
      <c r="AG736" s="106" t="n">
        <v>291874.83960432</v>
      </c>
      <c r="AH736" s="106" t="n">
        <v>0</v>
      </c>
      <c r="AI736" s="106" t="n">
        <v>8907648.2312202</v>
      </c>
      <c r="AJ736" s="106" t="n">
        <v>0</v>
      </c>
      <c r="AK736" s="106" t="n">
        <v>7283473.63502934</v>
      </c>
      <c r="AL736" s="106" t="n">
        <v>6854126.4005718</v>
      </c>
      <c r="AM736" s="106" t="n">
        <v>3245859.594</v>
      </c>
      <c r="AN736" s="114" t="n">
        <v>341672.3334</v>
      </c>
      <c r="AO736" s="115" t="n">
        <v>654405.61022964</v>
      </c>
      <c r="AP736" s="112" t="n">
        <f aca="false" ca="false" dt2D="false" dtr="false" t="normal">+N736-'Приложение №2'!E736</f>
        <v>0</v>
      </c>
      <c r="AQ736" s="1" t="n">
        <v>373291.08</v>
      </c>
      <c r="AR736" s="3" t="n">
        <f aca="false" ca="false" dt2D="false" dtr="false" t="normal">+(K736*10+L736*20)*12*0.85</f>
        <v>113485.2</v>
      </c>
      <c r="AS736" s="3" t="n">
        <f aca="false" ca="false" dt2D="false" dtr="false" t="normal">+(K736*10+L736*20)*12*30</f>
        <v>4005360</v>
      </c>
      <c r="AT736" s="9" t="n">
        <f aca="false" ca="false" dt2D="false" dtr="false" t="normal">+S736-AS736</f>
        <v>-2706094.62</v>
      </c>
      <c r="AU736" s="9" t="e">
        <f aca="false" ca="false" dt2D="false" dtr="false" t="normal">+#REF!-'[5]Приложение №1'!$P649</f>
        <v>#REF!</v>
      </c>
      <c r="AV736" s="9" t="e">
        <f aca="false" ca="false" dt2D="false" dtr="false" t="normal">+Q736-'[5]Приложение №1'!$Q649</f>
        <v>#REF!</v>
      </c>
      <c r="AW736" s="113" t="n">
        <f aca="false" ca="true" dt2D="false" dtr="false" t="normal">SUBTOTAL(9, AX736:BL736)</f>
        <v>1251405.65997132</v>
      </c>
      <c r="AX736" s="106" t="n"/>
      <c r="AY736" s="106" t="n"/>
      <c r="AZ736" s="106" t="n">
        <v>970374.211338</v>
      </c>
      <c r="BA736" s="106" t="n"/>
      <c r="BB736" s="106" t="n">
        <v>0</v>
      </c>
      <c r="BC736" s="106" t="n"/>
      <c r="BD736" s="106" t="n"/>
      <c r="BE736" s="106" t="n">
        <v>0</v>
      </c>
      <c r="BF736" s="106" t="n"/>
      <c r="BG736" s="106" t="n">
        <v>0</v>
      </c>
      <c r="BH736" s="106" t="n"/>
      <c r="BI736" s="106" t="n"/>
      <c r="BJ736" s="106" t="n"/>
      <c r="BK736" s="114" t="n"/>
      <c r="BL736" s="115" t="n">
        <v>281031.44863332</v>
      </c>
      <c r="BM736" s="113" t="n">
        <f aca="false" ca="true" dt2D="false" dtr="false" t="normal">SUBTOTAL(9, BN736:CB736)</f>
        <v>1251405.65997132</v>
      </c>
      <c r="BN736" s="106" t="n"/>
      <c r="BO736" s="106" t="n"/>
      <c r="BP736" s="106" t="n">
        <v>970374.211338</v>
      </c>
      <c r="BQ736" s="106" t="n"/>
      <c r="BR736" s="106" t="n">
        <v>0</v>
      </c>
      <c r="BS736" s="106" t="n"/>
      <c r="BT736" s="106" t="n"/>
      <c r="BU736" s="106" t="n">
        <v>0</v>
      </c>
      <c r="BV736" s="106" t="n"/>
      <c r="BW736" s="106" t="n">
        <v>0</v>
      </c>
      <c r="BX736" s="106" t="n"/>
      <c r="BY736" s="106" t="n"/>
      <c r="BZ736" s="106" t="n"/>
      <c r="CA736" s="114" t="n"/>
      <c r="CB736" s="115" t="n">
        <v>281031.44863332</v>
      </c>
      <c r="CD736" s="116" t="e">
        <f aca="false" ca="false" dt2D="false" dtr="false" t="normal">+CD735+1</f>
        <v>#REF!</v>
      </c>
      <c r="CE736" s="117" t="e">
        <f aca="false" ca="false" dt2D="false" dtr="false" t="normal">+CE735+1</f>
        <v>#REF!</v>
      </c>
      <c r="CF736" s="104" t="s">
        <v>221</v>
      </c>
      <c r="CG736" s="104" t="s">
        <v>420</v>
      </c>
      <c r="CH736" s="108" t="n">
        <f aca="false" ca="true" dt2D="false" dtr="false" t="normal">SUBTOTAL(9, CI736:CW736)</f>
        <v>2860855.6700000004</v>
      </c>
      <c r="CI736" s="106" t="n"/>
      <c r="CJ736" s="243" t="n">
        <v>812378.4</v>
      </c>
      <c r="CK736" s="243" t="n">
        <v>1020805.68</v>
      </c>
      <c r="CL736" s="114" t="n">
        <v>341058.14</v>
      </c>
      <c r="CM736" s="114" t="n">
        <v>0</v>
      </c>
      <c r="CN736" s="114" t="n"/>
      <c r="CO736" s="106" t="n"/>
      <c r="CP736" s="114" t="n">
        <v>0</v>
      </c>
      <c r="CQ736" s="114" t="n"/>
      <c r="CR736" s="114" t="n">
        <v>0</v>
      </c>
      <c r="CS736" s="114" t="n"/>
      <c r="CT736" s="243" t="n">
        <v>405582</v>
      </c>
      <c r="CU736" s="114" t="n"/>
      <c r="CV736" s="114" t="n"/>
      <c r="CW736" s="115" t="n">
        <v>281031.45</v>
      </c>
      <c r="CX736" s="3" t="n">
        <f aca="false" ca="false" dt2D="false" dtr="false" t="normal">+N736-CH736</f>
        <v>-281031.45000000065</v>
      </c>
      <c r="CZ736" s="104" t="s">
        <v>420</v>
      </c>
      <c r="DA736" s="113" t="n">
        <f aca="false" ca="true" dt2D="false" dtr="false" t="normal">SUBTOTAL(9, DB736:DP736)</f>
        <v>2579824.22</v>
      </c>
      <c r="DB736" s="106" t="n"/>
      <c r="DC736" s="243" t="n">
        <v>812378.4</v>
      </c>
      <c r="DD736" s="243" t="n">
        <v>1020805.68</v>
      </c>
      <c r="DE736" s="114" t="n">
        <v>341058.14</v>
      </c>
      <c r="DF736" s="114" t="n">
        <v>0</v>
      </c>
      <c r="DG736" s="114" t="n"/>
      <c r="DH736" s="106" t="n"/>
      <c r="DI736" s="114" t="n">
        <v>0</v>
      </c>
      <c r="DJ736" s="114" t="n"/>
      <c r="DK736" s="114" t="n">
        <v>0</v>
      </c>
      <c r="DL736" s="114" t="n"/>
      <c r="DM736" s="243" t="n">
        <v>405582</v>
      </c>
      <c r="DN736" s="114" t="n"/>
      <c r="DO736" s="114" t="n"/>
      <c r="DP736" s="240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</row>
    <row customFormat="true" hidden="false" ht="15" outlineLevel="0" r="737" s="1">
      <c r="A737" s="183" t="n">
        <f aca="false" ca="false" dt2D="false" dtr="false" t="normal">+A736+1</f>
        <v>715</v>
      </c>
      <c r="B737" s="117" t="n">
        <f aca="false" ca="false" dt2D="false" dtr="false" t="normal">+B736+1</f>
        <v>255</v>
      </c>
      <c r="C737" s="117" t="s">
        <v>221</v>
      </c>
      <c r="D737" s="117" t="s">
        <v>421</v>
      </c>
      <c r="E737" s="201" t="n">
        <v>1970</v>
      </c>
      <c r="F737" s="201" t="n">
        <v>1970</v>
      </c>
      <c r="G737" s="201" t="s">
        <v>68</v>
      </c>
      <c r="H737" s="201" t="n">
        <v>3</v>
      </c>
      <c r="I737" s="201" t="n">
        <v>3</v>
      </c>
      <c r="J737" s="114" t="n">
        <v>1002.4</v>
      </c>
      <c r="K737" s="114" t="n">
        <v>930.4</v>
      </c>
      <c r="L737" s="114" t="n">
        <v>71.8</v>
      </c>
      <c r="M737" s="202" t="n">
        <v>40</v>
      </c>
      <c r="N737" s="108" t="n">
        <f aca="false" ca="false" dt2D="false" dtr="false" t="normal">SUM(P737:T737)</f>
        <v>14939332.68</v>
      </c>
      <c r="O737" s="114" t="n"/>
      <c r="P737" s="113" t="n"/>
      <c r="Q737" s="114" t="n"/>
      <c r="R737" s="113" t="n">
        <v>290233</v>
      </c>
      <c r="S737" s="114" t="n">
        <v>0</v>
      </c>
      <c r="T737" s="113" t="n">
        <v>14649099.68</v>
      </c>
      <c r="U737" s="114" t="n">
        <v>8823.14227608169</v>
      </c>
      <c r="V737" s="114" t="n">
        <v>1370.283020064</v>
      </c>
      <c r="W737" s="110" t="n">
        <v>2024</v>
      </c>
      <c r="X737" s="9" t="e">
        <f aca="false" ca="false" dt2D="false" dtr="false" t="normal">+#REF!-'[9]Приложение №1'!$P1176</f>
        <v>#REF!</v>
      </c>
      <c r="Z737" s="113" t="n">
        <f aca="false" ca="false" dt2D="false" dtr="false" t="normal">SUM(AA737:AO737)</f>
        <v>37138619.279999994</v>
      </c>
      <c r="AA737" s="106" t="n">
        <v>3347005.1922762</v>
      </c>
      <c r="AB737" s="106" t="n">
        <v>2036602.79352348</v>
      </c>
      <c r="AC737" s="106" t="n">
        <v>959676.4727151</v>
      </c>
      <c r="AD737" s="106" t="n">
        <v>817834.93398936</v>
      </c>
      <c r="AE737" s="106" t="n">
        <v>0</v>
      </c>
      <c r="AF737" s="106" t="n"/>
      <c r="AG737" s="106" t="n">
        <v>317258.0186874</v>
      </c>
      <c r="AH737" s="106" t="n">
        <v>0</v>
      </c>
      <c r="AI737" s="106" t="n">
        <v>9682310.3290956</v>
      </c>
      <c r="AJ737" s="106" t="n">
        <v>0</v>
      </c>
      <c r="AK737" s="106" t="n">
        <v>7916887.84777716</v>
      </c>
      <c r="AL737" s="106" t="n">
        <v>7450202.02277148</v>
      </c>
      <c r="AM737" s="106" t="n">
        <v>3528138.8599</v>
      </c>
      <c r="AN737" s="114" t="n">
        <v>371386.1928</v>
      </c>
      <c r="AO737" s="115" t="n">
        <v>711316.61646422</v>
      </c>
      <c r="AP737" s="112" t="n">
        <f aca="false" ca="false" dt2D="false" dtr="false" t="normal">+N737-'Приложение №2'!E737</f>
        <v>0</v>
      </c>
      <c r="AQ737" s="121" t="n">
        <f aca="false" ca="false" dt2D="false" dtr="false" t="normal">503547.06-R346</f>
        <v>-115025.39999999997</v>
      </c>
      <c r="AR737" s="3" t="n">
        <f aca="false" ca="false" dt2D="false" dtr="false" t="normal">+(K737*10.5+L737*21)*12*0.85</f>
        <v>115025.39999999997</v>
      </c>
      <c r="AS737" s="3" t="n">
        <f aca="false" ca="false" dt2D="false" dtr="false" t="normal">+(K737*10.5+L737*21)*12*30-S346</f>
        <v>-545194.6800000006</v>
      </c>
      <c r="AT737" s="9" t="n">
        <f aca="false" ca="false" dt2D="false" dtr="false" t="normal">+S737-AS737</f>
        <v>545194.6800000006</v>
      </c>
      <c r="AU737" s="9" t="e">
        <f aca="false" ca="false" dt2D="false" dtr="false" t="normal">+P737-'[5]Приложение №1'!$P650</f>
        <v>#REF!</v>
      </c>
      <c r="AV737" s="9" t="e">
        <f aca="false" ca="false" dt2D="false" dtr="false" t="normal">+Q737-'[5]Приложение №1'!$Q650</f>
        <v>#REF!</v>
      </c>
      <c r="AW737" s="186" t="n">
        <f aca="false" ca="true" dt2D="false" dtr="false" t="normal">SUBTOTAL(9, AX737:BL737)</f>
        <v>8209051.5736664</v>
      </c>
      <c r="AX737" s="106" t="n">
        <v>3347005.1922762</v>
      </c>
      <c r="AY737" s="106" t="n">
        <v>2036602.79352348</v>
      </c>
      <c r="AZ737" s="106" t="n">
        <v>959676.4727151</v>
      </c>
      <c r="BA737" s="106" t="n">
        <v>837192.48</v>
      </c>
      <c r="BB737" s="106" t="n">
        <v>0</v>
      </c>
      <c r="BC737" s="106" t="n"/>
      <c r="BD737" s="106" t="n">
        <v>317258.0186874</v>
      </c>
      <c r="BE737" s="106" t="n">
        <v>0</v>
      </c>
      <c r="BF737" s="106" t="n"/>
      <c r="BG737" s="106" t="n">
        <v>0</v>
      </c>
      <c r="BH737" s="106" t="n"/>
      <c r="BI737" s="106" t="n"/>
      <c r="BJ737" s="106" t="n"/>
      <c r="BK737" s="114" t="n"/>
      <c r="BL737" s="115" t="n">
        <v>711316.61646422</v>
      </c>
      <c r="BM737" s="186" t="n">
        <f aca="false" ca="true" dt2D="false" dtr="false" t="normal">SUBTOTAL(9, BN737:CB737)</f>
        <v>8209051.5736664</v>
      </c>
      <c r="BN737" s="106" t="n">
        <v>3347005.1922762</v>
      </c>
      <c r="BO737" s="106" t="n">
        <v>2036602.79352348</v>
      </c>
      <c r="BP737" s="106" t="n">
        <v>959676.4727151</v>
      </c>
      <c r="BQ737" s="106" t="n">
        <v>837192.48</v>
      </c>
      <c r="BR737" s="106" t="n">
        <v>0</v>
      </c>
      <c r="BS737" s="106" t="n"/>
      <c r="BT737" s="106" t="n">
        <v>317258.0186874</v>
      </c>
      <c r="BU737" s="106" t="n">
        <v>0</v>
      </c>
      <c r="BV737" s="106" t="n"/>
      <c r="BW737" s="106" t="n">
        <v>0</v>
      </c>
      <c r="BX737" s="106" t="n"/>
      <c r="BY737" s="106" t="n"/>
      <c r="BZ737" s="106" t="n"/>
      <c r="CA737" s="114" t="n"/>
      <c r="CB737" s="115" t="n">
        <v>711316.61646422</v>
      </c>
      <c r="CD737" s="116" t="e">
        <f aca="false" ca="false" dt2D="false" dtr="false" t="normal">+CD736+1</f>
        <v>#REF!</v>
      </c>
      <c r="CE737" s="117" t="e">
        <f aca="false" ca="false" dt2D="false" dtr="false" t="normal">+CE736+1</f>
        <v>#REF!</v>
      </c>
      <c r="CF737" s="104" t="s">
        <v>221</v>
      </c>
      <c r="CG737" s="104" t="s">
        <v>421</v>
      </c>
      <c r="CH737" s="232" t="n">
        <f aca="false" ca="true" dt2D="false" dtr="false" t="normal">SUBTOTAL(9, CI737:CW737)</f>
        <v>15650649.3</v>
      </c>
      <c r="CI737" s="106" t="n">
        <v>3347005.19</v>
      </c>
      <c r="CJ737" s="114" t="n">
        <v>2036602.79</v>
      </c>
      <c r="CK737" s="114" t="n"/>
      <c r="CL737" s="114" t="n">
        <v>837192.48</v>
      </c>
      <c r="CM737" s="114" t="n">
        <v>0</v>
      </c>
      <c r="CN737" s="114" t="n"/>
      <c r="CO737" s="106" t="n"/>
      <c r="CP737" s="114" t="n">
        <v>0</v>
      </c>
      <c r="CQ737" s="114" t="n"/>
      <c r="CR737" s="114" t="n">
        <v>0</v>
      </c>
      <c r="CS737" s="114" t="n">
        <v>8718532.22</v>
      </c>
      <c r="CT737" s="114" t="n"/>
      <c r="CU737" s="114" t="n"/>
      <c r="CV737" s="114" t="n"/>
      <c r="CW737" s="115" t="n">
        <v>711316.62</v>
      </c>
      <c r="CX737" s="3" t="n">
        <f aca="false" ca="false" dt2D="false" dtr="false" t="normal">+N737-CH737</f>
        <v>-711316.620000001</v>
      </c>
      <c r="CZ737" s="104" t="s">
        <v>421</v>
      </c>
      <c r="DA737" s="186" t="n">
        <f aca="false" ca="true" dt2D="false" dtr="false" t="normal">SUBTOTAL(9, DB737:DP737)</f>
        <v>14939332.680000002</v>
      </c>
      <c r="DB737" s="106" t="n">
        <v>3347005.19</v>
      </c>
      <c r="DC737" s="114" t="n">
        <v>2036602.79</v>
      </c>
      <c r="DD737" s="114" t="n"/>
      <c r="DE737" s="114" t="n">
        <v>837192.48</v>
      </c>
      <c r="DF737" s="114" t="n">
        <v>0</v>
      </c>
      <c r="DG737" s="114" t="n"/>
      <c r="DH737" s="106" t="n"/>
      <c r="DI737" s="114" t="n">
        <v>0</v>
      </c>
      <c r="DJ737" s="114" t="n"/>
      <c r="DK737" s="114" t="n">
        <v>0</v>
      </c>
      <c r="DL737" s="114" t="n">
        <v>8718532.22</v>
      </c>
      <c r="DM737" s="114" t="n"/>
      <c r="DN737" s="114" t="n"/>
      <c r="DO737" s="114" t="n"/>
      <c r="DP737" s="240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</row>
    <row customFormat="true" hidden="false" ht="15" outlineLevel="0" r="738" s="1">
      <c r="A738" s="183" t="n">
        <f aca="false" ca="false" dt2D="false" dtr="false" t="normal">+A737+1</f>
        <v>716</v>
      </c>
      <c r="B738" s="117" t="n">
        <f aca="false" ca="false" dt2D="false" dtr="false" t="normal">+B737+1</f>
        <v>256</v>
      </c>
      <c r="C738" s="117" t="s">
        <v>221</v>
      </c>
      <c r="D738" s="117" t="s">
        <v>688</v>
      </c>
      <c r="E738" s="201" t="s">
        <v>689</v>
      </c>
      <c r="F738" s="201" t="n"/>
      <c r="G738" s="201" t="s">
        <v>68</v>
      </c>
      <c r="H738" s="201" t="s">
        <v>126</v>
      </c>
      <c r="I738" s="201" t="s">
        <v>105</v>
      </c>
      <c r="J738" s="114" t="n">
        <v>5398.2</v>
      </c>
      <c r="K738" s="114" t="n">
        <v>4716.7</v>
      </c>
      <c r="L738" s="114" t="n">
        <v>0</v>
      </c>
      <c r="M738" s="202" t="n">
        <v>166</v>
      </c>
      <c r="N738" s="108" t="n">
        <f aca="false" ca="false" dt2D="false" dtr="false" t="normal">SUM(P738:T738)</f>
        <v>8366611.1</v>
      </c>
      <c r="O738" s="114" t="n"/>
      <c r="P738" s="114" t="n"/>
      <c r="Q738" s="113" t="n">
        <v>718272</v>
      </c>
      <c r="R738" s="113" t="n">
        <v>3771476.17</v>
      </c>
      <c r="S738" s="113" t="n">
        <v>3876862.93</v>
      </c>
      <c r="T738" s="114" t="n">
        <v>0</v>
      </c>
      <c r="U738" s="114" t="n">
        <v>1811.033137575</v>
      </c>
      <c r="V738" s="114" t="n">
        <v>1371.283020064</v>
      </c>
      <c r="W738" s="110" t="n">
        <v>2024</v>
      </c>
      <c r="X738" s="9" t="n"/>
      <c r="Z738" s="113" t="n"/>
      <c r="AA738" s="106" t="n"/>
      <c r="AB738" s="106" t="n"/>
      <c r="AC738" s="106" t="n"/>
      <c r="AD738" s="106" t="n"/>
      <c r="AE738" s="106" t="n"/>
      <c r="AF738" s="106" t="n"/>
      <c r="AG738" s="106" t="n"/>
      <c r="AH738" s="106" t="n"/>
      <c r="AI738" s="106" t="n"/>
      <c r="AJ738" s="106" t="n"/>
      <c r="AK738" s="106" t="n"/>
      <c r="AL738" s="106" t="n"/>
      <c r="AM738" s="106" t="n"/>
      <c r="AN738" s="114" t="n"/>
      <c r="AO738" s="115" t="n"/>
      <c r="AP738" s="112" t="n">
        <f aca="false" ca="false" dt2D="false" dtr="false" t="normal">+N738-'Приложение №2'!E738</f>
        <v>0</v>
      </c>
      <c r="AQ738" s="121" t="n">
        <v>3100336.93</v>
      </c>
      <c r="AR738" s="3" t="n">
        <f aca="false" ca="false" dt2D="false" dtr="false" t="normal">+(K738*13.95+L738*23.65)*12*0.85</f>
        <v>671139.2429999999</v>
      </c>
      <c r="AS738" s="3" t="n">
        <f aca="false" ca="false" dt2D="false" dtr="false" t="normal">+(K738*13.95+L738*23.65)*12*30</f>
        <v>23687267.4</v>
      </c>
      <c r="AT738" s="9" t="n"/>
      <c r="AU738" s="9" t="n"/>
      <c r="AV738" s="9" t="n"/>
      <c r="AW738" s="186" t="n">
        <f aca="false" ca="true" dt2D="false" dtr="false" t="normal">SUBTOTAL(9, AX738:BL738)</f>
        <v>8542100</v>
      </c>
      <c r="AX738" s="106" t="n"/>
      <c r="AY738" s="106" t="n"/>
      <c r="AZ738" s="106" t="n"/>
      <c r="BA738" s="106" t="n"/>
      <c r="BB738" s="106" t="n"/>
      <c r="BC738" s="106" t="n"/>
      <c r="BD738" s="106" t="n"/>
      <c r="BE738" s="106" t="n">
        <v>8024927.0976</v>
      </c>
      <c r="BF738" s="106" t="n"/>
      <c r="BG738" s="106" t="n"/>
      <c r="BH738" s="106" t="n"/>
      <c r="BI738" s="106" t="n"/>
      <c r="BJ738" s="106" t="n">
        <v>256263</v>
      </c>
      <c r="BK738" s="114" t="n">
        <v>85421</v>
      </c>
      <c r="BL738" s="115" t="n">
        <v>175488.9024</v>
      </c>
      <c r="BM738" s="186" t="n">
        <f aca="false" ca="true" dt2D="false" dtr="false" t="normal">SUBTOTAL(9, BN738:CB738)</f>
        <v>8542100</v>
      </c>
      <c r="BN738" s="106" t="n"/>
      <c r="BO738" s="106" t="n"/>
      <c r="BP738" s="106" t="n"/>
      <c r="BQ738" s="106" t="n"/>
      <c r="BR738" s="106" t="n"/>
      <c r="BS738" s="106" t="n"/>
      <c r="BT738" s="106" t="n"/>
      <c r="BU738" s="106" t="n">
        <v>8024927.0976</v>
      </c>
      <c r="BV738" s="106" t="n"/>
      <c r="BW738" s="106" t="n"/>
      <c r="BX738" s="106" t="n"/>
      <c r="BY738" s="106" t="n"/>
      <c r="BZ738" s="106" t="n">
        <v>256263</v>
      </c>
      <c r="CA738" s="114" t="n">
        <v>85421</v>
      </c>
      <c r="CB738" s="115" t="n">
        <v>175488.9024</v>
      </c>
      <c r="CD738" s="116" t="e">
        <f aca="false" ca="false" dt2D="false" dtr="false" t="normal">+CD737+1</f>
        <v>#REF!</v>
      </c>
      <c r="CE738" s="117" t="e">
        <f aca="false" ca="false" dt2D="false" dtr="false" t="normal">+CE737+1</f>
        <v>#REF!</v>
      </c>
      <c r="CF738" s="104" t="s">
        <v>221</v>
      </c>
      <c r="CG738" s="104" t="s">
        <v>688</v>
      </c>
      <c r="CH738" s="232" t="n">
        <f aca="false" ca="true" dt2D="false" dtr="false" t="normal">SUBTOTAL(9, CI738:CW738)</f>
        <v>8366611.1</v>
      </c>
      <c r="CI738" s="106" t="n"/>
      <c r="CJ738" s="114" t="n"/>
      <c r="CK738" s="114" t="n"/>
      <c r="CL738" s="114" t="n"/>
      <c r="CM738" s="114" t="n"/>
      <c r="CN738" s="114" t="n"/>
      <c r="CO738" s="106" t="n"/>
      <c r="CP738" s="114" t="n">
        <v>8024927.1</v>
      </c>
      <c r="CQ738" s="114" t="n"/>
      <c r="CR738" s="114" t="n"/>
      <c r="CS738" s="114" t="n"/>
      <c r="CT738" s="114" t="n"/>
      <c r="CU738" s="114" t="n">
        <v>256263</v>
      </c>
      <c r="CV738" s="114" t="n">
        <v>85421</v>
      </c>
      <c r="CW738" s="240" t="n"/>
      <c r="CX738" s="3" t="n">
        <f aca="false" ca="false" dt2D="false" dtr="false" t="normal">+N738-CH738</f>
        <v>0</v>
      </c>
      <c r="CZ738" s="104" t="s">
        <v>688</v>
      </c>
      <c r="DA738" s="186" t="n">
        <f aca="false" ca="true" dt2D="false" dtr="false" t="normal">SUBTOTAL(9, DB738:DP738)</f>
        <v>8366611.1</v>
      </c>
      <c r="DB738" s="106" t="n"/>
      <c r="DC738" s="114" t="n"/>
      <c r="DD738" s="114" t="n"/>
      <c r="DE738" s="114" t="n"/>
      <c r="DF738" s="114" t="n"/>
      <c r="DG738" s="114" t="n"/>
      <c r="DH738" s="106" t="n"/>
      <c r="DI738" s="114" t="n">
        <v>8024927.1</v>
      </c>
      <c r="DJ738" s="114" t="n"/>
      <c r="DK738" s="114" t="n"/>
      <c r="DL738" s="114" t="n"/>
      <c r="DM738" s="114" t="n"/>
      <c r="DN738" s="114" t="n">
        <v>256263</v>
      </c>
      <c r="DO738" s="114" t="n">
        <v>85421</v>
      </c>
      <c r="DP738" s="240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</row>
    <row customFormat="true" hidden="false" ht="15" outlineLevel="0" r="739" s="1">
      <c r="A739" s="183" t="n">
        <f aca="false" ca="false" dt2D="false" dtr="false" t="normal">+A738+1</f>
        <v>717</v>
      </c>
      <c r="B739" s="117" t="n">
        <f aca="false" ca="false" dt2D="false" dtr="false" t="normal">+B738+1</f>
        <v>257</v>
      </c>
      <c r="C739" s="117" t="s">
        <v>221</v>
      </c>
      <c r="D739" s="117" t="s">
        <v>225</v>
      </c>
      <c r="E739" s="201" t="n">
        <v>1974</v>
      </c>
      <c r="F739" s="201" t="n">
        <v>1974</v>
      </c>
      <c r="G739" s="201" t="s">
        <v>68</v>
      </c>
      <c r="H739" s="201" t="n">
        <v>4</v>
      </c>
      <c r="I739" s="201" t="n">
        <v>3</v>
      </c>
      <c r="J739" s="114" t="n">
        <v>1380.9</v>
      </c>
      <c r="K739" s="114" t="n">
        <v>1261.1</v>
      </c>
      <c r="L739" s="114" t="n">
        <v>0</v>
      </c>
      <c r="M739" s="202" t="n">
        <v>43</v>
      </c>
      <c r="N739" s="108" t="n">
        <f aca="false" ca="false" dt2D="false" dtr="false" t="normal">SUM(P739:T739)</f>
        <v>14373809.8</v>
      </c>
      <c r="O739" s="114" t="n"/>
      <c r="P739" s="259" t="n"/>
      <c r="Q739" s="114" t="n"/>
      <c r="R739" s="113" t="n">
        <v>135063.81</v>
      </c>
      <c r="S739" s="113" t="n">
        <v>5119452.09</v>
      </c>
      <c r="T739" s="113" t="n">
        <v>9119293.9</v>
      </c>
      <c r="U739" s="114" t="n">
        <v>4385.45288943538</v>
      </c>
      <c r="V739" s="114" t="n">
        <v>1372.283020064</v>
      </c>
      <c r="W739" s="110" t="n">
        <v>2024</v>
      </c>
      <c r="X739" s="9" t="e">
        <f aca="false" ca="false" dt2D="false" dtr="false" t="normal">+#REF!-'[9]Приложение №1'!$P1514</f>
        <v>#REF!</v>
      </c>
      <c r="Z739" s="113" t="n">
        <f aca="false" ca="false" dt2D="false" dtr="false" t="normal">SUM(AA739:AO739)</f>
        <v>24082184.680000003</v>
      </c>
      <c r="AA739" s="106" t="n">
        <v>3459603.09489522</v>
      </c>
      <c r="AB739" s="106" t="n">
        <v>1248096.36492156</v>
      </c>
      <c r="AC739" s="106" t="n">
        <v>1303954.6600395</v>
      </c>
      <c r="AD739" s="106" t="n">
        <v>816386.97648732</v>
      </c>
      <c r="AE739" s="106" t="n">
        <v>0</v>
      </c>
      <c r="AF739" s="106" t="n"/>
      <c r="AG739" s="106" t="n">
        <v>124822.049583</v>
      </c>
      <c r="AH739" s="106" t="n">
        <v>0</v>
      </c>
      <c r="AI739" s="106" t="n">
        <v>6403192.8421986</v>
      </c>
      <c r="AJ739" s="106" t="n">
        <v>838109.1053244</v>
      </c>
      <c r="AK739" s="106" t="n">
        <v>3324589.38292698</v>
      </c>
      <c r="AL739" s="106" t="n">
        <v>3585887.05339116</v>
      </c>
      <c r="AM739" s="106" t="n">
        <v>2275205.5373</v>
      </c>
      <c r="AN739" s="114" t="n">
        <v>240821.8468</v>
      </c>
      <c r="AO739" s="115" t="n">
        <v>461515.76613226</v>
      </c>
      <c r="AP739" s="112" t="n">
        <f aca="false" ca="false" dt2D="false" dtr="false" t="normal">+N739-'Приложение №2'!E739</f>
        <v>0</v>
      </c>
      <c r="AQ739" s="9" t="n">
        <f aca="false" ca="false" dt2D="false" dtr="false" t="normal">656646.01-R151</f>
        <v>14721.25</v>
      </c>
      <c r="AR739" s="3" t="n">
        <f aca="false" ca="false" dt2D="false" dtr="false" t="normal">+(K739*10.5+L739*21)*12*0.85</f>
        <v>135063.80999999997</v>
      </c>
      <c r="AS739" s="3" t="n">
        <f aca="false" ca="false" dt2D="false" dtr="false" t="normal">+(K739*10.5+L739*21)*12*30-S151</f>
        <v>4343064.6899999995</v>
      </c>
      <c r="AT739" s="9" t="n">
        <f aca="false" ca="false" dt2D="false" dtr="false" t="normal">+S739-AS739</f>
        <v>776387.4000000004</v>
      </c>
      <c r="AU739" s="9" t="e">
        <f aca="false" ca="false" dt2D="false" dtr="false" t="normal">+P739-'[5]Приложение №1'!$P651</f>
        <v>#REF!</v>
      </c>
      <c r="AV739" s="9" t="e">
        <f aca="false" ca="false" dt2D="false" dtr="false" t="normal">+Q739-'[5]Приложение №1'!$Q651</f>
        <v>#REF!</v>
      </c>
      <c r="AW739" s="186" t="n">
        <f aca="false" ca="true" dt2D="false" dtr="false" t="normal">SUBTOTAL(9, AX739:BL739)</f>
        <v>5530494.638866957</v>
      </c>
      <c r="AX739" s="106" t="n">
        <v>3852549.39670928</v>
      </c>
      <c r="AY739" s="106" t="n"/>
      <c r="AZ739" s="106" t="n">
        <v>1437441.799164</v>
      </c>
      <c r="BA739" s="106" t="n"/>
      <c r="BB739" s="106" t="n">
        <v>0</v>
      </c>
      <c r="BC739" s="106" t="n"/>
      <c r="BD739" s="106" t="n">
        <v>124822.049583</v>
      </c>
      <c r="BE739" s="106" t="n">
        <v>0</v>
      </c>
      <c r="BF739" s="106" t="n"/>
      <c r="BG739" s="106" t="n"/>
      <c r="BH739" s="106" t="n"/>
      <c r="BI739" s="106" t="n"/>
      <c r="BJ739" s="106" t="n"/>
      <c r="BK739" s="114" t="n"/>
      <c r="BL739" s="115" t="n">
        <v>115681.393410677</v>
      </c>
      <c r="BM739" s="186" t="n">
        <f aca="false" ca="true" dt2D="false" dtr="false" t="normal">SUBTOTAL(9, BN739:CB739)</f>
        <v>5530494.638866957</v>
      </c>
      <c r="BN739" s="106" t="n">
        <v>3852549.39670928</v>
      </c>
      <c r="BO739" s="106" t="n"/>
      <c r="BP739" s="106" t="n">
        <v>1437441.799164</v>
      </c>
      <c r="BQ739" s="106" t="n"/>
      <c r="BR739" s="106" t="n">
        <v>0</v>
      </c>
      <c r="BS739" s="106" t="n"/>
      <c r="BT739" s="106" t="n">
        <v>124822.049583</v>
      </c>
      <c r="BU739" s="106" t="n">
        <v>0</v>
      </c>
      <c r="BV739" s="106" t="n"/>
      <c r="BW739" s="106" t="n"/>
      <c r="BX739" s="106" t="n"/>
      <c r="BY739" s="106" t="n"/>
      <c r="BZ739" s="106" t="n"/>
      <c r="CA739" s="114" t="n"/>
      <c r="CB739" s="115" t="n">
        <v>115681.393410677</v>
      </c>
      <c r="CD739" s="116" t="e">
        <f aca="false" ca="false" dt2D="false" dtr="false" t="normal">+CD738+1</f>
        <v>#REF!</v>
      </c>
      <c r="CE739" s="117" t="e">
        <f aca="false" ca="false" dt2D="false" dtr="false" t="normal">+CE738+1</f>
        <v>#REF!</v>
      </c>
      <c r="CF739" s="104" t="s">
        <v>221</v>
      </c>
      <c r="CG739" s="117" t="s">
        <v>225</v>
      </c>
      <c r="CH739" s="232" t="n">
        <f aca="false" ca="true" dt2D="false" dtr="false" t="normal">SUBTOTAL(9, CI739:CW739)</f>
        <v>14755807.809999999</v>
      </c>
      <c r="CI739" s="106" t="n">
        <v>3852549.4</v>
      </c>
      <c r="CJ739" s="114" t="n"/>
      <c r="CK739" s="114" t="n"/>
      <c r="CL739" s="114" t="n"/>
      <c r="CM739" s="114" t="n">
        <v>0</v>
      </c>
      <c r="CN739" s="114" t="n"/>
      <c r="CO739" s="106" t="n"/>
      <c r="CP739" s="114" t="n">
        <v>0</v>
      </c>
      <c r="CQ739" s="243" t="n">
        <v>9738193.2</v>
      </c>
      <c r="CR739" s="114" t="n"/>
      <c r="CS739" s="114" t="n"/>
      <c r="CT739" s="243" t="n">
        <v>783067.2</v>
      </c>
      <c r="CU739" s="114" t="n"/>
      <c r="CV739" s="114" t="n"/>
      <c r="CW739" s="115" t="n">
        <v>381998.01</v>
      </c>
      <c r="CX739" s="3" t="n">
        <f aca="false" ca="false" dt2D="false" dtr="false" t="normal">+N739-CH739</f>
        <v>-381998.0099999979</v>
      </c>
      <c r="CZ739" s="117" t="s">
        <v>225</v>
      </c>
      <c r="DA739" s="186" t="n">
        <f aca="false" ca="true" dt2D="false" dtr="false" t="normal">SUBTOTAL(9, DB739:DP739)</f>
        <v>14373809.799999999</v>
      </c>
      <c r="DB739" s="106" t="n">
        <v>3852549.4</v>
      </c>
      <c r="DC739" s="114" t="n"/>
      <c r="DD739" s="114" t="n"/>
      <c r="DE739" s="114" t="n"/>
      <c r="DF739" s="114" t="n">
        <v>0</v>
      </c>
      <c r="DG739" s="114" t="n"/>
      <c r="DH739" s="106" t="n"/>
      <c r="DI739" s="114" t="n">
        <v>0</v>
      </c>
      <c r="DJ739" s="243" t="n">
        <v>9738193.2</v>
      </c>
      <c r="DK739" s="114" t="n"/>
      <c r="DL739" s="114" t="n"/>
      <c r="DM739" s="243" t="n">
        <v>783067.2</v>
      </c>
      <c r="DN739" s="114" t="n"/>
      <c r="DO739" s="114" t="n"/>
      <c r="DP739" s="240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</row>
    <row customFormat="true" hidden="false" ht="15" outlineLevel="0" r="740" s="1">
      <c r="A740" s="183" t="n">
        <f aca="false" ca="false" dt2D="false" dtr="false" t="normal">+A739+1</f>
        <v>718</v>
      </c>
      <c r="B740" s="117" t="n">
        <f aca="false" ca="false" dt2D="false" dtr="false" t="normal">+B739+1</f>
        <v>258</v>
      </c>
      <c r="C740" s="117" t="s">
        <v>221</v>
      </c>
      <c r="D740" s="117" t="s">
        <v>423</v>
      </c>
      <c r="E740" s="201" t="n">
        <v>1973</v>
      </c>
      <c r="F740" s="201" t="n">
        <v>1973</v>
      </c>
      <c r="G740" s="201" t="s">
        <v>68</v>
      </c>
      <c r="H740" s="201" t="n">
        <v>4</v>
      </c>
      <c r="I740" s="201" t="n">
        <v>1</v>
      </c>
      <c r="J740" s="114" t="n">
        <v>1419.3</v>
      </c>
      <c r="K740" s="114" t="n">
        <v>1084.2</v>
      </c>
      <c r="L740" s="114" t="n">
        <v>165.8</v>
      </c>
      <c r="M740" s="202" t="n">
        <v>48</v>
      </c>
      <c r="N740" s="108" t="n">
        <f aca="false" ca="false" dt2D="false" dtr="false" t="normal">SUM(P740:T740)</f>
        <v>6075169.15</v>
      </c>
      <c r="O740" s="114" t="n"/>
      <c r="P740" s="113" t="n">
        <v>471772.07</v>
      </c>
      <c r="Q740" s="114" t="n"/>
      <c r="R740" s="113" t="n">
        <v>1093859.16</v>
      </c>
      <c r="S740" s="113" t="n">
        <v>1813309.33</v>
      </c>
      <c r="T740" s="114" t="n">
        <v>2696228.59</v>
      </c>
      <c r="U740" s="114" t="n">
        <v>5887.52019192442</v>
      </c>
      <c r="V740" s="114" t="n">
        <v>1374.283020064</v>
      </c>
      <c r="W740" s="110" t="n">
        <v>2024</v>
      </c>
      <c r="X740" s="9" t="e">
        <f aca="false" ca="false" dt2D="false" dtr="false" t="normal">+#REF!-'[9]Приложение №1'!$P1179</f>
        <v>#REF!</v>
      </c>
      <c r="Z740" s="113" t="n">
        <f aca="false" ca="false" dt2D="false" dtr="false" t="normal">SUM(AA740:AO740)</f>
        <v>23254292.520000003</v>
      </c>
      <c r="AA740" s="106" t="n">
        <v>3340669.60738602</v>
      </c>
      <c r="AB740" s="106" t="n">
        <v>1205189.57384154</v>
      </c>
      <c r="AC740" s="106" t="n">
        <v>1259127.58958028</v>
      </c>
      <c r="AD740" s="106" t="n">
        <v>788321.39941548</v>
      </c>
      <c r="AE740" s="106" t="n">
        <v>0</v>
      </c>
      <c r="AF740" s="106" t="n"/>
      <c r="AG740" s="106" t="n">
        <v>120530.94592896</v>
      </c>
      <c r="AH740" s="106" t="n">
        <v>0</v>
      </c>
      <c r="AI740" s="106" t="n">
        <v>6183065.2576392</v>
      </c>
      <c r="AJ740" s="106" t="n">
        <v>809296.7712165</v>
      </c>
      <c r="AK740" s="106" t="n">
        <v>3210297.36429402</v>
      </c>
      <c r="AL740" s="106" t="n">
        <v>3462612.19810254</v>
      </c>
      <c r="AM740" s="106" t="n">
        <v>2196989.0109</v>
      </c>
      <c r="AN740" s="114" t="n">
        <v>232542.9252</v>
      </c>
      <c r="AO740" s="115" t="n">
        <v>445649.87649546</v>
      </c>
      <c r="AP740" s="112" t="n">
        <f aca="false" ca="false" dt2D="false" dtr="false" t="normal">+N740-'Приложение №2'!E740</f>
        <v>0</v>
      </c>
      <c r="AQ740" s="121" t="n">
        <v>677532.9</v>
      </c>
      <c r="AR740" s="3" t="n">
        <f aca="false" ca="false" dt2D="false" dtr="false" t="normal">+(K740*10.5+L740*21)*12*0.85</f>
        <v>151632.18000000002</v>
      </c>
      <c r="AS740" s="3" t="n">
        <f aca="false" ca="false" dt2D="false" dtr="false" t="normal">+(K740*10.5+L740*21)*12*30</f>
        <v>5351724.000000001</v>
      </c>
      <c r="AT740" s="9" t="n">
        <f aca="false" ca="false" dt2D="false" dtr="false" t="normal">+S740-AS740</f>
        <v>-3538414.670000001</v>
      </c>
      <c r="AU740" s="9" t="e">
        <f aca="false" ca="false" dt2D="false" dtr="false" t="normal">+P740-'[5]Приложение №1'!$P653</f>
        <v>#REF!</v>
      </c>
      <c r="AV740" s="9" t="e">
        <f aca="false" ca="false" dt2D="false" dtr="false" t="normal">+Q740-'[5]Приложение №1'!$Q653</f>
        <v>#REF!</v>
      </c>
      <c r="AW740" s="186" t="n">
        <f aca="false" ca="true" dt2D="false" dtr="false" t="normal">SUBTOTAL(9, AX740:BL740)</f>
        <v>6383249.392084461</v>
      </c>
      <c r="AX740" s="106" t="n">
        <v>3621078.272112</v>
      </c>
      <c r="AY740" s="106" t="n">
        <v>1375290.94</v>
      </c>
      <c r="AZ740" s="106" t="n"/>
      <c r="BA740" s="106" t="n">
        <v>876899.758308</v>
      </c>
      <c r="BB740" s="106" t="n">
        <v>0</v>
      </c>
      <c r="BC740" s="106" t="n"/>
      <c r="BD740" s="106" t="n">
        <v>120530.94592896</v>
      </c>
      <c r="BE740" s="106" t="n">
        <v>0</v>
      </c>
      <c r="BF740" s="106" t="n"/>
      <c r="BG740" s="106" t="n">
        <v>0</v>
      </c>
      <c r="BH740" s="106" t="n">
        <v>0</v>
      </c>
      <c r="BI740" s="106" t="n"/>
      <c r="BJ740" s="106" t="n"/>
      <c r="BK740" s="114" t="n"/>
      <c r="BL740" s="115" t="n">
        <v>389449.4757355</v>
      </c>
      <c r="BM740" s="186" t="n">
        <f aca="false" ca="true" dt2D="false" dtr="false" t="normal">SUBTOTAL(9, BN740:CB740)</f>
        <v>6383249.392084461</v>
      </c>
      <c r="BN740" s="106" t="n">
        <v>3621078.272112</v>
      </c>
      <c r="BO740" s="106" t="n">
        <v>1375290.94</v>
      </c>
      <c r="BP740" s="106" t="n"/>
      <c r="BQ740" s="106" t="n">
        <v>876899.758308</v>
      </c>
      <c r="BR740" s="106" t="n">
        <v>0</v>
      </c>
      <c r="BS740" s="106" t="n"/>
      <c r="BT740" s="106" t="n">
        <v>120530.94592896</v>
      </c>
      <c r="BU740" s="106" t="n">
        <v>0</v>
      </c>
      <c r="BV740" s="106" t="n"/>
      <c r="BW740" s="106" t="n">
        <v>0</v>
      </c>
      <c r="BX740" s="106" t="n">
        <v>0</v>
      </c>
      <c r="BY740" s="106" t="n"/>
      <c r="BZ740" s="106" t="n"/>
      <c r="CA740" s="114" t="n"/>
      <c r="CB740" s="115" t="n">
        <v>389449.4757355</v>
      </c>
      <c r="CD740" s="116" t="e">
        <f aca="false" ca="false" dt2D="false" dtr="false" t="normal">+CD739+1</f>
        <v>#REF!</v>
      </c>
      <c r="CE740" s="117" t="e">
        <f aca="false" ca="false" dt2D="false" dtr="false" t="normal">+CE739+1</f>
        <v>#REF!</v>
      </c>
      <c r="CF740" s="104" t="s">
        <v>221</v>
      </c>
      <c r="CG740" s="104" t="s">
        <v>423</v>
      </c>
      <c r="CH740" s="232" t="n">
        <f aca="false" ca="true" dt2D="false" dtr="false" t="normal">SUBTOTAL(9, CI740:CW740)</f>
        <v>6464618.629999999</v>
      </c>
      <c r="CI740" s="192" t="n">
        <v>3770666.24</v>
      </c>
      <c r="CJ740" s="114" t="n">
        <v>1375290.94</v>
      </c>
      <c r="CK740" s="114" t="n"/>
      <c r="CL740" s="114" t="n">
        <v>929211.97</v>
      </c>
      <c r="CM740" s="114" t="n">
        <v>0</v>
      </c>
      <c r="CN740" s="114" t="n"/>
      <c r="CO740" s="106" t="n"/>
      <c r="CP740" s="114" t="n">
        <v>0</v>
      </c>
      <c r="CQ740" s="114" t="n"/>
      <c r="CR740" s="114" t="n">
        <v>0</v>
      </c>
      <c r="CS740" s="114" t="n">
        <v>0</v>
      </c>
      <c r="CT740" s="114" t="n"/>
      <c r="CU740" s="114" t="n"/>
      <c r="CV740" s="114" t="n"/>
      <c r="CW740" s="115" t="n">
        <v>389449.48</v>
      </c>
      <c r="CX740" s="3" t="n">
        <f aca="false" ca="false" dt2D="false" dtr="false" t="normal">+N740-CH740</f>
        <v>-389449.4799999986</v>
      </c>
      <c r="CZ740" s="104" t="s">
        <v>423</v>
      </c>
      <c r="DA740" s="186" t="n">
        <f aca="false" ca="true" dt2D="false" dtr="false" t="normal">SUBTOTAL(9, DB740:DP740)</f>
        <v>6075169.149999999</v>
      </c>
      <c r="DB740" s="192" t="n">
        <v>3770666.24</v>
      </c>
      <c r="DC740" s="114" t="n">
        <v>1375290.94</v>
      </c>
      <c r="DD740" s="114" t="n"/>
      <c r="DE740" s="114" t="n">
        <v>929211.97</v>
      </c>
      <c r="DF740" s="114" t="n">
        <v>0</v>
      </c>
      <c r="DG740" s="114" t="n"/>
      <c r="DH740" s="106" t="n"/>
      <c r="DI740" s="114" t="n">
        <v>0</v>
      </c>
      <c r="DJ740" s="114" t="n"/>
      <c r="DK740" s="114" t="n">
        <v>0</v>
      </c>
      <c r="DL740" s="114" t="n">
        <v>0</v>
      </c>
      <c r="DM740" s="114" t="n"/>
      <c r="DN740" s="114" t="n"/>
      <c r="DO740" s="114" t="n"/>
      <c r="DP740" s="240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</row>
    <row customFormat="true" hidden="false" ht="15" outlineLevel="0" r="741" s="1">
      <c r="A741" s="183" t="n">
        <f aca="false" ca="false" dt2D="false" dtr="false" t="normal">+A740+1</f>
        <v>719</v>
      </c>
      <c r="B741" s="117" t="n">
        <f aca="false" ca="false" dt2D="false" dtr="false" t="normal">+B740+1</f>
        <v>259</v>
      </c>
      <c r="C741" s="117" t="s">
        <v>221</v>
      </c>
      <c r="D741" s="117" t="s">
        <v>226</v>
      </c>
      <c r="E741" s="201" t="n">
        <v>1962</v>
      </c>
      <c r="F741" s="201" t="n">
        <v>1962</v>
      </c>
      <c r="G741" s="201" t="s">
        <v>68</v>
      </c>
      <c r="H741" s="201" t="n">
        <v>3</v>
      </c>
      <c r="I741" s="201" t="n">
        <v>2</v>
      </c>
      <c r="J741" s="114" t="n">
        <v>937.1</v>
      </c>
      <c r="K741" s="114" t="n">
        <v>723.7</v>
      </c>
      <c r="L741" s="114" t="n">
        <v>213.4</v>
      </c>
      <c r="M741" s="202" t="n">
        <v>26</v>
      </c>
      <c r="N741" s="108" t="n">
        <f aca="false" ca="false" dt2D="false" dtr="false" t="normal">SUM(P741:T741)</f>
        <v>13398089.84</v>
      </c>
      <c r="O741" s="114" t="n"/>
      <c r="P741" s="113" t="n"/>
      <c r="Q741" s="114" t="n"/>
      <c r="R741" s="113" t="n">
        <v>123218.55</v>
      </c>
      <c r="S741" s="113" t="n">
        <v>1099083.04</v>
      </c>
      <c r="T741" s="113" t="n">
        <v>12175788.25</v>
      </c>
      <c r="U741" s="114" t="n">
        <v>6328.6845608744</v>
      </c>
      <c r="V741" s="114" t="n">
        <v>1373.283020064</v>
      </c>
      <c r="W741" s="110" t="n">
        <v>2024</v>
      </c>
      <c r="X741" s="9" t="e">
        <f aca="false" ca="false" dt2D="false" dtr="false" t="normal">+#REF!-'[9]Приложение №1'!$P1515</f>
        <v>#REF!</v>
      </c>
      <c r="Z741" s="113" t="n">
        <f aca="false" ca="false" dt2D="false" dtr="false" t="normal">SUM(AA741:AO741)</f>
        <v>26675784</v>
      </c>
      <c r="AA741" s="106" t="n">
        <v>2404073.9634912</v>
      </c>
      <c r="AB741" s="106" t="n">
        <v>1462843.1901888</v>
      </c>
      <c r="AC741" s="106" t="n">
        <v>689312.7111024</v>
      </c>
      <c r="AD741" s="106" t="n">
        <v>587431.3148928</v>
      </c>
      <c r="AE741" s="106" t="n">
        <v>0</v>
      </c>
      <c r="AF741" s="106" t="n"/>
      <c r="AG741" s="106" t="n">
        <v>227878.8628032</v>
      </c>
      <c r="AH741" s="106" t="n">
        <v>0</v>
      </c>
      <c r="AI741" s="106" t="n">
        <v>6954572.465568</v>
      </c>
      <c r="AJ741" s="106" t="n">
        <v>0</v>
      </c>
      <c r="AK741" s="106" t="n">
        <v>5686511.6200032</v>
      </c>
      <c r="AL741" s="106" t="n">
        <v>5351302.3282992</v>
      </c>
      <c r="AM741" s="106" t="n">
        <v>2534177.952</v>
      </c>
      <c r="AN741" s="114" t="n">
        <v>266757.84</v>
      </c>
      <c r="AO741" s="115" t="n">
        <v>510921.7516512</v>
      </c>
      <c r="AP741" s="112" t="n">
        <f aca="false" ca="false" dt2D="false" dtr="false" t="normal">+N741-'Приложение №2'!E741</f>
        <v>0</v>
      </c>
      <c r="AQ741" s="9" t="n">
        <f aca="false" ca="false" dt2D="false" dtr="false" t="normal">353999.5-R348</f>
        <v>135489.38</v>
      </c>
      <c r="AR741" s="3" t="n">
        <f aca="false" ca="false" dt2D="false" dtr="false" t="normal">+(K741*10.5+L741*21)*12*0.85</f>
        <v>123218.55</v>
      </c>
      <c r="AS741" s="3" t="n">
        <f aca="false" ca="false" dt2D="false" dtr="false" t="normal">+(K741*10.5+L741*21)*12*30-S348</f>
        <v>571308.5099999998</v>
      </c>
      <c r="AT741" s="9" t="n">
        <f aca="false" ca="false" dt2D="false" dtr="false" t="normal">+S741-AS741</f>
        <v>527774.5300000003</v>
      </c>
      <c r="AU741" s="9" t="e">
        <f aca="false" ca="false" dt2D="false" dtr="false" t="normal">+P741-'[5]Приложение №1'!$P652</f>
        <v>#REF!</v>
      </c>
      <c r="AV741" s="9" t="e">
        <f aca="false" ca="false" dt2D="false" dtr="false" t="normal">+Q741-'[5]Приложение №1'!$Q652</f>
        <v>#REF!</v>
      </c>
      <c r="AW741" s="186" t="n">
        <f aca="false" ca="true" dt2D="false" dtr="false" t="normal">SUBTOTAL(9, AX741:BL741)</f>
        <v>4580069.016704801</v>
      </c>
      <c r="AX741" s="106" t="n">
        <v>2968725.2</v>
      </c>
      <c r="AY741" s="106" t="n">
        <v>0</v>
      </c>
      <c r="AZ741" s="106" t="n">
        <v>953705.41</v>
      </c>
      <c r="BA741" s="106" t="n"/>
      <c r="BB741" s="106" t="n">
        <v>0</v>
      </c>
      <c r="BC741" s="106" t="n"/>
      <c r="BD741" s="106" t="n">
        <v>227878.8628032</v>
      </c>
      <c r="BE741" s="106" t="n">
        <v>0</v>
      </c>
      <c r="BF741" s="106" t="n">
        <v>227029.93</v>
      </c>
      <c r="BG741" s="106" t="n">
        <v>0</v>
      </c>
      <c r="BH741" s="106" t="n"/>
      <c r="BI741" s="106" t="n"/>
      <c r="BJ741" s="106" t="n"/>
      <c r="BK741" s="114" t="n"/>
      <c r="BL741" s="115" t="n">
        <v>202729.6139016</v>
      </c>
      <c r="BM741" s="186" t="n">
        <f aca="false" ca="true" dt2D="false" dtr="false" t="normal">SUBTOTAL(9, BN741:CB741)</f>
        <v>3626363.6067048004</v>
      </c>
      <c r="BN741" s="106" t="n">
        <v>2968725.2</v>
      </c>
      <c r="BO741" s="106" t="n">
        <v>0</v>
      </c>
      <c r="BP741" s="106" t="n"/>
      <c r="BQ741" s="106" t="n"/>
      <c r="BR741" s="106" t="n">
        <v>0</v>
      </c>
      <c r="BS741" s="106" t="n"/>
      <c r="BT741" s="106" t="n">
        <v>227878.8628032</v>
      </c>
      <c r="BU741" s="106" t="n">
        <v>0</v>
      </c>
      <c r="BV741" s="106" t="n">
        <v>227029.93</v>
      </c>
      <c r="BW741" s="106" t="n">
        <v>0</v>
      </c>
      <c r="BX741" s="106" t="n"/>
      <c r="BY741" s="106" t="n"/>
      <c r="BZ741" s="106" t="n"/>
      <c r="CA741" s="114" t="n"/>
      <c r="CB741" s="115" t="n">
        <v>202729.6139016</v>
      </c>
      <c r="CD741" s="116" t="e">
        <f aca="false" ca="false" dt2D="false" dtr="false" t="normal">+CD740+1</f>
        <v>#REF!</v>
      </c>
      <c r="CE741" s="117" t="e">
        <f aca="false" ca="false" dt2D="false" dtr="false" t="normal">+CE740+1</f>
        <v>#REF!</v>
      </c>
      <c r="CF741" s="104" t="s">
        <v>221</v>
      </c>
      <c r="CG741" s="104" t="s">
        <v>226</v>
      </c>
      <c r="CH741" s="232" t="n">
        <f aca="false" ca="true" dt2D="false" dtr="false" t="normal">SUBTOTAL(9, CI741:CW741)</f>
        <v>13600819.45</v>
      </c>
      <c r="CI741" s="192" t="n">
        <v>3770666.24</v>
      </c>
      <c r="CJ741" s="114" t="n">
        <v>0</v>
      </c>
      <c r="CK741" s="114" t="n"/>
      <c r="CL741" s="114" t="n"/>
      <c r="CM741" s="114" t="n">
        <v>0</v>
      </c>
      <c r="CN741" s="114" t="n"/>
      <c r="CO741" s="106" t="n"/>
      <c r="CP741" s="114" t="n">
        <v>0</v>
      </c>
      <c r="CQ741" s="243" t="n">
        <v>9128750.4</v>
      </c>
      <c r="CR741" s="114" t="n">
        <v>0</v>
      </c>
      <c r="CS741" s="114" t="n"/>
      <c r="CT741" s="243" t="n">
        <v>498673.2</v>
      </c>
      <c r="CU741" s="114" t="n"/>
      <c r="CV741" s="114" t="n"/>
      <c r="CW741" s="115" t="n">
        <v>202729.61</v>
      </c>
      <c r="CX741" s="3" t="n">
        <f aca="false" ca="false" dt2D="false" dtr="false" t="normal">+N741-CH741</f>
        <v>-202729.6099999994</v>
      </c>
      <c r="CZ741" s="104" t="s">
        <v>226</v>
      </c>
      <c r="DA741" s="186" t="n">
        <f aca="false" ca="true" dt2D="false" dtr="false" t="normal">SUBTOTAL(9, DB741:DP741)</f>
        <v>13398089.84</v>
      </c>
      <c r="DB741" s="192" t="n">
        <v>3770666.24</v>
      </c>
      <c r="DC741" s="114" t="n">
        <v>0</v>
      </c>
      <c r="DD741" s="114" t="n"/>
      <c r="DE741" s="114" t="n"/>
      <c r="DF741" s="114" t="n">
        <v>0</v>
      </c>
      <c r="DG741" s="114" t="n"/>
      <c r="DH741" s="106" t="n"/>
      <c r="DI741" s="114" t="n">
        <v>0</v>
      </c>
      <c r="DJ741" s="243" t="n">
        <v>9128750.4</v>
      </c>
      <c r="DK741" s="114" t="n">
        <v>0</v>
      </c>
      <c r="DL741" s="114" t="n"/>
      <c r="DM741" s="243" t="n">
        <v>498673.2</v>
      </c>
      <c r="DN741" s="114" t="n"/>
      <c r="DO741" s="114" t="n"/>
      <c r="DP741" s="240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</row>
    <row customFormat="true" hidden="false" ht="15" outlineLevel="0" r="742" s="1">
      <c r="A742" s="183" t="n">
        <f aca="false" ca="false" dt2D="false" dtr="false" t="normal">+A741+1</f>
        <v>720</v>
      </c>
      <c r="B742" s="117" t="n">
        <f aca="false" ca="false" dt2D="false" dtr="false" t="normal">+B741+1</f>
        <v>260</v>
      </c>
      <c r="C742" s="117" t="s">
        <v>221</v>
      </c>
      <c r="D742" s="117" t="s">
        <v>690</v>
      </c>
      <c r="E742" s="201" t="s">
        <v>438</v>
      </c>
      <c r="F742" s="201" t="n"/>
      <c r="G742" s="201" t="s">
        <v>68</v>
      </c>
      <c r="H742" s="201" t="s">
        <v>104</v>
      </c>
      <c r="I742" s="201" t="s">
        <v>232</v>
      </c>
      <c r="J742" s="114" t="n">
        <v>3670.5</v>
      </c>
      <c r="K742" s="114" t="n">
        <v>3418.1</v>
      </c>
      <c r="L742" s="114" t="n">
        <v>0</v>
      </c>
      <c r="M742" s="202" t="n">
        <v>108</v>
      </c>
      <c r="N742" s="108" t="n">
        <f aca="false" ca="false" dt2D="false" dtr="false" t="normal">SUM(P742:T742)</f>
        <v>21520886.779999997</v>
      </c>
      <c r="O742" s="114" t="n"/>
      <c r="P742" s="114" t="n"/>
      <c r="Q742" s="113" t="n">
        <v>2388438</v>
      </c>
      <c r="R742" s="113" t="n">
        <v>2217399.54</v>
      </c>
      <c r="S742" s="113" t="n">
        <v>16915049.24</v>
      </c>
      <c r="T742" s="114" t="n"/>
      <c r="U742" s="114" t="n">
        <v>6419.80016680998</v>
      </c>
      <c r="V742" s="114" t="n">
        <v>1375.283020064</v>
      </c>
      <c r="W742" s="110" t="n">
        <v>2024</v>
      </c>
      <c r="X742" s="9" t="n"/>
      <c r="Z742" s="113" t="n"/>
      <c r="AA742" s="106" t="n"/>
      <c r="AB742" s="106" t="n"/>
      <c r="AC742" s="106" t="n"/>
      <c r="AD742" s="106" t="n"/>
      <c r="AE742" s="106" t="n"/>
      <c r="AF742" s="106" t="n"/>
      <c r="AG742" s="106" t="n"/>
      <c r="AH742" s="106" t="n"/>
      <c r="AI742" s="106" t="n"/>
      <c r="AJ742" s="106" t="n"/>
      <c r="AK742" s="106" t="n"/>
      <c r="AL742" s="106" t="n"/>
      <c r="AM742" s="106" t="n"/>
      <c r="AN742" s="114" t="n"/>
      <c r="AO742" s="115" t="n"/>
      <c r="AP742" s="112" t="n">
        <f aca="false" ca="false" dt2D="false" dtr="false" t="normal">+N742-'Приложение №2'!E742</f>
        <v>0</v>
      </c>
      <c r="AQ742" s="121" t="n">
        <v>1851321.03</v>
      </c>
      <c r="AR742" s="3" t="n">
        <f aca="false" ca="false" dt2D="false" dtr="false" t="normal">+(K742*10.5+L742*21)*12*0.85</f>
        <v>366078.50999999995</v>
      </c>
      <c r="AS742" s="3" t="n">
        <f aca="false" ca="false" dt2D="false" dtr="false" t="normal">+(K742*10.5+L742*21)*12*30</f>
        <v>12920418</v>
      </c>
      <c r="AT742" s="9" t="n"/>
      <c r="AU742" s="9" t="n"/>
      <c r="AV742" s="9" t="n"/>
      <c r="AW742" s="186" t="n">
        <f aca="false" ca="true" dt2D="false" dtr="false" t="normal">SUBTOTAL(9, AX742:BL742)</f>
        <v>21943518.95017316</v>
      </c>
      <c r="AX742" s="106" t="n"/>
      <c r="AY742" s="106" t="n"/>
      <c r="AZ742" s="106" t="n"/>
      <c r="BA742" s="106" t="n"/>
      <c r="BB742" s="106" t="n"/>
      <c r="BC742" s="106" t="n"/>
      <c r="BD742" s="106" t="n"/>
      <c r="BE742" s="106" t="n"/>
      <c r="BF742" s="106" t="n">
        <v>19326534.8801755</v>
      </c>
      <c r="BG742" s="106" t="n">
        <v>0</v>
      </c>
      <c r="BH742" s="106" t="n">
        <v>0</v>
      </c>
      <c r="BI742" s="106" t="n">
        <v>0</v>
      </c>
      <c r="BJ742" s="106" t="n">
        <v>1974916.70551559</v>
      </c>
      <c r="BK742" s="114" t="n">
        <v>219435.189501732</v>
      </c>
      <c r="BL742" s="115" t="n">
        <v>422632.174980336</v>
      </c>
      <c r="BM742" s="186" t="n">
        <f aca="false" ca="true" dt2D="false" dtr="false" t="normal">SUBTOTAL(9, BN742:CB742)</f>
        <v>21943518.95017316</v>
      </c>
      <c r="BN742" s="106" t="n"/>
      <c r="BO742" s="106" t="n"/>
      <c r="BP742" s="106" t="n"/>
      <c r="BQ742" s="106" t="n"/>
      <c r="BR742" s="106" t="n"/>
      <c r="BS742" s="106" t="n"/>
      <c r="BT742" s="106" t="n"/>
      <c r="BU742" s="106" t="n"/>
      <c r="BV742" s="106" t="n">
        <v>19326534.8801755</v>
      </c>
      <c r="BW742" s="106" t="n">
        <v>0</v>
      </c>
      <c r="BX742" s="106" t="n">
        <v>0</v>
      </c>
      <c r="BY742" s="106" t="n">
        <v>0</v>
      </c>
      <c r="BZ742" s="106" t="n">
        <v>1974916.70551559</v>
      </c>
      <c r="CA742" s="114" t="n">
        <v>219435.189501732</v>
      </c>
      <c r="CB742" s="115" t="n">
        <v>422632.174980336</v>
      </c>
      <c r="CD742" s="116" t="e">
        <f aca="false" ca="false" dt2D="false" dtr="false" t="normal">+CD741+1</f>
        <v>#REF!</v>
      </c>
      <c r="CE742" s="117" t="e">
        <f aca="false" ca="false" dt2D="false" dtr="false" t="normal">+CE741+1</f>
        <v>#REF!</v>
      </c>
      <c r="CF742" s="104" t="s">
        <v>221</v>
      </c>
      <c r="CG742" s="104" t="s">
        <v>690</v>
      </c>
      <c r="CH742" s="232" t="n">
        <f aca="false" ca="true" dt2D="false" dtr="false" t="normal">SUBTOTAL(9, CI742:CW742)</f>
        <v>21943518.950000003</v>
      </c>
      <c r="CI742" s="106" t="n"/>
      <c r="CJ742" s="114" t="n"/>
      <c r="CK742" s="114" t="n"/>
      <c r="CL742" s="114" t="n"/>
      <c r="CM742" s="114" t="n"/>
      <c r="CN742" s="114" t="n"/>
      <c r="CO742" s="106" t="n"/>
      <c r="CP742" s="114" t="n"/>
      <c r="CQ742" s="114" t="n">
        <v>19326534.88</v>
      </c>
      <c r="CR742" s="114" t="n">
        <v>0</v>
      </c>
      <c r="CS742" s="114" t="n">
        <v>0</v>
      </c>
      <c r="CT742" s="114" t="n">
        <v>0</v>
      </c>
      <c r="CU742" s="114" t="n">
        <v>1974916.71</v>
      </c>
      <c r="CV742" s="114" t="n">
        <v>219435.19</v>
      </c>
      <c r="CW742" s="115" t="n">
        <v>422632.17</v>
      </c>
      <c r="CX742" s="3" t="n">
        <f aca="false" ca="false" dt2D="false" dtr="false" t="normal">+N742-CH742</f>
        <v>-422632.1700000055</v>
      </c>
      <c r="CZ742" s="104" t="s">
        <v>690</v>
      </c>
      <c r="DA742" s="186" t="n">
        <f aca="false" ca="true" dt2D="false" dtr="false" t="normal">SUBTOTAL(9, DB742:DP742)</f>
        <v>21520886.78</v>
      </c>
      <c r="DB742" s="106" t="n"/>
      <c r="DC742" s="114" t="n"/>
      <c r="DD742" s="114" t="n"/>
      <c r="DE742" s="114" t="n"/>
      <c r="DF742" s="114" t="n"/>
      <c r="DG742" s="114" t="n"/>
      <c r="DH742" s="106" t="n"/>
      <c r="DI742" s="114" t="n"/>
      <c r="DJ742" s="114" t="n">
        <v>19326534.88</v>
      </c>
      <c r="DK742" s="114" t="n">
        <v>0</v>
      </c>
      <c r="DL742" s="114" t="n">
        <v>0</v>
      </c>
      <c r="DM742" s="114" t="n">
        <v>0</v>
      </c>
      <c r="DN742" s="114" t="n">
        <v>1974916.71</v>
      </c>
      <c r="DO742" s="114" t="n">
        <v>219435.19</v>
      </c>
      <c r="DP742" s="240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</row>
    <row customFormat="true" hidden="false" ht="15" outlineLevel="0" r="743" s="1">
      <c r="A743" s="183" t="n">
        <f aca="false" ca="false" dt2D="false" dtr="false" t="normal">+A742+1</f>
        <v>721</v>
      </c>
      <c r="B743" s="117" t="n">
        <f aca="false" ca="false" dt2D="false" dtr="false" t="normal">+B742+1</f>
        <v>261</v>
      </c>
      <c r="C743" s="117" t="s">
        <v>227</v>
      </c>
      <c r="D743" s="117" t="s">
        <v>691</v>
      </c>
      <c r="E743" s="201" t="n">
        <v>1967</v>
      </c>
      <c r="F743" s="201" t="n">
        <v>2010</v>
      </c>
      <c r="G743" s="201" t="s">
        <v>68</v>
      </c>
      <c r="H743" s="201" t="n">
        <v>4</v>
      </c>
      <c r="I743" s="201" t="n">
        <v>6</v>
      </c>
      <c r="J743" s="114" t="n">
        <v>4129.9</v>
      </c>
      <c r="K743" s="114" t="n">
        <v>3028.01</v>
      </c>
      <c r="L743" s="114" t="n">
        <v>1016.7</v>
      </c>
      <c r="M743" s="202" t="n">
        <v>153</v>
      </c>
      <c r="N743" s="108" t="n">
        <f aca="false" ca="false" dt2D="false" dtr="false" t="normal">SUM(P743:T743)</f>
        <v>22018918.55</v>
      </c>
      <c r="O743" s="114" t="n"/>
      <c r="P743" s="113" t="n">
        <v>2833048.35</v>
      </c>
      <c r="Q743" s="114" t="n">
        <v>0</v>
      </c>
      <c r="R743" s="113" t="n">
        <v>1425468.06</v>
      </c>
      <c r="S743" s="113" t="n">
        <v>15204992.69</v>
      </c>
      <c r="T743" s="113" t="n">
        <v>2555409.45</v>
      </c>
      <c r="U743" s="114" t="n">
        <v>8137.79176195111</v>
      </c>
      <c r="V743" s="114" t="n">
        <v>1380.283020064</v>
      </c>
      <c r="W743" s="110" t="n">
        <v>2024</v>
      </c>
      <c r="X743" s="9" t="e">
        <f aca="false" ca="false" dt2D="false" dtr="false" t="normal">+#REF!-'[9]Приложение №1'!$P819</f>
        <v>#REF!</v>
      </c>
      <c r="Z743" s="113" t="n">
        <f aca="false" ca="false" dt2D="false" dtr="false" t="normal">SUM(AA743:AO743)</f>
        <v>74428273.16999994</v>
      </c>
      <c r="AA743" s="106" t="n">
        <v>10992944.4933071</v>
      </c>
      <c r="AB743" s="106" t="n">
        <v>4031142.10588698</v>
      </c>
      <c r="AC743" s="106" t="n">
        <v>4211597.53865634</v>
      </c>
      <c r="AD743" s="106" t="n">
        <v>2636776.07423076</v>
      </c>
      <c r="AE743" s="106" t="n">
        <v>0</v>
      </c>
      <c r="AF743" s="106" t="n"/>
      <c r="AG743" s="106" t="n">
        <v>362907.9912444</v>
      </c>
      <c r="AH743" s="106" t="n">
        <v>0</v>
      </c>
      <c r="AI743" s="106" t="n">
        <v>20681273.9640654</v>
      </c>
      <c r="AJ743" s="106" t="n">
        <v>0</v>
      </c>
      <c r="AK743" s="106" t="n">
        <v>10737851.5117629</v>
      </c>
      <c r="AL743" s="106" t="n">
        <v>11581851.3841426</v>
      </c>
      <c r="AM743" s="106" t="n">
        <v>7021058.6344</v>
      </c>
      <c r="AN743" s="114" t="n">
        <v>744282.7317</v>
      </c>
      <c r="AO743" s="115" t="n">
        <v>1426586.74060346</v>
      </c>
      <c r="AP743" s="112" t="n">
        <f aca="false" ca="false" dt2D="false" dtr="false" t="normal">+N743-'Приложение №2'!E743</f>
        <v>0</v>
      </c>
      <c r="AQ743" s="1" t="n">
        <f aca="false" ca="false" dt2D="false" dtr="false" t="normal">2238292.29-1189810.96</f>
        <v>1048481.3300000001</v>
      </c>
      <c r="AR743" s="3" t="n">
        <f aca="false" ca="false" dt2D="false" dtr="false" t="normal">+(K743*10.5+L743*21)*12*0.85</f>
        <v>542077.011</v>
      </c>
      <c r="AS743" s="3" t="n">
        <f aca="false" ca="false" dt2D="false" dtr="false" t="normal">+(K743*10.5+L743*21)*12*30-3400305.87</f>
        <v>15731823.930000003</v>
      </c>
      <c r="AT743" s="9" t="n">
        <f aca="false" ca="false" dt2D="false" dtr="false" t="normal">+S743-AS743</f>
        <v>-526831.240000004</v>
      </c>
      <c r="AU743" s="9" t="e">
        <f aca="false" ca="false" dt2D="false" dtr="false" t="normal">+P743-'[5]Приложение №1'!$P660</f>
        <v>#REF!</v>
      </c>
      <c r="AV743" s="9" t="e">
        <f aca="false" ca="false" dt2D="false" dtr="false" t="normal">+Q743-'[5]Приложение №1'!$Q660</f>
        <v>#REF!</v>
      </c>
      <c r="AW743" s="186" t="n">
        <f aca="false" ca="true" dt2D="false" dtr="false" t="normal">SUBTOTAL(9, AX743:BL743)</f>
        <v>24641314.833105613</v>
      </c>
      <c r="AX743" s="106" t="n">
        <v>11569017.9163022</v>
      </c>
      <c r="AY743" s="106" t="n">
        <v>0</v>
      </c>
      <c r="AZ743" s="106" t="n">
        <v>0</v>
      </c>
      <c r="BA743" s="106" t="n">
        <v>0</v>
      </c>
      <c r="BB743" s="106" t="n">
        <v>0</v>
      </c>
      <c r="BC743" s="106" t="n"/>
      <c r="BD743" s="106" t="n">
        <v>381912.633869071</v>
      </c>
      <c r="BE743" s="106" t="n">
        <v>0</v>
      </c>
      <c r="BF743" s="106" t="n">
        <v>0</v>
      </c>
      <c r="BG743" s="106" t="n">
        <v>0</v>
      </c>
      <c r="BH743" s="106" t="n">
        <v>0</v>
      </c>
      <c r="BI743" s="106" t="n">
        <v>12188783.1560285</v>
      </c>
      <c r="BJ743" s="106" t="n"/>
      <c r="BK743" s="114" t="n"/>
      <c r="BL743" s="115" t="n">
        <v>501601.12690584</v>
      </c>
      <c r="BM743" s="186" t="n">
        <f aca="false" ca="true" dt2D="false" dtr="false" t="normal">SUBTOTAL(9, BN743:CB743)</f>
        <v>24641314.833105613</v>
      </c>
      <c r="BN743" s="106" t="n">
        <v>11569017.9163022</v>
      </c>
      <c r="BO743" s="106" t="n">
        <v>0</v>
      </c>
      <c r="BP743" s="106" t="n">
        <v>0</v>
      </c>
      <c r="BQ743" s="106" t="n">
        <v>0</v>
      </c>
      <c r="BR743" s="106" t="n">
        <v>0</v>
      </c>
      <c r="BS743" s="106" t="n"/>
      <c r="BT743" s="106" t="n">
        <v>381912.633869071</v>
      </c>
      <c r="BU743" s="106" t="n">
        <v>0</v>
      </c>
      <c r="BV743" s="106" t="n">
        <v>0</v>
      </c>
      <c r="BW743" s="106" t="n">
        <v>0</v>
      </c>
      <c r="BX743" s="106" t="n">
        <v>0</v>
      </c>
      <c r="BY743" s="106" t="n">
        <v>12188783.1560285</v>
      </c>
      <c r="BZ743" s="106" t="n"/>
      <c r="CA743" s="114" t="n"/>
      <c r="CB743" s="115" t="n">
        <v>501601.12690584</v>
      </c>
      <c r="CD743" s="116" t="e">
        <f aca="false" ca="false" dt2D="false" dtr="false" t="normal">+CD742+1</f>
        <v>#REF!</v>
      </c>
      <c r="CE743" s="117" t="e">
        <f aca="false" ca="false" dt2D="false" dtr="false" t="normal">+CE742+1</f>
        <v>#REF!</v>
      </c>
      <c r="CF743" s="104" t="s">
        <v>227</v>
      </c>
      <c r="CG743" s="104" t="s">
        <v>691</v>
      </c>
      <c r="CH743" s="232" t="n">
        <f aca="false" ca="true" dt2D="false" dtr="false" t="normal">SUBTOTAL(9, CI743:CW743)</f>
        <v>22520519.679999996</v>
      </c>
      <c r="CI743" s="106" t="n">
        <v>10346375.1</v>
      </c>
      <c r="CJ743" s="114" t="n">
        <v>0</v>
      </c>
      <c r="CK743" s="114" t="n">
        <v>0</v>
      </c>
      <c r="CL743" s="114" t="n">
        <v>0</v>
      </c>
      <c r="CM743" s="114" t="n">
        <v>0</v>
      </c>
      <c r="CN743" s="114" t="n"/>
      <c r="CO743" s="106" t="n"/>
      <c r="CP743" s="114" t="n">
        <v>0</v>
      </c>
      <c r="CQ743" s="114" t="n">
        <v>0</v>
      </c>
      <c r="CR743" s="114" t="n">
        <v>0</v>
      </c>
      <c r="CS743" s="114" t="n">
        <v>0</v>
      </c>
      <c r="CT743" s="114" t="n">
        <v>11672543.45</v>
      </c>
      <c r="CU743" s="114" t="n"/>
      <c r="CV743" s="114" t="n"/>
      <c r="CW743" s="115" t="n">
        <v>501601.13</v>
      </c>
      <c r="CX743" s="3" t="n">
        <f aca="false" ca="false" dt2D="false" dtr="false" t="normal">+N743-CH743</f>
        <v>-501601.12999999523</v>
      </c>
      <c r="CZ743" s="104" t="s">
        <v>691</v>
      </c>
      <c r="DA743" s="186" t="n">
        <f aca="false" ca="true" dt2D="false" dtr="false" t="normal">SUBTOTAL(9, DB743:DP743)</f>
        <v>22018918.549999997</v>
      </c>
      <c r="DB743" s="106" t="n">
        <v>10346375.1</v>
      </c>
      <c r="DC743" s="114" t="n">
        <v>0</v>
      </c>
      <c r="DD743" s="114" t="n">
        <v>0</v>
      </c>
      <c r="DE743" s="114" t="n">
        <v>0</v>
      </c>
      <c r="DF743" s="114" t="n">
        <v>0</v>
      </c>
      <c r="DG743" s="114" t="n"/>
      <c r="DH743" s="106" t="n"/>
      <c r="DI743" s="114" t="n">
        <v>0</v>
      </c>
      <c r="DJ743" s="114" t="n">
        <v>0</v>
      </c>
      <c r="DK743" s="114" t="n">
        <v>0</v>
      </c>
      <c r="DL743" s="114" t="n">
        <v>0</v>
      </c>
      <c r="DM743" s="114" t="n">
        <v>11672543.45</v>
      </c>
      <c r="DN743" s="114" t="n"/>
      <c r="DO743" s="114" t="n"/>
      <c r="DP743" s="240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</row>
    <row customFormat="true" hidden="false" ht="15" outlineLevel="0" r="744" s="1">
      <c r="A744" s="183" t="n">
        <f aca="false" ca="false" dt2D="false" dtr="false" t="normal">+A743+1</f>
        <v>722</v>
      </c>
      <c r="B744" s="117" t="n">
        <f aca="false" ca="false" dt2D="false" dtr="false" t="normal">+B743+1</f>
        <v>262</v>
      </c>
      <c r="C744" s="117" t="s">
        <v>227</v>
      </c>
      <c r="D744" s="117" t="s">
        <v>692</v>
      </c>
      <c r="E744" s="201" t="n">
        <v>1986</v>
      </c>
      <c r="F744" s="201" t="n">
        <v>2013</v>
      </c>
      <c r="G744" s="201" t="s">
        <v>68</v>
      </c>
      <c r="H744" s="201" t="n">
        <v>9</v>
      </c>
      <c r="I744" s="201" t="n">
        <v>1</v>
      </c>
      <c r="J744" s="114" t="n">
        <v>2272.3</v>
      </c>
      <c r="K744" s="114" t="n">
        <v>2002.9</v>
      </c>
      <c r="L744" s="114" t="n">
        <v>0</v>
      </c>
      <c r="M744" s="202" t="n">
        <v>70</v>
      </c>
      <c r="N744" s="108" t="n">
        <f aca="false" ca="false" dt2D="false" dtr="false" t="normal">SUM(P744:T744)</f>
        <v>10265999.69</v>
      </c>
      <c r="O744" s="114" t="n"/>
      <c r="P744" s="113" t="n">
        <v>1384418.62</v>
      </c>
      <c r="Q744" s="114" t="n"/>
      <c r="R744" s="113" t="n">
        <v>1158591.27</v>
      </c>
      <c r="S744" s="113" t="n">
        <v>3679310.11</v>
      </c>
      <c r="T744" s="113" t="n">
        <v>4043679.69</v>
      </c>
      <c r="U744" s="114" t="n">
        <v>3785.87607494133</v>
      </c>
      <c r="V744" s="114" t="n">
        <v>1381.283020064</v>
      </c>
      <c r="W744" s="110" t="n">
        <v>2024</v>
      </c>
      <c r="X744" s="9" t="e">
        <f aca="false" ca="false" dt2D="false" dtr="false" t="normal">+#REF!-'[9]Приложение №1'!$P1527</f>
        <v>#REF!</v>
      </c>
      <c r="Z744" s="113" t="n">
        <f aca="false" ca="false" dt2D="false" dtr="false" t="normal">SUM(AA744:AO744)</f>
        <v>21594584.648010876</v>
      </c>
      <c r="AA744" s="106" t="n">
        <v>4631599.44657774</v>
      </c>
      <c r="AB744" s="106" t="n"/>
      <c r="AC744" s="106" t="n">
        <v>1934925.93391272</v>
      </c>
      <c r="AD744" s="106" t="n">
        <v>1745759.14173024</v>
      </c>
      <c r="AE744" s="106" t="n">
        <v>0</v>
      </c>
      <c r="AF744" s="106" t="n"/>
      <c r="AG744" s="106" t="n">
        <v>222817.1130192</v>
      </c>
      <c r="AH744" s="106" t="n">
        <v>0</v>
      </c>
      <c r="AI744" s="106" t="n">
        <v>2259410.2166412</v>
      </c>
      <c r="AJ744" s="106" t="n">
        <v>0</v>
      </c>
      <c r="AK744" s="106" t="n"/>
      <c r="AL744" s="106" t="n">
        <v>5158377.8738793</v>
      </c>
      <c r="AM744" s="106" t="n">
        <v>4350496.0856</v>
      </c>
      <c r="AN744" s="114" t="n">
        <v>443884.9012</v>
      </c>
      <c r="AO744" s="115" t="n">
        <v>847313.93545048</v>
      </c>
      <c r="AP744" s="112" t="n">
        <f aca="false" ca="false" dt2D="false" dtr="false" t="normal">+N744-'Приложение №2'!E744</f>
        <v>0</v>
      </c>
      <c r="AQ744" s="9" t="n">
        <v>880481.32</v>
      </c>
      <c r="AR744" s="3" t="n">
        <f aca="false" ca="false" dt2D="false" dtr="false" t="normal">+(K744*13.95+L744*23.65)*12*0.85</f>
        <v>284992.64099999995</v>
      </c>
      <c r="AS744" s="3" t="n">
        <f aca="false" ca="false" dt2D="false" dtr="false" t="normal">+(K744*13.95+L744*23.65)*12*30-6343334.16</f>
        <v>3715229.6399999987</v>
      </c>
      <c r="AT744" s="9" t="n">
        <f aca="false" ca="false" dt2D="false" dtr="false" t="normal">+S744-AS744</f>
        <v>-35919.529999998864</v>
      </c>
      <c r="AU744" s="9" t="e">
        <f aca="false" ca="false" dt2D="false" dtr="false" t="normal">+P744-'[5]Приложение №1'!$P661</f>
        <v>#REF!</v>
      </c>
      <c r="AV744" s="9" t="e">
        <f aca="false" ca="false" dt2D="false" dtr="false" t="normal">+Q744-'[5]Приложение №1'!$Q661</f>
        <v>#REF!</v>
      </c>
      <c r="AW744" s="186" t="n">
        <f aca="false" ca="true" dt2D="false" dtr="false" t="normal">SUBTOTAL(9, AX744:BL744)</f>
        <v>7582731.1905000005</v>
      </c>
      <c r="AX744" s="106" t="n"/>
      <c r="AY744" s="106" t="n"/>
      <c r="AZ744" s="106" t="n">
        <v>436138.45</v>
      </c>
      <c r="BA744" s="106" t="n">
        <v>1875411.59</v>
      </c>
      <c r="BB744" s="106" t="n">
        <v>0</v>
      </c>
      <c r="BC744" s="106" t="n"/>
      <c r="BD744" s="106" t="n"/>
      <c r="BE744" s="106" t="n">
        <v>0</v>
      </c>
      <c r="BF744" s="106" t="n"/>
      <c r="BG744" s="106" t="n">
        <v>0</v>
      </c>
      <c r="BH744" s="106" t="n"/>
      <c r="BI744" s="106" t="n">
        <v>5158377.8738793</v>
      </c>
      <c r="BJ744" s="106" t="n"/>
      <c r="BK744" s="114" t="n"/>
      <c r="BL744" s="115" t="n">
        <v>112803.2766207</v>
      </c>
      <c r="BM744" s="186" t="n">
        <f aca="false" ca="true" dt2D="false" dtr="false" t="normal">SUBTOTAL(9, BN744:CB744)</f>
        <v>7582731.1905000005</v>
      </c>
      <c r="BN744" s="106" t="n"/>
      <c r="BO744" s="106" t="n"/>
      <c r="BP744" s="106" t="n">
        <v>436138.45</v>
      </c>
      <c r="BQ744" s="106" t="n">
        <v>1875411.59</v>
      </c>
      <c r="BR744" s="106" t="n">
        <v>0</v>
      </c>
      <c r="BS744" s="106" t="n"/>
      <c r="BT744" s="106" t="n"/>
      <c r="BU744" s="106" t="n">
        <v>0</v>
      </c>
      <c r="BV744" s="106" t="n"/>
      <c r="BW744" s="106" t="n">
        <v>0</v>
      </c>
      <c r="BX744" s="106" t="n"/>
      <c r="BY744" s="106" t="n">
        <v>5158377.8738793</v>
      </c>
      <c r="BZ744" s="106" t="n"/>
      <c r="CA744" s="114" t="n"/>
      <c r="CB744" s="115" t="n">
        <v>112803.2766207</v>
      </c>
      <c r="CD744" s="116" t="e">
        <f aca="false" ca="false" dt2D="false" dtr="false" t="normal">+CD743+1</f>
        <v>#REF!</v>
      </c>
      <c r="CE744" s="117" t="e">
        <f aca="false" ca="false" dt2D="false" dtr="false" t="normal">+CE743+1</f>
        <v>#REF!</v>
      </c>
      <c r="CF744" s="104" t="s">
        <v>227</v>
      </c>
      <c r="CG744" s="104" t="s">
        <v>692</v>
      </c>
      <c r="CH744" s="232" t="n">
        <f aca="false" ca="true" dt2D="false" dtr="false" t="normal">SUBTOTAL(9, CI744:CW744)</f>
        <v>10378802.969999999</v>
      </c>
      <c r="CI744" s="106" t="n"/>
      <c r="CJ744" s="114" t="n"/>
      <c r="CK744" s="114" t="n">
        <v>1226548.33</v>
      </c>
      <c r="CL744" s="114" t="n">
        <v>2281408.9</v>
      </c>
      <c r="CM744" s="114" t="n">
        <v>0</v>
      </c>
      <c r="CN744" s="114" t="n"/>
      <c r="CO744" s="106" t="n"/>
      <c r="CP744" s="114" t="n">
        <v>0</v>
      </c>
      <c r="CQ744" s="114" t="n"/>
      <c r="CR744" s="114" t="n">
        <v>0</v>
      </c>
      <c r="CS744" s="114" t="n"/>
      <c r="CT744" s="114" t="n">
        <v>6758042.46</v>
      </c>
      <c r="CU744" s="114" t="n"/>
      <c r="CV744" s="114" t="n"/>
      <c r="CW744" s="115" t="n">
        <v>112803.28</v>
      </c>
      <c r="CX744" s="3" t="n">
        <f aca="false" ca="false" dt2D="false" dtr="false" t="normal">+N744-CH744</f>
        <v>-112803.27999999933</v>
      </c>
      <c r="CZ744" s="104" t="s">
        <v>692</v>
      </c>
      <c r="DA744" s="186" t="n">
        <f aca="false" ca="true" dt2D="false" dtr="false" t="normal">SUBTOTAL(9, DB744:DP744)</f>
        <v>10265999.69</v>
      </c>
      <c r="DB744" s="106" t="n"/>
      <c r="DC744" s="114" t="n"/>
      <c r="DD744" s="114" t="n">
        <v>1226548.33</v>
      </c>
      <c r="DE744" s="114" t="n">
        <v>2281408.9</v>
      </c>
      <c r="DF744" s="114" t="n">
        <v>0</v>
      </c>
      <c r="DG744" s="114" t="n"/>
      <c r="DH744" s="106" t="n"/>
      <c r="DI744" s="114" t="n">
        <v>0</v>
      </c>
      <c r="DJ744" s="114" t="n"/>
      <c r="DK744" s="114" t="n">
        <v>0</v>
      </c>
      <c r="DL744" s="114" t="n"/>
      <c r="DM744" s="114" t="n">
        <v>6758042.46</v>
      </c>
      <c r="DN744" s="114" t="n"/>
      <c r="DO744" s="114" t="n"/>
      <c r="DP744" s="240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</row>
    <row customFormat="true" hidden="false" ht="15" outlineLevel="0" r="745" s="1">
      <c r="A745" s="183" t="n">
        <f aca="false" ca="false" dt2D="false" dtr="false" t="normal">+A744+1</f>
        <v>723</v>
      </c>
      <c r="B745" s="117" t="n">
        <f aca="false" ca="false" dt2D="false" dtr="false" t="normal">+B744+1</f>
        <v>263</v>
      </c>
      <c r="C745" s="117" t="s">
        <v>227</v>
      </c>
      <c r="D745" s="117" t="s">
        <v>693</v>
      </c>
      <c r="E745" s="201" t="n">
        <v>1999</v>
      </c>
      <c r="F745" s="201" t="n">
        <v>2006</v>
      </c>
      <c r="G745" s="201" t="s">
        <v>68</v>
      </c>
      <c r="H745" s="201" t="n">
        <v>9</v>
      </c>
      <c r="I745" s="201" t="n">
        <v>2</v>
      </c>
      <c r="J745" s="114" t="n">
        <v>4762.9</v>
      </c>
      <c r="K745" s="114" t="n">
        <v>4203.6</v>
      </c>
      <c r="L745" s="114" t="n">
        <v>0</v>
      </c>
      <c r="M745" s="202" t="n">
        <v>167</v>
      </c>
      <c r="N745" s="108" t="n">
        <f aca="false" ca="false" dt2D="false" dtr="false" t="normal">SUM(P745:T745)</f>
        <v>6000036.890000001</v>
      </c>
      <c r="O745" s="114" t="n"/>
      <c r="P745" s="3" t="n">
        <v>857945.77</v>
      </c>
      <c r="Q745" s="3" t="n"/>
      <c r="R745" s="113" t="n">
        <v>3422359.1</v>
      </c>
      <c r="S745" s="113" t="n">
        <v>1719732.02</v>
      </c>
      <c r="T745" s="114" t="n">
        <v>0</v>
      </c>
      <c r="U745" s="114" t="n">
        <v>2032.09154058426</v>
      </c>
      <c r="V745" s="114" t="n">
        <v>1382.283020064</v>
      </c>
      <c r="W745" s="110" t="n">
        <v>2024</v>
      </c>
      <c r="X745" s="9" t="n"/>
      <c r="Z745" s="113" t="n"/>
      <c r="AA745" s="106" t="n"/>
      <c r="AB745" s="106" t="n"/>
      <c r="AC745" s="106" t="n"/>
      <c r="AD745" s="106" t="n"/>
      <c r="AE745" s="106" t="n"/>
      <c r="AF745" s="106" t="n"/>
      <c r="AG745" s="106" t="n"/>
      <c r="AH745" s="106" t="n"/>
      <c r="AI745" s="106" t="n"/>
      <c r="AJ745" s="106" t="n"/>
      <c r="AK745" s="106" t="n"/>
      <c r="AL745" s="106" t="n"/>
      <c r="AM745" s="106" t="n"/>
      <c r="AN745" s="114" t="n"/>
      <c r="AO745" s="115" t="n"/>
      <c r="AP745" s="112" t="n">
        <f aca="false" ca="false" dt2D="false" dtr="false" t="normal">+N745-'Приложение №2'!E745</f>
        <v>0</v>
      </c>
      <c r="AQ745" s="121" t="n">
        <v>2824228.86</v>
      </c>
      <c r="AR745" s="3" t="n">
        <f aca="false" ca="false" dt2D="false" dtr="false" t="normal">+(K745*13.95+L745*23.65)*12*0.85</f>
        <v>598130.244</v>
      </c>
      <c r="AS745" s="3" t="n">
        <f aca="false" ca="false" dt2D="false" dtr="false" t="normal">+(K745*13.95+L745*23.65)*12*30</f>
        <v>21110479.2</v>
      </c>
      <c r="AT745" s="9" t="n">
        <f aca="false" ca="false" dt2D="false" dtr="false" t="normal">+S745-AS745</f>
        <v>-19390747.18</v>
      </c>
      <c r="AU745" s="9" t="e">
        <f aca="false" ca="false" dt2D="false" dtr="false" t="normal">+P745-'[5]Приложение №1'!$P662</f>
        <v>#REF!</v>
      </c>
      <c r="AV745" s="9" t="e">
        <f aca="false" ca="false" dt2D="false" dtr="false" t="normal">+Q745-'[5]Приложение №1'!$Q662</f>
        <v>#REF!</v>
      </c>
      <c r="AW745" s="186" t="n">
        <f aca="false" ca="true" dt2D="false" dtr="false" t="normal">SUBTOTAL(9, AX745:BL745)</f>
        <v>8542100</v>
      </c>
      <c r="AX745" s="106" t="n"/>
      <c r="AY745" s="106" t="n"/>
      <c r="AZ745" s="106" t="n"/>
      <c r="BA745" s="106" t="n"/>
      <c r="BB745" s="106" t="n"/>
      <c r="BC745" s="106" t="n"/>
      <c r="BD745" s="106" t="n"/>
      <c r="BE745" s="106" t="n">
        <v>8024927.0976</v>
      </c>
      <c r="BF745" s="106" t="n"/>
      <c r="BG745" s="106" t="n"/>
      <c r="BH745" s="106" t="n"/>
      <c r="BI745" s="106" t="n"/>
      <c r="BJ745" s="106" t="n">
        <v>256263</v>
      </c>
      <c r="BK745" s="114" t="n">
        <v>85421</v>
      </c>
      <c r="BL745" s="115" t="n">
        <v>175488.9024</v>
      </c>
      <c r="BM745" s="186" t="n">
        <f aca="false" ca="true" dt2D="false" dtr="false" t="normal">SUBTOTAL(9, BN745:CB745)</f>
        <v>8542100</v>
      </c>
      <c r="BN745" s="106" t="n"/>
      <c r="BO745" s="106" t="n"/>
      <c r="BP745" s="106" t="n"/>
      <c r="BQ745" s="106" t="n"/>
      <c r="BR745" s="106" t="n"/>
      <c r="BS745" s="106" t="n"/>
      <c r="BT745" s="106" t="n"/>
      <c r="BU745" s="106" t="n">
        <v>8024927.0976</v>
      </c>
      <c r="BV745" s="106" t="n"/>
      <c r="BW745" s="106" t="n"/>
      <c r="BX745" s="106" t="n"/>
      <c r="BY745" s="106" t="n"/>
      <c r="BZ745" s="106" t="n">
        <v>256263</v>
      </c>
      <c r="CA745" s="114" t="n">
        <v>85421</v>
      </c>
      <c r="CB745" s="115" t="n">
        <v>175488.9024</v>
      </c>
      <c r="CD745" s="116" t="e">
        <f aca="false" ca="false" dt2D="false" dtr="false" t="normal">+CD744+1</f>
        <v>#REF!</v>
      </c>
      <c r="CE745" s="117" t="e">
        <f aca="false" ca="false" dt2D="false" dtr="false" t="normal">+CE744+1</f>
        <v>#REF!</v>
      </c>
      <c r="CF745" s="104" t="s">
        <v>227</v>
      </c>
      <c r="CG745" s="104" t="s">
        <v>693</v>
      </c>
      <c r="CH745" s="232" t="n">
        <f aca="false" ca="true" dt2D="false" dtr="false" t="normal">SUBTOTAL(9, CI745:CW745)</f>
        <v>6000036.89</v>
      </c>
      <c r="CI745" s="106" t="n"/>
      <c r="CJ745" s="114" t="n"/>
      <c r="CK745" s="114" t="n"/>
      <c r="CL745" s="114" t="n"/>
      <c r="CM745" s="114" t="n"/>
      <c r="CN745" s="114" t="n"/>
      <c r="CO745" s="106" t="n"/>
      <c r="CP745" s="243" t="n">
        <v>5658352.89</v>
      </c>
      <c r="CQ745" s="114" t="n"/>
      <c r="CR745" s="114" t="n"/>
      <c r="CS745" s="114" t="n"/>
      <c r="CT745" s="114" t="n"/>
      <c r="CU745" s="114" t="n">
        <v>256263</v>
      </c>
      <c r="CV745" s="114" t="n">
        <v>85421</v>
      </c>
      <c r="CW745" s="115" t="n"/>
      <c r="CX745" s="3" t="n">
        <f aca="false" ca="false" dt2D="false" dtr="false" t="normal">+N745-CH745</f>
        <v>0</v>
      </c>
      <c r="CZ745" s="104" t="s">
        <v>693</v>
      </c>
      <c r="DA745" s="186" t="n">
        <f aca="false" ca="true" dt2D="false" dtr="false" t="normal">SUBTOTAL(9, DB745:DP745)</f>
        <v>6000036.89</v>
      </c>
      <c r="DB745" s="106" t="n"/>
      <c r="DC745" s="114" t="n"/>
      <c r="DD745" s="114" t="n"/>
      <c r="DE745" s="114" t="n"/>
      <c r="DF745" s="114" t="n"/>
      <c r="DG745" s="114" t="n"/>
      <c r="DH745" s="106" t="n"/>
      <c r="DI745" s="243" t="n">
        <v>5658352.89</v>
      </c>
      <c r="DJ745" s="114" t="n"/>
      <c r="DK745" s="114" t="n"/>
      <c r="DL745" s="114" t="n"/>
      <c r="DM745" s="114" t="n"/>
      <c r="DN745" s="114" t="n">
        <v>256263</v>
      </c>
      <c r="DO745" s="114" t="n">
        <v>85421</v>
      </c>
      <c r="DP745" s="240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</row>
    <row customFormat="true" hidden="false" ht="15" outlineLevel="0" r="746" s="129">
      <c r="A746" s="183" t="n">
        <f aca="false" ca="false" dt2D="false" dtr="false" t="normal">+A745+1</f>
        <v>724</v>
      </c>
      <c r="B746" s="117" t="n">
        <f aca="false" ca="false" dt2D="false" dtr="false" t="normal">+B745+1</f>
        <v>264</v>
      </c>
      <c r="C746" s="117" t="s">
        <v>227</v>
      </c>
      <c r="D746" s="117" t="s">
        <v>694</v>
      </c>
      <c r="E746" s="201" t="s">
        <v>235</v>
      </c>
      <c r="F746" s="201" t="n"/>
      <c r="G746" s="201" t="s">
        <v>68</v>
      </c>
      <c r="H746" s="201" t="s">
        <v>126</v>
      </c>
      <c r="I746" s="201" t="s">
        <v>105</v>
      </c>
      <c r="J746" s="114" t="n">
        <v>4698.7</v>
      </c>
      <c r="K746" s="114" t="n">
        <v>4088</v>
      </c>
      <c r="L746" s="114" t="n">
        <v>0</v>
      </c>
      <c r="M746" s="202" t="n">
        <v>152</v>
      </c>
      <c r="N746" s="108" t="n">
        <f aca="false" ca="false" dt2D="false" dtr="false" t="normal">SUM(P746:T746)</f>
        <v>6469940.16</v>
      </c>
      <c r="O746" s="114" t="n">
        <v>0</v>
      </c>
      <c r="P746" s="114" t="n"/>
      <c r="Q746" s="114" t="n"/>
      <c r="R746" s="113" t="n">
        <v>3479298.62</v>
      </c>
      <c r="S746" s="113" t="n">
        <v>2990641.54</v>
      </c>
      <c r="T746" s="114" t="n">
        <v>0</v>
      </c>
      <c r="U746" s="114" t="n">
        <v>3424.07610056849</v>
      </c>
      <c r="V746" s="114" t="n">
        <v>1383.283020064</v>
      </c>
      <c r="W746" s="110" t="n">
        <v>2024</v>
      </c>
      <c r="X746" s="129" t="n">
        <v>1703986.46</v>
      </c>
      <c r="Y746" s="129" t="n">
        <f aca="false" ca="false" dt2D="false" dtr="false" t="normal">+(K746*12.08+L746*20.47)*12</f>
        <v>592596.48</v>
      </c>
      <c r="AA746" s="130" t="e">
        <f aca="false" ca="false" dt2D="false" dtr="false" t="normal">+N746-'[8]Приложение № 2'!E629</f>
        <v>#REF!</v>
      </c>
      <c r="AD746" s="130" t="e">
        <f aca="false" ca="false" dt2D="false" dtr="false" t="normal">+N746-'[8]Приложение № 2'!E629</f>
        <v>#REF!</v>
      </c>
      <c r="AP746" s="112" t="n">
        <f aca="false" ca="false" dt2D="false" dtr="false" t="normal">+N746-'Приложение №2'!E746</f>
        <v>0</v>
      </c>
      <c r="AQ746" s="132" t="n">
        <f aca="false" ca="false" dt2D="false" dtr="false" t="normal">2897617.1</f>
        <v>2897617.1</v>
      </c>
      <c r="AR746" s="3" t="n">
        <f aca="false" ca="false" dt2D="false" dtr="false" t="normal">+(K746*13.95+L746*23.65)*12*0.85</f>
        <v>581681.5199999999</v>
      </c>
      <c r="AS746" s="3" t="n">
        <f aca="false" ca="false" dt2D="false" dtr="false" t="normal">+(K746*13.95+L746*23.65)*12*30</f>
        <v>20529936</v>
      </c>
      <c r="AT746" s="9" t="n">
        <f aca="false" ca="false" dt2D="false" dtr="false" t="normal">+S746-AS746</f>
        <v>-17539294.46</v>
      </c>
      <c r="AU746" s="9" t="e">
        <f aca="false" ca="false" dt2D="false" dtr="false" t="normal">+P746-'[5]Приложение №1'!$P663</f>
        <v>#REF!</v>
      </c>
      <c r="AV746" s="9" t="e">
        <f aca="false" ca="false" dt2D="false" dtr="false" t="normal">+Q746-'[5]Приложение №1'!$Q663</f>
        <v>#REF!</v>
      </c>
      <c r="AW746" s="186" t="n">
        <f aca="false" ca="true" dt2D="false" dtr="false" t="normal">SUBTOTAL(9, AX746:BL746)</f>
        <v>13997623.099124001</v>
      </c>
      <c r="AX746" s="106" t="n"/>
      <c r="AY746" s="106" t="n"/>
      <c r="AZ746" s="106" t="n">
        <v>5455523.099124</v>
      </c>
      <c r="BA746" s="106" t="n"/>
      <c r="BB746" s="106" t="n"/>
      <c r="BC746" s="106" t="n"/>
      <c r="BD746" s="106" t="n"/>
      <c r="BE746" s="106" t="n">
        <v>8024927.0976</v>
      </c>
      <c r="BF746" s="106" t="n"/>
      <c r="BG746" s="106" t="n"/>
      <c r="BH746" s="106" t="n"/>
      <c r="BI746" s="106" t="n"/>
      <c r="BJ746" s="106" t="n">
        <v>256263</v>
      </c>
      <c r="BK746" s="114" t="n">
        <v>85421</v>
      </c>
      <c r="BL746" s="115" t="n">
        <v>175488.9024</v>
      </c>
      <c r="BM746" s="186" t="n">
        <f aca="false" ca="true" dt2D="false" dtr="false" t="normal">SUBTOTAL(9, BN746:CB746)</f>
        <v>13997623.099124001</v>
      </c>
      <c r="BN746" s="106" t="n"/>
      <c r="BO746" s="106" t="n"/>
      <c r="BP746" s="106" t="n">
        <v>5455523.099124</v>
      </c>
      <c r="BQ746" s="106" t="n"/>
      <c r="BR746" s="106" t="n"/>
      <c r="BS746" s="106" t="n"/>
      <c r="BT746" s="106" t="n"/>
      <c r="BU746" s="106" t="n">
        <v>8024927.0976</v>
      </c>
      <c r="BV746" s="106" t="n"/>
      <c r="BW746" s="106" t="n"/>
      <c r="BX746" s="106" t="n"/>
      <c r="BY746" s="106" t="n"/>
      <c r="BZ746" s="106" t="n">
        <v>256263</v>
      </c>
      <c r="CA746" s="114" t="n">
        <v>85421</v>
      </c>
      <c r="CB746" s="115" t="n">
        <v>175488.9024</v>
      </c>
      <c r="CD746" s="116" t="e">
        <f aca="false" ca="false" dt2D="false" dtr="false" t="normal">+CD745+1</f>
        <v>#REF!</v>
      </c>
      <c r="CE746" s="117" t="e">
        <f aca="false" ca="false" dt2D="false" dtr="false" t="normal">+CE745+1</f>
        <v>#REF!</v>
      </c>
      <c r="CF746" s="104" t="s">
        <v>227</v>
      </c>
      <c r="CG746" s="104" t="s">
        <v>694</v>
      </c>
      <c r="CH746" s="232" t="n">
        <f aca="false" ca="true" dt2D="false" dtr="false" t="normal">SUBTOTAL(9, CI746:CW746)</f>
        <v>6469940.16</v>
      </c>
      <c r="CI746" s="106" t="n"/>
      <c r="CJ746" s="114" t="n"/>
      <c r="CK746" s="114" t="n">
        <v>3279759.72</v>
      </c>
      <c r="CL746" s="114" t="n"/>
      <c r="CM746" s="114" t="n"/>
      <c r="CN746" s="114" t="n"/>
      <c r="CO746" s="106" t="n"/>
      <c r="CP746" s="243" t="n">
        <v>2848496.44</v>
      </c>
      <c r="CQ746" s="114" t="n"/>
      <c r="CR746" s="114" t="n"/>
      <c r="CS746" s="114" t="n"/>
      <c r="CT746" s="114" t="n"/>
      <c r="CU746" s="114" t="n">
        <v>256263</v>
      </c>
      <c r="CV746" s="114" t="n">
        <v>85421</v>
      </c>
      <c r="CW746" s="115" t="n"/>
      <c r="CX746" s="3" t="n">
        <f aca="false" ca="false" dt2D="false" dtr="false" t="normal">+N746-CH746</f>
        <v>0</v>
      </c>
      <c r="CZ746" s="104" t="s">
        <v>694</v>
      </c>
      <c r="DA746" s="186" t="n">
        <f aca="false" ca="true" dt2D="false" dtr="false" t="normal">SUBTOTAL(9, DB746:DP746)</f>
        <v>6469940.16</v>
      </c>
      <c r="DB746" s="106" t="n"/>
      <c r="DC746" s="114" t="n"/>
      <c r="DD746" s="114" t="n">
        <v>3279759.72</v>
      </c>
      <c r="DE746" s="114" t="n"/>
      <c r="DF746" s="114" t="n"/>
      <c r="DG746" s="114" t="n"/>
      <c r="DH746" s="106" t="n"/>
      <c r="DI746" s="243" t="n">
        <v>2848496.44</v>
      </c>
      <c r="DJ746" s="114" t="n"/>
      <c r="DK746" s="114" t="n"/>
      <c r="DL746" s="114" t="n"/>
      <c r="DM746" s="114" t="n"/>
      <c r="DN746" s="114" t="n">
        <v>256263</v>
      </c>
      <c r="DO746" s="114" t="n">
        <v>85421</v>
      </c>
      <c r="DP746" s="240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</row>
    <row customFormat="true" hidden="false" ht="15" outlineLevel="0" r="747" s="1">
      <c r="A747" s="183" t="n">
        <f aca="false" ca="false" dt2D="false" dtr="false" t="normal">+A746+1</f>
        <v>725</v>
      </c>
      <c r="B747" s="117" t="n">
        <f aca="false" ca="false" dt2D="false" dtr="false" t="normal">+B746+1</f>
        <v>265</v>
      </c>
      <c r="C747" s="117" t="s">
        <v>227</v>
      </c>
      <c r="D747" s="117" t="s">
        <v>424</v>
      </c>
      <c r="E747" s="201" t="n">
        <v>1994</v>
      </c>
      <c r="F747" s="201" t="n">
        <v>2015</v>
      </c>
      <c r="G747" s="201" t="s">
        <v>68</v>
      </c>
      <c r="H747" s="201" t="n">
        <v>9</v>
      </c>
      <c r="I747" s="201" t="n">
        <v>4</v>
      </c>
      <c r="J747" s="114" t="n">
        <v>9059.3</v>
      </c>
      <c r="K747" s="114" t="n">
        <v>7958.2</v>
      </c>
      <c r="L747" s="114" t="n">
        <v>49</v>
      </c>
      <c r="M747" s="202" t="n">
        <v>376</v>
      </c>
      <c r="N747" s="108" t="n">
        <f aca="false" ca="false" dt2D="false" dtr="false" t="normal">SUM(P747:T747)</f>
        <v>43820711.34</v>
      </c>
      <c r="O747" s="114" t="n"/>
      <c r="P747" s="113" t="n">
        <v>10816332.31</v>
      </c>
      <c r="Q747" s="114" t="n"/>
      <c r="R747" s="113" t="n">
        <v>2578338.44</v>
      </c>
      <c r="S747" s="113" t="n">
        <v>11338783.16</v>
      </c>
      <c r="T747" s="113" t="n">
        <v>19087257.43</v>
      </c>
      <c r="U747" s="114" t="n">
        <v>6396.96184668109</v>
      </c>
      <c r="V747" s="114" t="n">
        <v>1384.283020064</v>
      </c>
      <c r="W747" s="110" t="n">
        <v>2024</v>
      </c>
      <c r="X747" s="9" t="e">
        <f aca="false" ca="false" dt2D="false" dtr="false" t="normal">+#REF!-'[9]Приложение №1'!$P821</f>
        <v>#REF!</v>
      </c>
      <c r="Z747" s="113" t="n">
        <f aca="false" ca="false" dt2D="false" dtr="false" t="normal">SUM(AA747:AO747)</f>
        <v>167033614.95999992</v>
      </c>
      <c r="AA747" s="106" t="n">
        <v>18497723.4368581</v>
      </c>
      <c r="AB747" s="106" t="n">
        <v>12695079.7208865</v>
      </c>
      <c r="AC747" s="106" t="n">
        <v>7727724.56465856</v>
      </c>
      <c r="AD747" s="106" t="n">
        <v>6972228.53861016</v>
      </c>
      <c r="AE747" s="106" t="n">
        <v>0</v>
      </c>
      <c r="AF747" s="106" t="n"/>
      <c r="AG747" s="106" t="n">
        <v>889888.9862016</v>
      </c>
      <c r="AH747" s="106" t="n">
        <v>0</v>
      </c>
      <c r="AI747" s="106" t="n">
        <v>0</v>
      </c>
      <c r="AJ747" s="106" t="n">
        <v>0</v>
      </c>
      <c r="AK747" s="106" t="n">
        <v>78339424.5910462</v>
      </c>
      <c r="AL747" s="106" t="n">
        <v>20601575.8419794</v>
      </c>
      <c r="AM747" s="106" t="n">
        <v>16452952.1394</v>
      </c>
      <c r="AN747" s="114" t="n">
        <v>1670336.1496</v>
      </c>
      <c r="AO747" s="115" t="n">
        <v>3186680.9907594</v>
      </c>
      <c r="AP747" s="112" t="n">
        <f aca="false" ca="false" dt2D="false" dtr="false" t="normal">+N747-'Приложение №2'!E747</f>
        <v>0</v>
      </c>
      <c r="AQ747" s="121" t="n">
        <f aca="false" ca="false" dt2D="false" dtr="false" t="normal">5650783.47-5939473.29-R350</f>
        <v>-540177.9600000003</v>
      </c>
      <c r="AR747" s="3" t="n">
        <f aca="false" ca="false" dt2D="false" dtr="false" t="normal">+(K747*13.95+L747*23.65)*12*0.85</f>
        <v>1144192.548</v>
      </c>
      <c r="AS747" s="3" t="n">
        <f aca="false" ca="false" dt2D="false" dtr="false" t="normal">+(K747*13.95+L747*23.65)*12*30-S350</f>
        <v>37804530.199999996</v>
      </c>
      <c r="AT747" s="9" t="n">
        <f aca="false" ca="false" dt2D="false" dtr="false" t="normal">+S747-AS747</f>
        <v>-26465747.039999995</v>
      </c>
      <c r="AU747" s="9" t="e">
        <f aca="false" ca="false" dt2D="false" dtr="false" t="normal">+P747-'[5]Приложение №1'!$P664</f>
        <v>#REF!</v>
      </c>
      <c r="AV747" s="9" t="e">
        <f aca="false" ca="false" dt2D="false" dtr="false" t="normal">+Q747-'[5]Приложение №1'!$Q664</f>
        <v>#REF!</v>
      </c>
      <c r="AW747" s="186" t="n">
        <f aca="false" ca="true" dt2D="false" dtr="false" t="normal">SUBTOTAL(9, AX747:BL747)</f>
        <v>50908301.76825748</v>
      </c>
      <c r="AX747" s="106" t="n">
        <v>18516250.1895798</v>
      </c>
      <c r="AY747" s="106" t="n">
        <v>12707765.9897027</v>
      </c>
      <c r="AZ747" s="106" t="n"/>
      <c r="BA747" s="106" t="n">
        <v>7854168.27</v>
      </c>
      <c r="BB747" s="106" t="n">
        <v>0</v>
      </c>
      <c r="BC747" s="106" t="n"/>
      <c r="BD747" s="106" t="n">
        <v>890798.917634398</v>
      </c>
      <c r="BE747" s="106" t="n">
        <v>8024927.0976</v>
      </c>
      <c r="BF747" s="106" t="n">
        <v>0</v>
      </c>
      <c r="BG747" s="106" t="n">
        <v>0</v>
      </c>
      <c r="BH747" s="106" t="n"/>
      <c r="BI747" s="106" t="n">
        <v>0</v>
      </c>
      <c r="BJ747" s="106" t="n"/>
      <c r="BK747" s="114" t="n"/>
      <c r="BL747" s="115" t="n">
        <v>2914391.30374058</v>
      </c>
      <c r="BM747" s="186" t="n">
        <f aca="false" ca="true" dt2D="false" dtr="false" t="normal">SUBTOTAL(9, BN747:CB747)</f>
        <v>50908301.76825748</v>
      </c>
      <c r="BN747" s="106" t="n">
        <v>18516250.1895798</v>
      </c>
      <c r="BO747" s="106" t="n">
        <v>12707765.9897027</v>
      </c>
      <c r="BP747" s="106" t="n"/>
      <c r="BQ747" s="106" t="n">
        <v>7854168.27</v>
      </c>
      <c r="BR747" s="106" t="n">
        <v>0</v>
      </c>
      <c r="BS747" s="106" t="n"/>
      <c r="BT747" s="106" t="n">
        <v>890798.917634398</v>
      </c>
      <c r="BU747" s="106" t="n">
        <v>8024927.0976</v>
      </c>
      <c r="BV747" s="106" t="n">
        <v>0</v>
      </c>
      <c r="BW747" s="106" t="n">
        <v>0</v>
      </c>
      <c r="BX747" s="106" t="n"/>
      <c r="BY747" s="106" t="n">
        <v>0</v>
      </c>
      <c r="BZ747" s="106" t="n"/>
      <c r="CA747" s="114" t="n"/>
      <c r="CB747" s="115" t="n">
        <v>2914391.30374058</v>
      </c>
      <c r="CD747" s="116" t="e">
        <f aca="false" ca="false" dt2D="false" dtr="false" t="normal">+CD746+1</f>
        <v>#REF!</v>
      </c>
      <c r="CE747" s="117" t="e">
        <f aca="false" ca="false" dt2D="false" dtr="false" t="normal">+CE746+1</f>
        <v>#REF!</v>
      </c>
      <c r="CF747" s="104" t="s">
        <v>227</v>
      </c>
      <c r="CG747" s="104" t="s">
        <v>424</v>
      </c>
      <c r="CH747" s="232" t="n">
        <f aca="false" ca="true" dt2D="false" dtr="false" t="normal">SUBTOTAL(9, CI747:CW747)</f>
        <v>43984484.17</v>
      </c>
      <c r="CI747" s="106" t="n">
        <v>18516250.19</v>
      </c>
      <c r="CJ747" s="243" t="n">
        <v>12234264.95</v>
      </c>
      <c r="CK747" s="114" t="n"/>
      <c r="CL747" s="243" t="n">
        <v>7411843.32</v>
      </c>
      <c r="CM747" s="114" t="n">
        <v>0</v>
      </c>
      <c r="CN747" s="114" t="n"/>
      <c r="CO747" s="106" t="n"/>
      <c r="CP747" s="243" t="n">
        <v>5658352.88</v>
      </c>
      <c r="CQ747" s="114" t="n">
        <v>0</v>
      </c>
      <c r="CR747" s="114" t="n">
        <v>0</v>
      </c>
      <c r="CS747" s="114" t="n"/>
      <c r="CT747" s="114" t="n">
        <v>0</v>
      </c>
      <c r="CU747" s="114" t="n">
        <v>126233.29</v>
      </c>
      <c r="CV747" s="114" t="n">
        <v>37539.54</v>
      </c>
      <c r="CW747" s="115" t="n"/>
      <c r="CX747" s="3" t="n">
        <f aca="false" ca="false" dt2D="false" dtr="false" t="normal">+N747-CH747</f>
        <v>-163772.8299999982</v>
      </c>
      <c r="CZ747" s="104" t="s">
        <v>424</v>
      </c>
      <c r="DA747" s="186" t="n">
        <f aca="false" ca="true" dt2D="false" dtr="false" t="normal">SUBTOTAL(9, DB747:DP747)</f>
        <v>43984484.17</v>
      </c>
      <c r="DB747" s="106" t="n">
        <v>18516250.19</v>
      </c>
      <c r="DC747" s="243" t="n">
        <v>12234264.95</v>
      </c>
      <c r="DD747" s="114" t="n"/>
      <c r="DE747" s="243" t="n">
        <v>7411843.32</v>
      </c>
      <c r="DF747" s="114" t="n">
        <v>0</v>
      </c>
      <c r="DG747" s="114" t="n"/>
      <c r="DH747" s="106" t="n"/>
      <c r="DI747" s="243" t="n">
        <v>5658352.88</v>
      </c>
      <c r="DJ747" s="114" t="n">
        <v>0</v>
      </c>
      <c r="DK747" s="114" t="n">
        <v>0</v>
      </c>
      <c r="DL747" s="114" t="n"/>
      <c r="DM747" s="114" t="n">
        <v>0</v>
      </c>
      <c r="DN747" s="114" t="n">
        <v>126233.29</v>
      </c>
      <c r="DO747" s="114" t="n">
        <v>37539.54</v>
      </c>
      <c r="DP747" s="240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</row>
    <row customFormat="true" hidden="false" ht="15" outlineLevel="0" r="748" s="1">
      <c r="A748" s="183" t="n">
        <f aca="false" ca="false" dt2D="false" dtr="false" t="normal">+A747+1</f>
        <v>726</v>
      </c>
      <c r="B748" s="117" t="n">
        <f aca="false" ca="false" dt2D="false" dtr="false" t="normal">+B747+1</f>
        <v>266</v>
      </c>
      <c r="C748" s="104" t="s">
        <v>227</v>
      </c>
      <c r="D748" s="104" t="s">
        <v>230</v>
      </c>
      <c r="E748" s="105" t="n">
        <v>1989</v>
      </c>
      <c r="F748" s="105" t="n">
        <v>2014</v>
      </c>
      <c r="G748" s="105" t="s">
        <v>68</v>
      </c>
      <c r="H748" s="105" t="n">
        <v>9</v>
      </c>
      <c r="I748" s="105" t="n">
        <v>3</v>
      </c>
      <c r="J748" s="106" t="n">
        <v>6626.1</v>
      </c>
      <c r="K748" s="106" t="n">
        <v>6102.5</v>
      </c>
      <c r="L748" s="106" t="n">
        <v>67.8</v>
      </c>
      <c r="M748" s="107" t="n">
        <v>265</v>
      </c>
      <c r="N748" s="108" t="n">
        <f aca="false" ca="false" dt2D="false" dtr="false" t="normal">SUM(P748:T748)</f>
        <v>13963940.489999998</v>
      </c>
      <c r="O748" s="114" t="n"/>
      <c r="P748" s="113" t="n"/>
      <c r="Q748" s="114" t="n"/>
      <c r="R748" s="113" t="n">
        <v>3009205.1</v>
      </c>
      <c r="S748" s="114" t="n">
        <v>6081911.92</v>
      </c>
      <c r="T748" s="113" t="n">
        <v>4872823.47</v>
      </c>
      <c r="U748" s="114" t="n">
        <v>3812.05941023567</v>
      </c>
      <c r="V748" s="114" t="n">
        <v>3812.05941023567</v>
      </c>
      <c r="W748" s="110" t="n">
        <v>2024</v>
      </c>
      <c r="X748" s="9" t="e">
        <f aca="false" ca="false" dt2D="false" dtr="false" t="normal">+#REF!-'[9]Приложение №1'!$P1532</f>
        <v>#REF!</v>
      </c>
      <c r="Z748" s="113" t="n">
        <f aca="false" ca="false" dt2D="false" dtr="false" t="normal">SUM(AA748:AO748)</f>
        <v>133828117.4399999</v>
      </c>
      <c r="AA748" s="106" t="n">
        <v>13963940.4881831</v>
      </c>
      <c r="AB748" s="106" t="n">
        <v>9583521.89770962</v>
      </c>
      <c r="AC748" s="106" t="n">
        <v>5833663.06082448</v>
      </c>
      <c r="AD748" s="106" t="n">
        <v>5263338.74138856</v>
      </c>
      <c r="AE748" s="106" t="n">
        <v>0</v>
      </c>
      <c r="AF748" s="106" t="n"/>
      <c r="AG748" s="106" t="n">
        <v>671777.6317728</v>
      </c>
      <c r="AH748" s="106" t="n">
        <v>0</v>
      </c>
      <c r="AI748" s="106" t="n">
        <v>6811959.918141</v>
      </c>
      <c r="AJ748" s="106" t="n">
        <v>0</v>
      </c>
      <c r="AK748" s="106" t="n">
        <v>59138470.0187366</v>
      </c>
      <c r="AL748" s="106" t="n">
        <v>15552139.698892</v>
      </c>
      <c r="AM748" s="106" t="n">
        <v>13116434.0015</v>
      </c>
      <c r="AN748" s="114" t="n">
        <v>1338281.1744</v>
      </c>
      <c r="AO748" s="115" t="n">
        <v>2554590.80845174</v>
      </c>
      <c r="AP748" s="112" t="n">
        <f aca="false" ca="false" dt2D="false" dtr="false" t="normal">+N748-'Приложение №2'!E748</f>
        <v>0</v>
      </c>
      <c r="AQ748" s="121" t="n">
        <f aca="false" ca="false" dt2D="false" dtr="false" t="normal">3444334.74-R522</f>
        <v>1857367.3500000003</v>
      </c>
      <c r="AR748" s="3" t="n">
        <f aca="false" ca="false" dt2D="false" dtr="false" t="normal">+(K748*13.29+L748*22.52)*12*0.85</f>
        <v>842816.6261999998</v>
      </c>
      <c r="AS748" s="3" t="n">
        <f aca="false" ca="false" dt2D="false" dtr="false" t="normal">+(K748*13.29+L748*22.52)*12*30-S522</f>
        <v>27445223.139999997</v>
      </c>
      <c r="AT748" s="9" t="n">
        <f aca="false" ca="false" dt2D="false" dtr="false" t="normal">+S748-AS748</f>
        <v>-21363311.22</v>
      </c>
      <c r="AU748" s="9" t="e">
        <f aca="false" ca="false" dt2D="false" dtr="false" t="normal">+P748-'[5]Приложение №1'!$P720</f>
        <v>#REF!</v>
      </c>
      <c r="AV748" s="9" t="e">
        <f aca="false" ca="false" dt2D="false" dtr="false" t="normal">+Q748-'[5]Приложение №1'!$Q720</f>
        <v>#REF!</v>
      </c>
      <c r="AW748" s="113" t="n">
        <f aca="false" ca="true" dt2D="false" dtr="false" t="normal">SUBTOTAL(9, AX748:BL748)</f>
        <v>23521550.178977102</v>
      </c>
      <c r="AX748" s="106" t="n">
        <v>13963940.4881831</v>
      </c>
      <c r="BA748" s="106" t="n">
        <v>6043467.398094</v>
      </c>
      <c r="BB748" s="106" t="n">
        <v>0</v>
      </c>
      <c r="BC748" s="106" t="n"/>
      <c r="BD748" s="106" t="n">
        <v>671777.6317728</v>
      </c>
      <c r="BE748" s="106" t="n">
        <v>0</v>
      </c>
      <c r="BG748" s="106" t="n">
        <v>0</v>
      </c>
      <c r="BH748" s="106" t="n"/>
      <c r="BI748" s="106" t="n"/>
      <c r="BJ748" s="106" t="n"/>
      <c r="BK748" s="114" t="n"/>
      <c r="BL748" s="187" t="n">
        <v>2842364.6609272</v>
      </c>
      <c r="BM748" s="113" t="n">
        <f aca="false" ca="true" dt2D="false" dtr="false" t="normal">SUBTOTAL(9, BN748:CB748)</f>
        <v>23521550.178977102</v>
      </c>
      <c r="BN748" s="106" t="n">
        <v>13963940.4881831</v>
      </c>
      <c r="BQ748" s="106" t="n">
        <v>6043467.398094</v>
      </c>
      <c r="BR748" s="106" t="n">
        <v>0</v>
      </c>
      <c r="BS748" s="106" t="n"/>
      <c r="BT748" s="106" t="n">
        <v>671777.6317728</v>
      </c>
      <c r="BU748" s="106" t="n">
        <v>0</v>
      </c>
      <c r="BW748" s="106" t="n">
        <v>0</v>
      </c>
      <c r="BX748" s="106" t="n"/>
      <c r="BY748" s="106" t="n"/>
      <c r="BZ748" s="106" t="n"/>
      <c r="CA748" s="114" t="n"/>
      <c r="CB748" s="115" t="n">
        <v>2842364.6609272</v>
      </c>
      <c r="CD748" s="116" t="e">
        <f aca="false" ca="false" dt2D="false" dtr="false" t="normal">+CD747+1</f>
        <v>#REF!</v>
      </c>
      <c r="CE748" s="117" t="e">
        <f aca="false" ca="false" dt2D="false" dtr="false" t="normal">+CE747+1</f>
        <v>#REF!</v>
      </c>
      <c r="CF748" s="104" t="s">
        <v>227</v>
      </c>
      <c r="CG748" s="117" t="s">
        <v>230</v>
      </c>
      <c r="CH748" s="108" t="n">
        <f aca="false" ca="true" dt2D="false" dtr="false" t="normal">SUBTOTAL(9, CI748:CW748)</f>
        <v>13963940.49</v>
      </c>
      <c r="CI748" s="106" t="n">
        <v>13963940.49</v>
      </c>
      <c r="CJ748" s="114" t="n"/>
      <c r="CK748" s="114" t="n"/>
      <c r="CL748" s="114" t="n"/>
      <c r="CM748" s="114" t="n">
        <v>0</v>
      </c>
      <c r="CN748" s="114" t="n"/>
      <c r="CO748" s="106" t="n"/>
      <c r="CP748" s="114" t="n">
        <v>0</v>
      </c>
      <c r="CQ748" s="114" t="n"/>
      <c r="CR748" s="114" t="n">
        <v>0</v>
      </c>
      <c r="CS748" s="114" t="n"/>
      <c r="CT748" s="114" t="n"/>
      <c r="CU748" s="114" t="n"/>
      <c r="CV748" s="114" t="n"/>
      <c r="CW748" s="115" t="n"/>
      <c r="CX748" s="3" t="n">
        <f aca="false" ca="false" dt2D="false" dtr="false" t="normal">+N748-CH748</f>
        <v>0</v>
      </c>
      <c r="CZ748" s="117" t="s">
        <v>230</v>
      </c>
      <c r="DA748" s="113" t="n">
        <f aca="false" ca="true" dt2D="false" dtr="false" t="normal">SUBTOTAL(9, DB748:DP748)</f>
        <v>13963940.49</v>
      </c>
      <c r="DB748" s="106" t="n">
        <v>13963940.49</v>
      </c>
      <c r="DC748" s="114" t="n"/>
      <c r="DD748" s="114" t="n"/>
      <c r="DE748" s="114" t="n"/>
      <c r="DF748" s="114" t="n">
        <v>0</v>
      </c>
      <c r="DG748" s="114" t="n"/>
      <c r="DH748" s="106" t="n"/>
      <c r="DI748" s="114" t="n">
        <v>0</v>
      </c>
      <c r="DJ748" s="114" t="n"/>
      <c r="DK748" s="114" t="n">
        <v>0</v>
      </c>
      <c r="DL748" s="114" t="n"/>
      <c r="DM748" s="114" t="n"/>
      <c r="DN748" s="114" t="n"/>
      <c r="DO748" s="114" t="n"/>
      <c r="DP748" s="240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</row>
    <row customFormat="true" hidden="false" ht="15" outlineLevel="0" r="749" s="1">
      <c r="A749" s="183" t="n">
        <f aca="false" ca="false" dt2D="false" dtr="false" t="normal">+A748+1</f>
        <v>727</v>
      </c>
      <c r="B749" s="117" t="n">
        <f aca="false" ca="false" dt2D="false" dtr="false" t="normal">+B748+1</f>
        <v>267</v>
      </c>
      <c r="C749" s="117" t="s">
        <v>227</v>
      </c>
      <c r="D749" s="117" t="s">
        <v>695</v>
      </c>
      <c r="E749" s="201" t="n">
        <v>1974</v>
      </c>
      <c r="F749" s="201" t="n">
        <v>2004</v>
      </c>
      <c r="G749" s="201" t="s">
        <v>68</v>
      </c>
      <c r="H749" s="201" t="n">
        <v>9</v>
      </c>
      <c r="I749" s="201" t="n">
        <v>1</v>
      </c>
      <c r="J749" s="114" t="n">
        <v>2145.6</v>
      </c>
      <c r="K749" s="114" t="n">
        <v>1882.91</v>
      </c>
      <c r="L749" s="114" t="n">
        <v>0</v>
      </c>
      <c r="M749" s="202" t="n">
        <v>77</v>
      </c>
      <c r="N749" s="108" t="n">
        <f aca="false" ca="false" dt2D="false" dtr="false" t="normal">SUM(P749:T749)</f>
        <v>14071338.059999999</v>
      </c>
      <c r="O749" s="114" t="n"/>
      <c r="P749" s="113" t="n">
        <v>1633456.47</v>
      </c>
      <c r="Q749" s="114" t="n"/>
      <c r="R749" s="113" t="n">
        <v>1074656.2</v>
      </c>
      <c r="S749" s="113" t="n">
        <v>9008594.6</v>
      </c>
      <c r="T749" s="113" t="n">
        <v>2354630.79</v>
      </c>
      <c r="U749" s="114" t="n">
        <v>7750.18153007844</v>
      </c>
      <c r="V749" s="114" t="n">
        <v>7750.18153007844</v>
      </c>
      <c r="W749" s="110" t="n">
        <v>2024</v>
      </c>
      <c r="X749" s="9" t="e">
        <f aca="false" ca="false" dt2D="false" dtr="false" t="normal">+#REF!-'[9]Приложение №1'!$P1581</f>
        <v>#REF!</v>
      </c>
      <c r="Z749" s="113" t="n">
        <f aca="false" ca="false" dt2D="false" dtr="false" t="normal">SUM(AA749:AO749)</f>
        <v>14974764.26</v>
      </c>
      <c r="AA749" s="106" t="n">
        <v>4349966.56499496</v>
      </c>
      <c r="AB749" s="106" t="n">
        <v>2985403.71589782</v>
      </c>
      <c r="AC749" s="106" t="n">
        <v>1817269.21965834</v>
      </c>
      <c r="AD749" s="106" t="n">
        <v>1639605.06146724</v>
      </c>
      <c r="AE749" s="106" t="n">
        <v>0</v>
      </c>
      <c r="AF749" s="106" t="n"/>
      <c r="AG749" s="106" t="n">
        <v>209268.31068528</v>
      </c>
      <c r="AH749" s="106" t="n">
        <v>0</v>
      </c>
      <c r="AI749" s="106" t="n">
        <v>2122022.6416494</v>
      </c>
      <c r="AJ749" s="106" t="n">
        <v>0</v>
      </c>
      <c r="AK749" s="106" t="n">
        <v>0</v>
      </c>
      <c r="AL749" s="106" t="n">
        <v>0</v>
      </c>
      <c r="AM749" s="106" t="n">
        <v>1414495.961</v>
      </c>
      <c r="AN749" s="114" t="n">
        <v>149747.6426</v>
      </c>
      <c r="AO749" s="115" t="n">
        <v>286985.14204696</v>
      </c>
      <c r="AP749" s="112" t="n">
        <f aca="false" ca="false" dt2D="false" dtr="false" t="normal">+N749-'Приложение №2'!E749</f>
        <v>0</v>
      </c>
      <c r="AQ749" s="1" t="n">
        <v>819412.69</v>
      </c>
      <c r="AR749" s="3" t="n">
        <f aca="false" ca="false" dt2D="false" dtr="false" t="normal">+(K749*13.29+L749*22.52)*12*0.85</f>
        <v>255243.51377999995</v>
      </c>
      <c r="AS749" s="3" t="n">
        <f aca="false" ca="false" dt2D="false" dtr="false" t="normal">+(K749*13.29+L749*22.52)*12*30</f>
        <v>9008594.603999998</v>
      </c>
      <c r="AT749" s="9" t="n">
        <f aca="false" ca="false" dt2D="false" dtr="false" t="normal">+S749-AS749</f>
        <v>-0.003999998793005943</v>
      </c>
      <c r="AU749" s="9" t="e">
        <f aca="false" ca="false" dt2D="false" dtr="false" t="normal">+P749-'[5]Приложение №1'!$P374</f>
        <v>#REF!</v>
      </c>
      <c r="AV749" s="9" t="e">
        <f aca="false" ca="false" dt2D="false" dtr="false" t="normal">+Q749-'[5]Приложение №1'!$Q374</f>
        <v>#REF!</v>
      </c>
      <c r="AW749" s="113" t="n">
        <f aca="false" ca="true" dt2D="false" dtr="false" t="normal">SUBTOTAL(9, AX749:BL749)</f>
        <v>14592894.3048</v>
      </c>
      <c r="AX749" s="106" t="n">
        <v>4695224.656206</v>
      </c>
      <c r="AY749" s="106" t="n">
        <v>3264310.715988</v>
      </c>
      <c r="AZ749" s="106" t="n">
        <v>1988887.439868</v>
      </c>
      <c r="BA749" s="106" t="n">
        <v>1830087.630084</v>
      </c>
      <c r="BB749" s="106" t="n">
        <v>0</v>
      </c>
      <c r="BC749" s="106" t="n"/>
      <c r="BD749" s="106" t="n">
        <v>209268.31068528</v>
      </c>
      <c r="BE749" s="106" t="n">
        <v>0</v>
      </c>
      <c r="BF749" s="106" t="n">
        <v>2292827.613846</v>
      </c>
      <c r="BG749" s="106" t="n">
        <v>0</v>
      </c>
      <c r="BH749" s="106" t="n">
        <v>0</v>
      </c>
      <c r="BI749" s="106" t="n">
        <v>0</v>
      </c>
      <c r="BJ749" s="106" t="n"/>
      <c r="BK749" s="114" t="n"/>
      <c r="BL749" s="115" t="n">
        <v>312287.93812272</v>
      </c>
      <c r="BM749" s="113" t="n">
        <f aca="false" ca="true" dt2D="false" dtr="false" t="normal">SUBTOTAL(9, BN749:CB749)</f>
        <v>14592894.3048</v>
      </c>
      <c r="BN749" s="106" t="n">
        <v>4695224.656206</v>
      </c>
      <c r="BO749" s="106" t="n">
        <v>3264310.715988</v>
      </c>
      <c r="BP749" s="106" t="n">
        <v>1988887.439868</v>
      </c>
      <c r="BQ749" s="106" t="n">
        <v>1830087.630084</v>
      </c>
      <c r="BR749" s="106" t="n">
        <v>0</v>
      </c>
      <c r="BS749" s="106" t="n"/>
      <c r="BT749" s="106" t="n">
        <v>209268.31068528</v>
      </c>
      <c r="BU749" s="106" t="n">
        <v>0</v>
      </c>
      <c r="BV749" s="106" t="n">
        <v>2292827.613846</v>
      </c>
      <c r="BW749" s="106" t="n">
        <v>0</v>
      </c>
      <c r="BX749" s="106" t="n">
        <v>0</v>
      </c>
      <c r="BY749" s="106" t="n">
        <v>0</v>
      </c>
      <c r="BZ749" s="106" t="n"/>
      <c r="CA749" s="114" t="n"/>
      <c r="CB749" s="115" t="n">
        <v>312287.93812272</v>
      </c>
      <c r="CD749" s="116" t="e">
        <f aca="false" ca="false" dt2D="false" dtr="false" t="normal">+CD748+1</f>
        <v>#REF!</v>
      </c>
      <c r="CE749" s="117" t="e">
        <f aca="false" ca="false" dt2D="false" dtr="false" t="normal">+CE748+1</f>
        <v>#REF!</v>
      </c>
      <c r="CF749" s="104" t="s">
        <v>227</v>
      </c>
      <c r="CG749" s="104" t="s">
        <v>695</v>
      </c>
      <c r="CH749" s="108" t="n">
        <f aca="false" ca="true" dt2D="false" dtr="false" t="normal">SUBTOTAL(9, CI749:CW749)</f>
        <v>14383625.999999998</v>
      </c>
      <c r="CI749" s="106" t="n">
        <v>4695224.66</v>
      </c>
      <c r="CJ749" s="114" t="n">
        <v>3264310.72</v>
      </c>
      <c r="CK749" s="114" t="n">
        <v>1988887.44</v>
      </c>
      <c r="CL749" s="114" t="n">
        <v>1830087.63</v>
      </c>
      <c r="CM749" s="114" t="n">
        <v>0</v>
      </c>
      <c r="CN749" s="114" t="n"/>
      <c r="CO749" s="106" t="n"/>
      <c r="CP749" s="114" t="n">
        <v>0</v>
      </c>
      <c r="CQ749" s="114" t="n">
        <v>2292827.61</v>
      </c>
      <c r="CR749" s="114" t="n">
        <v>0</v>
      </c>
      <c r="CS749" s="114" t="n">
        <v>0</v>
      </c>
      <c r="CT749" s="114" t="n">
        <v>0</v>
      </c>
      <c r="CU749" s="114" t="n"/>
      <c r="CV749" s="114" t="n"/>
      <c r="CW749" s="115" t="n">
        <v>312287.94</v>
      </c>
      <c r="CX749" s="3" t="n">
        <f aca="false" ca="false" dt2D="false" dtr="false" t="normal">+N749-CH749</f>
        <v>-312287.9399999995</v>
      </c>
      <c r="CZ749" s="104" t="s">
        <v>695</v>
      </c>
      <c r="DA749" s="113" t="n">
        <f aca="false" ca="true" dt2D="false" dtr="false" t="normal">SUBTOTAL(9, DB749:DP749)</f>
        <v>14071338.059999999</v>
      </c>
      <c r="DB749" s="106" t="n">
        <v>4695224.66</v>
      </c>
      <c r="DC749" s="114" t="n">
        <v>3264310.72</v>
      </c>
      <c r="DD749" s="114" t="n">
        <v>1988887.44</v>
      </c>
      <c r="DE749" s="114" t="n">
        <v>1830087.63</v>
      </c>
      <c r="DF749" s="114" t="n">
        <v>0</v>
      </c>
      <c r="DG749" s="114" t="n"/>
      <c r="DH749" s="106" t="n"/>
      <c r="DI749" s="114" t="n">
        <v>0</v>
      </c>
      <c r="DJ749" s="114" t="n">
        <v>2292827.61</v>
      </c>
      <c r="DK749" s="114" t="n">
        <v>0</v>
      </c>
      <c r="DL749" s="114" t="n">
        <v>0</v>
      </c>
      <c r="DM749" s="114" t="n">
        <v>0</v>
      </c>
      <c r="DN749" s="114" t="n"/>
      <c r="DO749" s="114" t="n"/>
      <c r="DP749" s="240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</row>
    <row customFormat="true" hidden="false" ht="15" outlineLevel="0" r="750" s="1">
      <c r="A750" s="183" t="n">
        <f aca="false" ca="false" dt2D="false" dtr="false" t="normal">+A749+1</f>
        <v>728</v>
      </c>
      <c r="B750" s="117" t="n">
        <f aca="false" ca="false" dt2D="false" dtr="false" t="normal">+B749+1</f>
        <v>268</v>
      </c>
      <c r="C750" s="117" t="s">
        <v>227</v>
      </c>
      <c r="D750" s="117" t="s">
        <v>696</v>
      </c>
      <c r="E750" s="201" t="n">
        <v>1974</v>
      </c>
      <c r="F750" s="201" t="n">
        <v>2013</v>
      </c>
      <c r="G750" s="201" t="s">
        <v>68</v>
      </c>
      <c r="H750" s="201" t="n">
        <v>9</v>
      </c>
      <c r="I750" s="201" t="n">
        <v>1</v>
      </c>
      <c r="J750" s="114" t="n">
        <v>2145.6</v>
      </c>
      <c r="K750" s="114" t="n">
        <v>1951.96</v>
      </c>
      <c r="L750" s="114" t="n">
        <v>44</v>
      </c>
      <c r="M750" s="202" t="n">
        <v>70</v>
      </c>
      <c r="N750" s="108" t="n">
        <f aca="false" ca="false" dt2D="false" dtr="false" t="normal">SUM(P750:T750)</f>
        <v>2405433.04</v>
      </c>
      <c r="O750" s="114" t="n"/>
      <c r="P750" s="114" t="n"/>
      <c r="Q750" s="114" t="n"/>
      <c r="R750" s="113" t="n">
        <v>1689336.35</v>
      </c>
      <c r="S750" s="113" t="n">
        <v>716096.69</v>
      </c>
      <c r="T750" s="114" t="n"/>
      <c r="U750" s="114" t="n">
        <v>1180.96648496895</v>
      </c>
      <c r="V750" s="114" t="n">
        <v>1385.283020064</v>
      </c>
      <c r="W750" s="110" t="n">
        <v>2024</v>
      </c>
      <c r="X750" s="9" t="e">
        <f aca="false" ca="false" dt2D="false" dtr="false" t="normal">+#REF!-'[9]Приложение №1'!$P1582</f>
        <v>#REF!</v>
      </c>
      <c r="Z750" s="113" t="n">
        <f aca="false" ca="false" dt2D="false" dtr="false" t="normal">SUM(AA750:AO750)</f>
        <v>2561332.5999999996</v>
      </c>
      <c r="AA750" s="106" t="n">
        <v>0</v>
      </c>
      <c r="AB750" s="106" t="n">
        <v>0</v>
      </c>
      <c r="AC750" s="106" t="n">
        <v>0</v>
      </c>
      <c r="AD750" s="106" t="n">
        <v>0</v>
      </c>
      <c r="AE750" s="106" t="n">
        <v>0</v>
      </c>
      <c r="AF750" s="106" t="n"/>
      <c r="AG750" s="106" t="n">
        <v>0</v>
      </c>
      <c r="AH750" s="106" t="n">
        <v>0</v>
      </c>
      <c r="AI750" s="106" t="n">
        <v>2255868.074124</v>
      </c>
      <c r="AJ750" s="106" t="n">
        <v>0</v>
      </c>
      <c r="AK750" s="106" t="n">
        <v>0</v>
      </c>
      <c r="AL750" s="106" t="n">
        <v>0</v>
      </c>
      <c r="AM750" s="106" t="n">
        <v>230519.934</v>
      </c>
      <c r="AN750" s="114" t="n">
        <v>25613.326</v>
      </c>
      <c r="AO750" s="115" t="n">
        <v>49331.265876</v>
      </c>
      <c r="AP750" s="112" t="n">
        <f aca="false" ca="false" dt2D="false" dtr="false" t="normal">+N750-'Приложение №2'!E750</f>
        <v>0</v>
      </c>
      <c r="AQ750" s="121" t="n">
        <v>1450309.11</v>
      </c>
      <c r="AR750" s="3" t="n">
        <f aca="false" ca="false" dt2D="false" dtr="false" t="normal">+(K750*13.95+L750*23.65)*12*0.85</f>
        <v>288358.5084</v>
      </c>
      <c r="AS750" s="3" t="n">
        <f aca="false" ca="false" dt2D="false" dtr="false" t="normal">+(K750*13.95+L750*23.65)*12*30</f>
        <v>10177359.120000001</v>
      </c>
      <c r="AT750" s="9" t="n">
        <f aca="false" ca="false" dt2D="false" dtr="false" t="normal">+S750-AS750</f>
        <v>-9461262.430000002</v>
      </c>
      <c r="AU750" s="9" t="e">
        <f aca="false" ca="false" dt2D="false" dtr="false" t="normal">+P750-'[5]Приложение №1'!$P665</f>
        <v>#REF!</v>
      </c>
      <c r="AV750" s="9" t="e">
        <f aca="false" ca="false" dt2D="false" dtr="false" t="normal">+Q750-'[5]Приложение №1'!$Q665</f>
        <v>#REF!</v>
      </c>
      <c r="AW750" s="186" t="n">
        <f aca="false" ca="true" dt2D="false" dtr="false" t="normal">SUBTOTAL(9, AX750:BL750)</f>
        <v>2305199.34</v>
      </c>
      <c r="AX750" s="106" t="n">
        <v>0</v>
      </c>
      <c r="AY750" s="106" t="n">
        <v>0</v>
      </c>
      <c r="AZ750" s="106" t="n">
        <v>0</v>
      </c>
      <c r="BA750" s="106" t="n">
        <v>0</v>
      </c>
      <c r="BB750" s="106" t="n">
        <v>0</v>
      </c>
      <c r="BC750" s="106" t="n"/>
      <c r="BD750" s="106" t="n"/>
      <c r="BE750" s="106" t="n">
        <v>0</v>
      </c>
      <c r="BF750" s="106" t="n">
        <v>2255868.074124</v>
      </c>
      <c r="BG750" s="106" t="n">
        <v>0</v>
      </c>
      <c r="BH750" s="106" t="n">
        <v>0</v>
      </c>
      <c r="BI750" s="106" t="n">
        <v>0</v>
      </c>
      <c r="BJ750" s="106" t="n"/>
      <c r="BK750" s="114" t="n"/>
      <c r="BL750" s="115" t="n">
        <v>49331.265876</v>
      </c>
      <c r="BM750" s="186" t="n">
        <f aca="false" ca="true" dt2D="false" dtr="false" t="normal">SUBTOTAL(9, BN750:CB750)</f>
        <v>2305199.34</v>
      </c>
      <c r="BN750" s="106" t="n">
        <v>0</v>
      </c>
      <c r="BO750" s="106" t="n">
        <v>0</v>
      </c>
      <c r="BP750" s="106" t="n">
        <v>0</v>
      </c>
      <c r="BQ750" s="106" t="n">
        <v>0</v>
      </c>
      <c r="BR750" s="106" t="n">
        <v>0</v>
      </c>
      <c r="BS750" s="106" t="n"/>
      <c r="BT750" s="106" t="n"/>
      <c r="BU750" s="106" t="n">
        <v>0</v>
      </c>
      <c r="BV750" s="106" t="n">
        <v>2255868.074124</v>
      </c>
      <c r="BW750" s="106" t="n">
        <v>0</v>
      </c>
      <c r="BX750" s="106" t="n">
        <v>0</v>
      </c>
      <c r="BY750" s="106" t="n">
        <v>0</v>
      </c>
      <c r="BZ750" s="106" t="n"/>
      <c r="CA750" s="114" t="n"/>
      <c r="CB750" s="115" t="n">
        <v>49331.265876</v>
      </c>
      <c r="CD750" s="116" t="e">
        <f aca="false" ca="false" dt2D="false" dtr="false" t="normal">+CD749+1</f>
        <v>#REF!</v>
      </c>
      <c r="CE750" s="117" t="e">
        <f aca="false" ca="false" dt2D="false" dtr="false" t="normal">+CE749+1</f>
        <v>#REF!</v>
      </c>
      <c r="CF750" s="104" t="s">
        <v>227</v>
      </c>
      <c r="CG750" s="104" t="s">
        <v>696</v>
      </c>
      <c r="CH750" s="232" t="n">
        <f aca="false" ca="true" dt2D="false" dtr="false" t="normal">SUBTOTAL(9, CI750:CW750)</f>
        <v>2454764.31</v>
      </c>
      <c r="CI750" s="106" t="n">
        <v>0</v>
      </c>
      <c r="CJ750" s="114" t="n">
        <v>0</v>
      </c>
      <c r="CK750" s="114" t="n">
        <v>0</v>
      </c>
      <c r="CL750" s="114" t="n">
        <v>0</v>
      </c>
      <c r="CM750" s="114" t="n">
        <v>0</v>
      </c>
      <c r="CN750" s="114" t="n"/>
      <c r="CO750" s="106" t="n"/>
      <c r="CP750" s="114" t="n">
        <v>0</v>
      </c>
      <c r="CQ750" s="114" t="n">
        <v>2405433.04</v>
      </c>
      <c r="CR750" s="114" t="n">
        <v>0</v>
      </c>
      <c r="CS750" s="114" t="n">
        <v>0</v>
      </c>
      <c r="CT750" s="114" t="n">
        <v>0</v>
      </c>
      <c r="CU750" s="114" t="n"/>
      <c r="CV750" s="114" t="n"/>
      <c r="CW750" s="115" t="n">
        <v>49331.27</v>
      </c>
      <c r="CX750" s="3" t="n">
        <f aca="false" ca="false" dt2D="false" dtr="false" t="normal">+N750-CH750</f>
        <v>-49331.27000000002</v>
      </c>
      <c r="CZ750" s="104" t="s">
        <v>696</v>
      </c>
      <c r="DA750" s="186" t="n">
        <f aca="false" ca="true" dt2D="false" dtr="false" t="normal">SUBTOTAL(9, DB750:DP750)</f>
        <v>2405433.04</v>
      </c>
      <c r="DB750" s="106" t="n">
        <v>0</v>
      </c>
      <c r="DC750" s="114" t="n">
        <v>0</v>
      </c>
      <c r="DD750" s="114" t="n">
        <v>0</v>
      </c>
      <c r="DE750" s="114" t="n">
        <v>0</v>
      </c>
      <c r="DF750" s="114" t="n">
        <v>0</v>
      </c>
      <c r="DG750" s="114" t="n"/>
      <c r="DH750" s="106" t="n"/>
      <c r="DI750" s="114" t="n">
        <v>0</v>
      </c>
      <c r="DJ750" s="114" t="n">
        <v>2405433.04</v>
      </c>
      <c r="DK750" s="114" t="n">
        <v>0</v>
      </c>
      <c r="DL750" s="114" t="n">
        <v>0</v>
      </c>
      <c r="DM750" s="114" t="n">
        <v>0</v>
      </c>
      <c r="DN750" s="114" t="n"/>
      <c r="DO750" s="114" t="n"/>
      <c r="DP750" s="240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</row>
    <row customFormat="true" hidden="false" ht="15" outlineLevel="0" r="751" s="1">
      <c r="A751" s="183" t="n">
        <f aca="false" ca="false" dt2D="false" dtr="false" t="normal">+A750+1</f>
        <v>729</v>
      </c>
      <c r="B751" s="117" t="n">
        <f aca="false" ca="false" dt2D="false" dtr="false" t="normal">+B750+1</f>
        <v>269</v>
      </c>
      <c r="C751" s="117" t="s">
        <v>227</v>
      </c>
      <c r="D751" s="117" t="s">
        <v>697</v>
      </c>
      <c r="E751" s="201" t="n">
        <v>1973</v>
      </c>
      <c r="F751" s="201" t="n">
        <v>2004</v>
      </c>
      <c r="G751" s="201" t="s">
        <v>68</v>
      </c>
      <c r="H751" s="201" t="n">
        <v>9</v>
      </c>
      <c r="I751" s="201" t="n">
        <v>1</v>
      </c>
      <c r="J751" s="114" t="n">
        <v>2255.5</v>
      </c>
      <c r="K751" s="114" t="n">
        <v>1988.05</v>
      </c>
      <c r="L751" s="114" t="n">
        <v>0</v>
      </c>
      <c r="M751" s="202" t="n">
        <v>92</v>
      </c>
      <c r="N751" s="108" t="n">
        <f aca="false" ca="false" dt2D="false" dtr="false" t="normal">SUM(P751:T751)</f>
        <v>2894040.3</v>
      </c>
      <c r="O751" s="114" t="n"/>
      <c r="P751" s="114" t="n"/>
      <c r="Q751" s="114" t="n"/>
      <c r="R751" s="113" t="n">
        <v>1319011.73</v>
      </c>
      <c r="S751" s="113" t="n">
        <v>1099496.49</v>
      </c>
      <c r="T751" s="114" t="n">
        <v>475532.08</v>
      </c>
      <c r="U751" s="114" t="n">
        <v>1243.12572621413</v>
      </c>
      <c r="V751" s="114" t="n">
        <v>1243.12572621413</v>
      </c>
      <c r="W751" s="110" t="n">
        <v>2024</v>
      </c>
      <c r="X751" s="9" t="e">
        <f aca="false" ca="false" dt2D="false" dtr="false" t="normal">+#REF!-'[9]Приложение №1'!$P1583</f>
        <v>#REF!</v>
      </c>
      <c r="Z751" s="113" t="n">
        <f aca="false" ca="false" dt2D="false" dtr="false" t="normal">SUM(AA751:AO751)</f>
        <v>2546718.4499999997</v>
      </c>
      <c r="AA751" s="106" t="n">
        <v>0</v>
      </c>
      <c r="AB751" s="106" t="n">
        <v>0</v>
      </c>
      <c r="AC751" s="106" t="n">
        <v>0</v>
      </c>
      <c r="AD751" s="106" t="n">
        <v>0</v>
      </c>
      <c r="AE751" s="106" t="n">
        <v>0</v>
      </c>
      <c r="AF751" s="106" t="n"/>
      <c r="AG751" s="106" t="n">
        <v>0</v>
      </c>
      <c r="AH751" s="106" t="n">
        <v>0</v>
      </c>
      <c r="AI751" s="106" t="n">
        <v>2242996.807653</v>
      </c>
      <c r="AJ751" s="106" t="n">
        <v>0</v>
      </c>
      <c r="AK751" s="106" t="n">
        <v>0</v>
      </c>
      <c r="AL751" s="106" t="n">
        <v>0</v>
      </c>
      <c r="AM751" s="106" t="n">
        <v>229204.6605</v>
      </c>
      <c r="AN751" s="114" t="n">
        <v>25467.1845</v>
      </c>
      <c r="AO751" s="115" t="n">
        <v>49049.797347</v>
      </c>
      <c r="AP751" s="112" t="n">
        <f aca="false" ca="false" dt2D="false" dtr="false" t="normal">+N751-'Приложение №2'!E751</f>
        <v>0</v>
      </c>
      <c r="AQ751" s="1" t="n">
        <v>1102403.53</v>
      </c>
      <c r="AR751" s="3" t="n">
        <f aca="false" ca="false" dt2D="false" dtr="false" t="normal">+(K751*13.29+L751*22.52)*12*0.85</f>
        <v>269496.0819</v>
      </c>
      <c r="AS751" s="3" t="n">
        <f aca="false" ca="false" dt2D="false" dtr="false" t="normal">+(K751*13.29+L751*22.52)*12*30</f>
        <v>9511626.42</v>
      </c>
      <c r="AT751" s="9" t="n">
        <f aca="false" ca="false" dt2D="false" dtr="false" t="normal">+S751-AS751</f>
        <v>-8412129.93</v>
      </c>
      <c r="AU751" s="9" t="e">
        <f aca="false" ca="false" dt2D="false" dtr="false" t="normal">+P751-'[5]Приложение №1'!$P375</f>
        <v>#REF!</v>
      </c>
      <c r="AV751" s="9" t="e">
        <f aca="false" ca="false" dt2D="false" dtr="false" t="normal">+Q751-'[5]Приложение №1'!$Q375</f>
        <v>#REF!</v>
      </c>
      <c r="AW751" s="113" t="n">
        <f aca="false" ca="true" dt2D="false" dtr="false" t="normal">SUBTOTAL(9, AX751:BL751)</f>
        <v>2471396.1</v>
      </c>
      <c r="AX751" s="106" t="n">
        <v>0</v>
      </c>
      <c r="AY751" s="106" t="n">
        <v>0</v>
      </c>
      <c r="AZ751" s="106" t="n">
        <v>0</v>
      </c>
      <c r="BA751" s="106" t="n">
        <v>0</v>
      </c>
      <c r="BB751" s="106" t="n">
        <v>0</v>
      </c>
      <c r="BC751" s="106" t="n"/>
      <c r="BD751" s="106" t="n"/>
      <c r="BE751" s="106" t="n">
        <v>0</v>
      </c>
      <c r="BF751" s="106" t="n">
        <v>2418508.22346</v>
      </c>
      <c r="BG751" s="106" t="n">
        <v>0</v>
      </c>
      <c r="BH751" s="106" t="n">
        <v>0</v>
      </c>
      <c r="BI751" s="106" t="n">
        <v>0</v>
      </c>
      <c r="BJ751" s="106" t="n"/>
      <c r="BK751" s="114" t="n"/>
      <c r="BL751" s="115" t="n">
        <v>52887.87654</v>
      </c>
      <c r="BM751" s="113" t="n">
        <f aca="false" ca="true" dt2D="false" dtr="false" t="normal">SUBTOTAL(9, BN751:CB751)</f>
        <v>2471396.1</v>
      </c>
      <c r="BN751" s="106" t="n">
        <v>0</v>
      </c>
      <c r="BO751" s="106" t="n">
        <v>0</v>
      </c>
      <c r="BP751" s="106" t="n">
        <v>0</v>
      </c>
      <c r="BQ751" s="106" t="n">
        <v>0</v>
      </c>
      <c r="BR751" s="106" t="n">
        <v>0</v>
      </c>
      <c r="BS751" s="106" t="n"/>
      <c r="BT751" s="106" t="n"/>
      <c r="BU751" s="106" t="n">
        <v>0</v>
      </c>
      <c r="BV751" s="106" t="n">
        <v>2418508.22346</v>
      </c>
      <c r="BW751" s="106" t="n">
        <v>0</v>
      </c>
      <c r="BX751" s="106" t="n">
        <v>0</v>
      </c>
      <c r="BY751" s="106" t="n">
        <v>0</v>
      </c>
      <c r="BZ751" s="106" t="n"/>
      <c r="CA751" s="114" t="n"/>
      <c r="CB751" s="115" t="n">
        <v>52887.87654</v>
      </c>
      <c r="CD751" s="116" t="e">
        <f aca="false" ca="false" dt2D="false" dtr="false" t="normal">+CD750+1</f>
        <v>#REF!</v>
      </c>
      <c r="CE751" s="117" t="e">
        <f aca="false" ca="false" dt2D="false" dtr="false" t="normal">+CE750+1</f>
        <v>#REF!</v>
      </c>
      <c r="CF751" s="104" t="s">
        <v>227</v>
      </c>
      <c r="CG751" s="104" t="s">
        <v>697</v>
      </c>
      <c r="CH751" s="108" t="n">
        <f aca="false" ca="true" dt2D="false" dtr="false" t="normal">SUBTOTAL(9, CI751:CW751)</f>
        <v>2946928.1799999997</v>
      </c>
      <c r="CI751" s="106" t="n">
        <v>0</v>
      </c>
      <c r="CJ751" s="114" t="n">
        <v>0</v>
      </c>
      <c r="CK751" s="114" t="n">
        <v>0</v>
      </c>
      <c r="CL751" s="114" t="n">
        <v>0</v>
      </c>
      <c r="CM751" s="114" t="n">
        <v>0</v>
      </c>
      <c r="CN751" s="114" t="n"/>
      <c r="CO751" s="106" t="n"/>
      <c r="CP751" s="114" t="n">
        <v>0</v>
      </c>
      <c r="CQ751" s="114" t="n">
        <v>2894040.3</v>
      </c>
      <c r="CR751" s="114" t="n">
        <v>0</v>
      </c>
      <c r="CS751" s="114" t="n">
        <v>0</v>
      </c>
      <c r="CT751" s="114" t="n">
        <v>0</v>
      </c>
      <c r="CU751" s="114" t="n"/>
      <c r="CV751" s="114" t="n"/>
      <c r="CW751" s="115" t="n">
        <v>52887.88</v>
      </c>
      <c r="CX751" s="3" t="n">
        <f aca="false" ca="false" dt2D="false" dtr="false" t="normal">+N751-CH751</f>
        <v>-52887.87999999989</v>
      </c>
      <c r="CZ751" s="104" t="s">
        <v>697</v>
      </c>
      <c r="DA751" s="113" t="n">
        <f aca="false" ca="true" dt2D="false" dtr="false" t="normal">SUBTOTAL(9, DB751:DP751)</f>
        <v>2894040.3</v>
      </c>
      <c r="DB751" s="106" t="n">
        <v>0</v>
      </c>
      <c r="DC751" s="114" t="n">
        <v>0</v>
      </c>
      <c r="DD751" s="114" t="n">
        <v>0</v>
      </c>
      <c r="DE751" s="114" t="n">
        <v>0</v>
      </c>
      <c r="DF751" s="114" t="n">
        <v>0</v>
      </c>
      <c r="DG751" s="114" t="n"/>
      <c r="DH751" s="106" t="n"/>
      <c r="DI751" s="114" t="n">
        <v>0</v>
      </c>
      <c r="DJ751" s="114" t="n">
        <v>2894040.3</v>
      </c>
      <c r="DK751" s="114" t="n">
        <v>0</v>
      </c>
      <c r="DL751" s="114" t="n">
        <v>0</v>
      </c>
      <c r="DM751" s="114" t="n">
        <v>0</v>
      </c>
      <c r="DN751" s="114" t="n"/>
      <c r="DO751" s="114" t="n"/>
      <c r="DP751" s="240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</row>
    <row customFormat="true" hidden="false" ht="15" outlineLevel="0" r="752" s="1">
      <c r="A752" s="183" t="n">
        <f aca="false" ca="false" dt2D="false" dtr="false" t="normal">+A751+1</f>
        <v>730</v>
      </c>
      <c r="B752" s="117" t="n">
        <f aca="false" ca="false" dt2D="false" dtr="false" t="normal">+B751+1</f>
        <v>270</v>
      </c>
      <c r="C752" s="117" t="s">
        <v>227</v>
      </c>
      <c r="D752" s="117" t="s">
        <v>698</v>
      </c>
      <c r="E752" s="201" t="n">
        <v>1993</v>
      </c>
      <c r="F752" s="201" t="n">
        <v>2009</v>
      </c>
      <c r="G752" s="201" t="s">
        <v>68</v>
      </c>
      <c r="H752" s="201" t="n">
        <v>9</v>
      </c>
      <c r="I752" s="201" t="n">
        <v>1</v>
      </c>
      <c r="J752" s="114" t="n">
        <v>2345</v>
      </c>
      <c r="K752" s="114" t="n">
        <v>1959.1</v>
      </c>
      <c r="L752" s="114" t="n">
        <v>0</v>
      </c>
      <c r="M752" s="202" t="n">
        <v>80</v>
      </c>
      <c r="N752" s="108" t="n">
        <f aca="false" ca="false" dt2D="false" dtr="false" t="normal">SUM(P752:T752)</f>
        <v>15751391.830000002</v>
      </c>
      <c r="O752" s="114" t="n"/>
      <c r="P752" s="113" t="n"/>
      <c r="Q752" s="114" t="n"/>
      <c r="R752" s="113" t="n">
        <v>1839050.87</v>
      </c>
      <c r="S752" s="113" t="n">
        <v>9489370.75</v>
      </c>
      <c r="T752" s="113" t="n">
        <v>4422970.21</v>
      </c>
      <c r="U752" s="114" t="n">
        <v>5613.63290560461</v>
      </c>
      <c r="V752" s="114" t="n">
        <v>1394.283020064</v>
      </c>
      <c r="W752" s="110" t="n">
        <v>2024</v>
      </c>
      <c r="X752" s="9" t="e">
        <f aca="false" ca="false" dt2D="false" dtr="false" t="normal">+#REF!-'[9]Приложение №1'!$P1603</f>
        <v>#REF!</v>
      </c>
      <c r="Z752" s="113" t="n">
        <f aca="false" ca="false" dt2D="false" dtr="false" t="normal">SUM(AA752:AO752)</f>
        <v>41352125.80999998</v>
      </c>
      <c r="AA752" s="106" t="n">
        <v>4542107.75492292</v>
      </c>
      <c r="AB752" s="106" t="n">
        <v>3117271.1769024</v>
      </c>
      <c r="AC752" s="106" t="n">
        <v>0</v>
      </c>
      <c r="AD752" s="106" t="n">
        <v>1712027.61216396</v>
      </c>
      <c r="AE752" s="106" t="n">
        <v>0</v>
      </c>
      <c r="AF752" s="106" t="n"/>
      <c r="AG752" s="106" t="n">
        <v>218511.8445216</v>
      </c>
      <c r="AH752" s="106" t="n">
        <v>0</v>
      </c>
      <c r="AI752" s="106" t="n">
        <v>2215753.9253136</v>
      </c>
      <c r="AJ752" s="106" t="n">
        <v>0</v>
      </c>
      <c r="AK752" s="106" t="n">
        <v>19236210.8424868</v>
      </c>
      <c r="AL752" s="106" t="n">
        <v>5058707.77937994</v>
      </c>
      <c r="AM752" s="106" t="n">
        <v>4048566.8085</v>
      </c>
      <c r="AN752" s="114" t="n">
        <v>413521.2581</v>
      </c>
      <c r="AO752" s="115" t="n">
        <v>789446.80770876</v>
      </c>
      <c r="AP752" s="112" t="n">
        <f aca="false" ca="false" dt2D="false" dtr="false" t="normal">+N752-'Приложение №2'!E752</f>
        <v>0</v>
      </c>
      <c r="AQ752" s="121" t="e">
        <f aca="false" ca="false" dt2D="false" dtr="false" t="normal">1441230.66-#REF!</f>
        <v>#REF!</v>
      </c>
      <c r="AR752" s="3" t="n">
        <f aca="false" ca="false" dt2D="false" dtr="false" t="normal">+(K752*13.95+L752*23.65)*12*0.85</f>
        <v>278760.339</v>
      </c>
      <c r="AS752" s="3" t="e">
        <f aca="false" ca="false" dt2D="false" dtr="false" t="normal">+(K752*13.95+L752*23.65)*12*30-#REF!</f>
        <v>#REF!</v>
      </c>
      <c r="AT752" s="9" t="e">
        <f aca="false" ca="false" dt2D="false" dtr="false" t="normal">+S752-AS752</f>
        <v>#REF!</v>
      </c>
      <c r="AU752" s="9" t="e">
        <f aca="false" ca="false" dt2D="false" dtr="false" t="normal">+P752-'[5]Приложение №1'!$P674</f>
        <v>#REF!</v>
      </c>
      <c r="AV752" s="9" t="e">
        <f aca="false" ca="false" dt2D="false" dtr="false" t="normal">+Q752-'[5]Приложение №1'!$Q674</f>
        <v>#REF!</v>
      </c>
      <c r="AW752" s="186" t="n">
        <f aca="false" ca="true" dt2D="false" dtr="false" t="normal">SUBTOTAL(9, AX752:BL752)</f>
        <v>10997668.22537</v>
      </c>
      <c r="AX752" s="106" t="n">
        <v>4903713.115854</v>
      </c>
      <c r="AY752" s="106" t="n"/>
      <c r="AZ752" s="106" t="n">
        <v>0</v>
      </c>
      <c r="BA752" s="106" t="n"/>
      <c r="BB752" s="106" t="n">
        <v>0</v>
      </c>
      <c r="BC752" s="106" t="n"/>
      <c r="BD752" s="106" t="n">
        <v>218511.8445216</v>
      </c>
      <c r="BE752" s="106" t="n">
        <v>0</v>
      </c>
      <c r="BF752" s="106" t="n"/>
      <c r="BG752" s="106" t="n"/>
      <c r="BH752" s="106" t="n"/>
      <c r="BI752" s="106" t="n">
        <v>5526213.816312</v>
      </c>
      <c r="BJ752" s="106" t="n"/>
      <c r="BK752" s="114" t="n"/>
      <c r="BL752" s="115" t="n">
        <v>349229.4486824</v>
      </c>
      <c r="BM752" s="186" t="n">
        <f aca="false" ca="true" dt2D="false" dtr="false" t="normal">SUBTOTAL(9, BN752:CB752)</f>
        <v>10997668.22537</v>
      </c>
      <c r="BN752" s="106" t="n">
        <v>4903713.115854</v>
      </c>
      <c r="BO752" s="106" t="n"/>
      <c r="BP752" s="106" t="n">
        <v>0</v>
      </c>
      <c r="BQ752" s="106" t="n"/>
      <c r="BR752" s="106" t="n">
        <v>0</v>
      </c>
      <c r="BS752" s="106" t="n"/>
      <c r="BT752" s="106" t="n">
        <v>218511.8445216</v>
      </c>
      <c r="BU752" s="106" t="n">
        <v>0</v>
      </c>
      <c r="BV752" s="106" t="n"/>
      <c r="BW752" s="106" t="n"/>
      <c r="BX752" s="106" t="n"/>
      <c r="BY752" s="106" t="n">
        <v>5526213.816312</v>
      </c>
      <c r="BZ752" s="106" t="n"/>
      <c r="CA752" s="114" t="n"/>
      <c r="CB752" s="115" t="n">
        <v>349229.4486824</v>
      </c>
      <c r="CD752" s="116" t="e">
        <f aca="false" ca="false" dt2D="false" dtr="false" t="normal">+CD751+1</f>
        <v>#REF!</v>
      </c>
      <c r="CE752" s="117" t="e">
        <f aca="false" ca="false" dt2D="false" dtr="false" t="normal">+CE751+1</f>
        <v>#REF!</v>
      </c>
      <c r="CF752" s="104" t="s">
        <v>227</v>
      </c>
      <c r="CG752" s="117" t="s">
        <v>698</v>
      </c>
      <c r="CH752" s="232" t="n">
        <f aca="false" ca="true" dt2D="false" dtr="false" t="normal">SUBTOTAL(9, CI752:CW752)</f>
        <v>16100621.28</v>
      </c>
      <c r="CI752" s="106" t="n">
        <v>4903713.12</v>
      </c>
      <c r="CJ752" s="114" t="n">
        <v>3409820.7</v>
      </c>
      <c r="CK752" s="114" t="n">
        <v>0</v>
      </c>
      <c r="CL752" s="114" t="n">
        <v>1911644.19</v>
      </c>
      <c r="CM752" s="114" t="n">
        <v>0</v>
      </c>
      <c r="CN752" s="114" t="n"/>
      <c r="CO752" s="106" t="n"/>
      <c r="CP752" s="114" t="n">
        <v>0</v>
      </c>
      <c r="CQ752" s="114" t="n"/>
      <c r="CR752" s="114" t="n"/>
      <c r="CS752" s="114" t="n"/>
      <c r="CT752" s="114" t="n">
        <v>5526213.82</v>
      </c>
      <c r="CU752" s="114" t="n"/>
      <c r="CV752" s="114" t="n"/>
      <c r="CW752" s="115" t="n">
        <v>349229.45</v>
      </c>
      <c r="CX752" s="3" t="n">
        <f aca="false" ca="false" dt2D="false" dtr="false" t="normal">+N752-CH752</f>
        <v>-349229.4499999974</v>
      </c>
      <c r="CZ752" s="117" t="s">
        <v>698</v>
      </c>
      <c r="DA752" s="186" t="n">
        <f aca="false" ca="true" dt2D="false" dtr="false" t="normal">SUBTOTAL(9, DB752:DP752)</f>
        <v>15751391.83</v>
      </c>
      <c r="DB752" s="106" t="n">
        <v>4903713.12</v>
      </c>
      <c r="DC752" s="114" t="n">
        <v>3409820.7</v>
      </c>
      <c r="DD752" s="114" t="n">
        <v>0</v>
      </c>
      <c r="DE752" s="114" t="n">
        <v>1911644.19</v>
      </c>
      <c r="DF752" s="114" t="n">
        <v>0</v>
      </c>
      <c r="DG752" s="114" t="n"/>
      <c r="DH752" s="106" t="n"/>
      <c r="DI752" s="114" t="n">
        <v>0</v>
      </c>
      <c r="DJ752" s="114" t="n"/>
      <c r="DK752" s="114" t="n"/>
      <c r="DL752" s="114" t="n"/>
      <c r="DM752" s="114" t="n">
        <v>5526213.82</v>
      </c>
      <c r="DN752" s="114" t="n"/>
      <c r="DO752" s="114" t="n"/>
      <c r="DP752" s="240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</row>
    <row customFormat="true" hidden="false" ht="15" outlineLevel="0" r="753" s="1">
      <c r="A753" s="183" t="n">
        <f aca="false" ca="false" dt2D="false" dtr="false" t="normal">+A752+1</f>
        <v>731</v>
      </c>
      <c r="B753" s="117" t="n">
        <f aca="false" ca="false" dt2D="false" dtr="false" t="normal">+B752+1</f>
        <v>271</v>
      </c>
      <c r="C753" s="117" t="s">
        <v>227</v>
      </c>
      <c r="D753" s="117" t="s">
        <v>699</v>
      </c>
      <c r="E753" s="201" t="n">
        <v>1968</v>
      </c>
      <c r="F753" s="201" t="n">
        <v>2015</v>
      </c>
      <c r="G753" s="201" t="s">
        <v>68</v>
      </c>
      <c r="H753" s="201" t="n">
        <v>4</v>
      </c>
      <c r="I753" s="201" t="n">
        <v>4</v>
      </c>
      <c r="J753" s="114" t="n">
        <v>2529.1</v>
      </c>
      <c r="K753" s="114" t="n">
        <v>2238.1</v>
      </c>
      <c r="L753" s="114" t="n">
        <v>227.2</v>
      </c>
      <c r="M753" s="202" t="n">
        <v>104</v>
      </c>
      <c r="N753" s="108" t="n">
        <f aca="false" ca="false" dt2D="false" dtr="false" t="normal">SUM(P753:T753)</f>
        <v>13009126.600000001</v>
      </c>
      <c r="O753" s="114" t="n"/>
      <c r="P753" s="113" t="n">
        <v>2384573.24</v>
      </c>
      <c r="Q753" s="114" t="n">
        <v>0</v>
      </c>
      <c r="R753" s="113" t="n">
        <v>1694489.92</v>
      </c>
      <c r="S753" s="113" t="n">
        <v>4319214.66</v>
      </c>
      <c r="T753" s="113" t="n">
        <v>4610848.78</v>
      </c>
      <c r="U753" s="114" t="n">
        <v>11125.5468141852</v>
      </c>
      <c r="V753" s="114" t="n">
        <v>1386.283020064</v>
      </c>
      <c r="W753" s="110" t="n">
        <v>2024</v>
      </c>
      <c r="X753" s="9" t="e">
        <f aca="false" ca="false" dt2D="false" dtr="false" t="normal">+#REF!-'[9]Приложение №1'!$P1829</f>
        <v>#REF!</v>
      </c>
      <c r="Z753" s="113" t="n">
        <f aca="false" ca="false" dt2D="false" dtr="false" t="normal">SUM(AA753:AO753)</f>
        <v>29885518.55</v>
      </c>
      <c r="AA753" s="106" t="n">
        <v>6731956.08924384</v>
      </c>
      <c r="AB753" s="106" t="n">
        <v>2468626.27801314</v>
      </c>
      <c r="AC753" s="106" t="n">
        <v>2579135.15988492</v>
      </c>
      <c r="AD753" s="106" t="n">
        <v>1614732.13773312</v>
      </c>
      <c r="AE753" s="106" t="n">
        <v>0</v>
      </c>
      <c r="AF753" s="106" t="n"/>
      <c r="AG753" s="106" t="n">
        <v>222240.79473288</v>
      </c>
      <c r="AH753" s="106" t="n">
        <v>0</v>
      </c>
      <c r="AI753" s="106" t="n">
        <v>12664980.5522436</v>
      </c>
      <c r="AJ753" s="106" t="n">
        <v>0</v>
      </c>
      <c r="AK753" s="106" t="n">
        <v>0</v>
      </c>
      <c r="AL753" s="106" t="n">
        <v>0</v>
      </c>
      <c r="AM753" s="106" t="n">
        <v>2730265.437</v>
      </c>
      <c r="AN753" s="114" t="n">
        <v>298855.1855</v>
      </c>
      <c r="AO753" s="115" t="n">
        <v>574726.9156485</v>
      </c>
      <c r="AP753" s="112" t="n">
        <f aca="false" ca="false" dt2D="false" dtr="false" t="normal">+N753-'Приложение №2'!E753</f>
        <v>0</v>
      </c>
      <c r="AQ753" s="9" t="n">
        <f aca="false" ca="false" dt2D="false" dtr="false" t="normal">1454470.18</f>
        <v>1454470.18</v>
      </c>
      <c r="AR753" s="3" t="n">
        <f aca="false" ca="false" dt2D="false" dtr="false" t="normal">+(K753*10.5+L753*21)*12*0.85</f>
        <v>288366.75</v>
      </c>
      <c r="AS753" s="3" t="n">
        <f aca="false" ca="false" dt2D="false" dtr="false" t="normal">+(K753*10.5+L753*21)*12*30</f>
        <v>10177650</v>
      </c>
      <c r="AT753" s="9" t="n">
        <f aca="false" ca="false" dt2D="false" dtr="false" t="normal">+S753-AS753</f>
        <v>-5858435.34</v>
      </c>
      <c r="AU753" s="9" t="e">
        <f aca="false" ca="false" dt2D="false" dtr="false" t="normal">+P753-'[5]Приложение №1'!$P666</f>
        <v>#REF!</v>
      </c>
      <c r="AV753" s="9" t="e">
        <f aca="false" ca="false" dt2D="false" dtr="false" t="normal">+Q753-'[5]Приложение №1'!$Q666</f>
        <v>#REF!</v>
      </c>
      <c r="AW753" s="186" t="n">
        <f aca="false" ca="true" dt2D="false" dtr="false" t="normal">SUBTOTAL(9, AX753:BL753)</f>
        <v>24900086.324828003</v>
      </c>
      <c r="AX753" s="106" t="n">
        <v>7338416.00478</v>
      </c>
      <c r="AY753" s="106" t="n"/>
      <c r="AZ753" s="106" t="n">
        <v>2862800.129322</v>
      </c>
      <c r="BA753" s="106" t="n"/>
      <c r="BB753" s="106" t="n">
        <v>0</v>
      </c>
      <c r="BC753" s="106" t="n"/>
      <c r="BD753" s="106" t="n">
        <v>222240.79473288</v>
      </c>
      <c r="BE753" s="106" t="n">
        <v>0</v>
      </c>
      <c r="BF753" s="106" t="n">
        <v>14005782.708666</v>
      </c>
      <c r="BG753" s="106" t="n">
        <v>0</v>
      </c>
      <c r="BH753" s="106" t="n">
        <v>0</v>
      </c>
      <c r="BI753" s="106" t="n">
        <v>0</v>
      </c>
      <c r="BJ753" s="106" t="n"/>
      <c r="BK753" s="114" t="n"/>
      <c r="BL753" s="115" t="n">
        <v>470846.68732712</v>
      </c>
      <c r="BM753" s="186" t="n">
        <f aca="false" ca="true" dt2D="false" dtr="false" t="normal">SUBTOTAL(9, BN753:CB753)</f>
        <v>24900086.324828003</v>
      </c>
      <c r="BN753" s="106" t="n">
        <v>7338416.00478</v>
      </c>
      <c r="BO753" s="106" t="n"/>
      <c r="BP753" s="106" t="n">
        <v>2862800.129322</v>
      </c>
      <c r="BQ753" s="106" t="n"/>
      <c r="BR753" s="106" t="n">
        <v>0</v>
      </c>
      <c r="BS753" s="106" t="n"/>
      <c r="BT753" s="106" t="n">
        <v>222240.79473288</v>
      </c>
      <c r="BU753" s="106" t="n">
        <v>0</v>
      </c>
      <c r="BV753" s="106" t="n">
        <v>14005782.708666</v>
      </c>
      <c r="BW753" s="106" t="n">
        <v>0</v>
      </c>
      <c r="BX753" s="106" t="n">
        <v>0</v>
      </c>
      <c r="BY753" s="106" t="n">
        <v>0</v>
      </c>
      <c r="BZ753" s="106" t="n"/>
      <c r="CA753" s="114" t="n"/>
      <c r="CB753" s="115" t="n">
        <v>470846.68732712</v>
      </c>
      <c r="CD753" s="116" t="e">
        <f aca="false" ca="false" dt2D="false" dtr="false" t="normal">+CD752+1</f>
        <v>#REF!</v>
      </c>
      <c r="CE753" s="117" t="e">
        <f aca="false" ca="false" dt2D="false" dtr="false" t="normal">+CE752+1</f>
        <v>#REF!</v>
      </c>
      <c r="CF753" s="104" t="s">
        <v>227</v>
      </c>
      <c r="CG753" s="104" t="s">
        <v>699</v>
      </c>
      <c r="CH753" s="232" t="n">
        <f aca="false" ca="true" dt2D="false" dtr="false" t="normal">SUBTOTAL(9, CI753:CW753)</f>
        <v>13479973.29</v>
      </c>
      <c r="CI753" s="106" t="n">
        <v>5984992.84</v>
      </c>
      <c r="CJ753" s="114" t="n"/>
      <c r="CK753" s="114" t="n">
        <v>1115132.33</v>
      </c>
      <c r="CL753" s="114" t="n"/>
      <c r="CM753" s="114" t="n">
        <v>0</v>
      </c>
      <c r="CN753" s="114" t="n"/>
      <c r="CO753" s="106" t="n"/>
      <c r="CP753" s="114" t="n">
        <v>0</v>
      </c>
      <c r="CQ753" s="114" t="n">
        <v>5909001.43</v>
      </c>
      <c r="CR753" s="114" t="n">
        <v>0</v>
      </c>
      <c r="CS753" s="114" t="n">
        <v>0</v>
      </c>
      <c r="CT753" s="114" t="n">
        <v>0</v>
      </c>
      <c r="CU753" s="114" t="n"/>
      <c r="CV753" s="114" t="n"/>
      <c r="CW753" s="115" t="n">
        <v>470846.69</v>
      </c>
      <c r="CX753" s="3" t="n">
        <f aca="false" ca="false" dt2D="false" dtr="false" t="normal">+N753-CH753</f>
        <v>-470846.6899999976</v>
      </c>
      <c r="CZ753" s="104" t="s">
        <v>699</v>
      </c>
      <c r="DA753" s="186" t="n">
        <f aca="false" ca="true" dt2D="false" dtr="false" t="normal">SUBTOTAL(9, DB753:DP753)</f>
        <v>13009126.6</v>
      </c>
      <c r="DB753" s="106" t="n">
        <v>5984992.84</v>
      </c>
      <c r="DC753" s="114" t="n"/>
      <c r="DD753" s="114" t="n">
        <v>1115132.33</v>
      </c>
      <c r="DE753" s="114" t="n"/>
      <c r="DF753" s="114" t="n">
        <v>0</v>
      </c>
      <c r="DG753" s="114" t="n"/>
      <c r="DH753" s="106" t="n"/>
      <c r="DI753" s="114" t="n">
        <v>0</v>
      </c>
      <c r="DJ753" s="114" t="n">
        <v>5909001.43</v>
      </c>
      <c r="DK753" s="114" t="n">
        <v>0</v>
      </c>
      <c r="DL753" s="114" t="n">
        <v>0</v>
      </c>
      <c r="DM753" s="114" t="n">
        <v>0</v>
      </c>
      <c r="DN753" s="114" t="n"/>
      <c r="DO753" s="114" t="n"/>
      <c r="DP753" s="240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</row>
    <row customFormat="true" hidden="false" ht="15" outlineLevel="0" r="754" s="1">
      <c r="A754" s="183" t="n">
        <f aca="false" ca="false" dt2D="false" dtr="false" t="normal">+A753+1</f>
        <v>732</v>
      </c>
      <c r="B754" s="117" t="n">
        <f aca="false" ca="false" dt2D="false" dtr="false" t="normal">+B753+1</f>
        <v>272</v>
      </c>
      <c r="C754" s="117" t="s">
        <v>227</v>
      </c>
      <c r="D754" s="117" t="s">
        <v>700</v>
      </c>
      <c r="E754" s="201" t="n">
        <v>1990</v>
      </c>
      <c r="F754" s="201" t="n">
        <v>2015</v>
      </c>
      <c r="G754" s="201" t="s">
        <v>68</v>
      </c>
      <c r="H754" s="201" t="n">
        <v>9</v>
      </c>
      <c r="I754" s="201" t="n">
        <v>1</v>
      </c>
      <c r="J754" s="114" t="n">
        <v>2286.7</v>
      </c>
      <c r="K754" s="114" t="n">
        <v>2021.3</v>
      </c>
      <c r="L754" s="114" t="n">
        <v>0</v>
      </c>
      <c r="M754" s="202" t="n">
        <v>76</v>
      </c>
      <c r="N754" s="108" t="n">
        <f aca="false" ca="false" dt2D="false" dtr="false" t="normal">SUM(P754:T754)</f>
        <v>2393150.12</v>
      </c>
      <c r="O754" s="114" t="n"/>
      <c r="P754" s="114" t="n"/>
      <c r="Q754" s="114" t="n"/>
      <c r="R754" s="113" t="n">
        <v>1397066.74</v>
      </c>
      <c r="S754" s="113" t="n">
        <v>996083.38</v>
      </c>
      <c r="T754" s="114" t="n"/>
      <c r="U754" s="114" t="n">
        <v>1152.73800178103</v>
      </c>
      <c r="V754" s="114" t="n">
        <v>1152.73800178103</v>
      </c>
      <c r="W754" s="110" t="n">
        <v>2024</v>
      </c>
      <c r="X754" s="9" t="e">
        <f aca="false" ca="false" dt2D="false" dtr="false" t="normal">+#REF!-'[9]Приложение №1'!$P1588</f>
        <v>#REF!</v>
      </c>
      <c r="Z754" s="113" t="n">
        <f aca="false" ca="false" dt2D="false" dtr="false" t="normal">SUM(AA754:AO754)</f>
        <v>2588921.4699999997</v>
      </c>
      <c r="AA754" s="106" t="n">
        <v>0</v>
      </c>
      <c r="AB754" s="106" t="n">
        <v>0</v>
      </c>
      <c r="AC754" s="106" t="n">
        <v>0</v>
      </c>
      <c r="AD754" s="106" t="n">
        <v>0</v>
      </c>
      <c r="AE754" s="106" t="n">
        <v>0</v>
      </c>
      <c r="AF754" s="106" t="n"/>
      <c r="AG754" s="106" t="n">
        <v>0</v>
      </c>
      <c r="AH754" s="106" t="n">
        <v>0</v>
      </c>
      <c r="AI754" s="106" t="n">
        <v>2280166.6954878</v>
      </c>
      <c r="AJ754" s="106" t="n">
        <v>0</v>
      </c>
      <c r="AK754" s="106" t="n">
        <v>0</v>
      </c>
      <c r="AL754" s="106" t="n">
        <v>0</v>
      </c>
      <c r="AM754" s="106" t="n">
        <v>233002.9323</v>
      </c>
      <c r="AN754" s="114" t="n">
        <v>25889.2147</v>
      </c>
      <c r="AO754" s="115" t="n">
        <v>49862.6275122</v>
      </c>
      <c r="AP754" s="112" t="n">
        <f aca="false" ca="false" dt2D="false" dtr="false" t="normal">+N754-'Приложение №2'!E754</f>
        <v>0</v>
      </c>
      <c r="AQ754" s="1" t="n">
        <v>1172925.98</v>
      </c>
      <c r="AR754" s="3" t="n">
        <f aca="false" ca="false" dt2D="false" dtr="false" t="normal">+(K754*13.29+L754*22.52)*12*0.85</f>
        <v>274003.38539999997</v>
      </c>
      <c r="AS754" s="3" t="n">
        <f aca="false" ca="false" dt2D="false" dtr="false" t="normal">+(K754*13.29+L754*22.52)*12*30</f>
        <v>9670707.72</v>
      </c>
      <c r="AT754" s="9" t="n">
        <f aca="false" ca="false" dt2D="false" dtr="false" t="normal">+S754-AS754</f>
        <v>-8674624.34</v>
      </c>
      <c r="AU754" s="9" t="e">
        <f aca="false" ca="false" dt2D="false" dtr="false" t="normal">+P754-'[5]Приложение №1'!$P378</f>
        <v>#REF!</v>
      </c>
      <c r="AV754" s="9" t="e">
        <f aca="false" ca="false" dt2D="false" dtr="false" t="normal">+Q754-'[5]Приложение №1'!$Q378</f>
        <v>#REF!</v>
      </c>
      <c r="AW754" s="113" t="n">
        <f aca="false" ca="true" dt2D="false" dtr="false" t="normal">SUBTOTAL(9, AX754:BL754)</f>
        <v>2330029.323</v>
      </c>
      <c r="AX754" s="106" t="n">
        <v>0</v>
      </c>
      <c r="AY754" s="106" t="n">
        <v>0</v>
      </c>
      <c r="AZ754" s="106" t="n">
        <v>0</v>
      </c>
      <c r="BA754" s="106" t="n">
        <v>0</v>
      </c>
      <c r="BB754" s="106" t="n">
        <v>0</v>
      </c>
      <c r="BC754" s="106" t="n"/>
      <c r="BD754" s="106" t="n"/>
      <c r="BE754" s="106" t="n">
        <v>0</v>
      </c>
      <c r="BF754" s="106" t="n">
        <v>2280166.6954878</v>
      </c>
      <c r="BG754" s="106" t="n">
        <v>0</v>
      </c>
      <c r="BH754" s="106" t="n">
        <v>0</v>
      </c>
      <c r="BI754" s="106" t="n">
        <v>0</v>
      </c>
      <c r="BJ754" s="106" t="n"/>
      <c r="BK754" s="114" t="n"/>
      <c r="BL754" s="115" t="n">
        <v>49862.6275122</v>
      </c>
      <c r="BM754" s="113" t="n">
        <f aca="false" ca="true" dt2D="false" dtr="false" t="normal">SUBTOTAL(9, BN754:CB754)</f>
        <v>2330029.323</v>
      </c>
      <c r="BN754" s="106" t="n">
        <v>0</v>
      </c>
      <c r="BO754" s="106" t="n">
        <v>0</v>
      </c>
      <c r="BP754" s="106" t="n">
        <v>0</v>
      </c>
      <c r="BQ754" s="106" t="n">
        <v>0</v>
      </c>
      <c r="BR754" s="106" t="n">
        <v>0</v>
      </c>
      <c r="BS754" s="106" t="n"/>
      <c r="BT754" s="106" t="n"/>
      <c r="BU754" s="106" t="n">
        <v>0</v>
      </c>
      <c r="BV754" s="106" t="n">
        <v>2280166.6954878</v>
      </c>
      <c r="BW754" s="106" t="n">
        <v>0</v>
      </c>
      <c r="BX754" s="106" t="n">
        <v>0</v>
      </c>
      <c r="BY754" s="106" t="n">
        <v>0</v>
      </c>
      <c r="BZ754" s="106" t="n"/>
      <c r="CA754" s="114" t="n"/>
      <c r="CB754" s="115" t="n">
        <v>49862.6275122</v>
      </c>
      <c r="CD754" s="116" t="e">
        <f aca="false" ca="false" dt2D="false" dtr="false" t="normal">+CD753+1</f>
        <v>#REF!</v>
      </c>
      <c r="CE754" s="117" t="e">
        <f aca="false" ca="false" dt2D="false" dtr="false" t="normal">+CE753+1</f>
        <v>#REF!</v>
      </c>
      <c r="CF754" s="104" t="s">
        <v>227</v>
      </c>
      <c r="CG754" s="104" t="s">
        <v>700</v>
      </c>
      <c r="CH754" s="108" t="n">
        <f aca="false" ca="true" dt2D="false" dtr="false" t="normal">SUBTOTAL(9, CI754:CW754)</f>
        <v>2443012.75</v>
      </c>
      <c r="CI754" s="106" t="n">
        <v>0</v>
      </c>
      <c r="CJ754" s="114" t="n">
        <v>0</v>
      </c>
      <c r="CK754" s="114" t="n">
        <v>0</v>
      </c>
      <c r="CL754" s="114" t="n">
        <v>0</v>
      </c>
      <c r="CM754" s="114" t="n">
        <v>0</v>
      </c>
      <c r="CN754" s="114" t="n"/>
      <c r="CO754" s="106" t="n"/>
      <c r="CP754" s="114" t="n">
        <v>0</v>
      </c>
      <c r="CQ754" s="114" t="n">
        <v>2393150.12</v>
      </c>
      <c r="CR754" s="114" t="n">
        <v>0</v>
      </c>
      <c r="CS754" s="114" t="n">
        <v>0</v>
      </c>
      <c r="CT754" s="114" t="n">
        <v>0</v>
      </c>
      <c r="CU754" s="114" t="n"/>
      <c r="CV754" s="114" t="n"/>
      <c r="CW754" s="115" t="n">
        <v>49862.63</v>
      </c>
      <c r="CX754" s="3" t="n">
        <f aca="false" ca="false" dt2D="false" dtr="false" t="normal">+N754-CH754</f>
        <v>-49862.62999999989</v>
      </c>
      <c r="CZ754" s="104" t="s">
        <v>700</v>
      </c>
      <c r="DA754" s="113" t="n">
        <f aca="false" ca="true" dt2D="false" dtr="false" t="normal">SUBTOTAL(9, DB754:DP754)</f>
        <v>2393150.12</v>
      </c>
      <c r="DB754" s="106" t="n">
        <v>0</v>
      </c>
      <c r="DC754" s="114" t="n">
        <v>0</v>
      </c>
      <c r="DD754" s="114" t="n">
        <v>0</v>
      </c>
      <c r="DE754" s="114" t="n">
        <v>0</v>
      </c>
      <c r="DF754" s="114" t="n">
        <v>0</v>
      </c>
      <c r="DG754" s="114" t="n"/>
      <c r="DH754" s="106" t="n"/>
      <c r="DI754" s="114" t="n">
        <v>0</v>
      </c>
      <c r="DJ754" s="114" t="n">
        <v>2393150.12</v>
      </c>
      <c r="DK754" s="114" t="n">
        <v>0</v>
      </c>
      <c r="DL754" s="114" t="n">
        <v>0</v>
      </c>
      <c r="DM754" s="114" t="n">
        <v>0</v>
      </c>
      <c r="DN754" s="114" t="n"/>
      <c r="DO754" s="114" t="n"/>
      <c r="DP754" s="240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</row>
    <row customFormat="true" hidden="false" ht="15" outlineLevel="0" r="755" s="1">
      <c r="A755" s="183" t="n">
        <f aca="false" ca="false" dt2D="false" dtr="false" t="normal">+A754+1</f>
        <v>733</v>
      </c>
      <c r="B755" s="117" t="n">
        <f aca="false" ca="false" dt2D="false" dtr="false" t="normal">+B754+1</f>
        <v>273</v>
      </c>
      <c r="C755" s="117" t="s">
        <v>227</v>
      </c>
      <c r="D755" s="117" t="s">
        <v>701</v>
      </c>
      <c r="E755" s="201" t="n">
        <v>1967</v>
      </c>
      <c r="F755" s="201" t="n">
        <v>2015</v>
      </c>
      <c r="G755" s="201" t="s">
        <v>68</v>
      </c>
      <c r="H755" s="201" t="n">
        <v>3</v>
      </c>
      <c r="I755" s="201" t="n">
        <v>3</v>
      </c>
      <c r="J755" s="114" t="n">
        <v>1753.5</v>
      </c>
      <c r="K755" s="114" t="n">
        <v>1262.7</v>
      </c>
      <c r="L755" s="114" t="n">
        <v>455.8</v>
      </c>
      <c r="M755" s="202" t="n">
        <v>37</v>
      </c>
      <c r="N755" s="108" t="n">
        <f aca="false" ca="false" dt2D="false" dtr="false" t="normal">SUM(P755:T755)</f>
        <v>26252655.77</v>
      </c>
      <c r="O755" s="114" t="n"/>
      <c r="P755" s="113" t="n">
        <v>5009763.37</v>
      </c>
      <c r="Q755" s="114" t="n">
        <v>0</v>
      </c>
      <c r="R755" s="113" t="n">
        <v>1266824.35</v>
      </c>
      <c r="S755" s="113" t="n">
        <v>7917652.21</v>
      </c>
      <c r="T755" s="113" t="n">
        <v>12058415.84</v>
      </c>
      <c r="U755" s="114" t="n">
        <v>26009.9982194757</v>
      </c>
      <c r="V755" s="114" t="n">
        <v>1387.283020064</v>
      </c>
      <c r="W755" s="110" t="n">
        <v>2024</v>
      </c>
      <c r="X755" s="9" t="e">
        <f aca="false" ca="false" dt2D="false" dtr="false" t="normal">+#REF!-'[9]Приложение №1'!$P1831</f>
        <v>#REF!</v>
      </c>
      <c r="Z755" s="113" t="n">
        <f aca="false" ca="false" dt2D="false" dtr="false" t="normal">SUM(AA755:AO755)</f>
        <v>34868708.16000001</v>
      </c>
      <c r="AA755" s="106" t="n">
        <v>5996729.97810978</v>
      </c>
      <c r="AB755" s="106" t="n">
        <v>3648890.37641982</v>
      </c>
      <c r="AC755" s="106" t="n">
        <v>1719410.92721748</v>
      </c>
      <c r="AD755" s="106" t="n">
        <v>1465289.80135776</v>
      </c>
      <c r="AE755" s="106" t="n">
        <v>0</v>
      </c>
      <c r="AF755" s="106" t="n"/>
      <c r="AG755" s="106" t="n">
        <v>511593.88939176</v>
      </c>
      <c r="AH755" s="106" t="n">
        <v>0</v>
      </c>
      <c r="AI755" s="106" t="n">
        <v>17347540.944258</v>
      </c>
      <c r="AJ755" s="106" t="n">
        <v>0</v>
      </c>
      <c r="AK755" s="106" t="n">
        <v>0</v>
      </c>
      <c r="AL755" s="106" t="n">
        <v>0</v>
      </c>
      <c r="AM755" s="106" t="n">
        <v>3159448.9174</v>
      </c>
      <c r="AN755" s="114" t="n">
        <v>348687.0816</v>
      </c>
      <c r="AO755" s="115" t="n">
        <v>671116.2442454</v>
      </c>
      <c r="AP755" s="112" t="n">
        <f aca="false" ca="false" dt2D="false" dtr="false" t="normal">+N755-'Приложение №2'!E755</f>
        <v>0</v>
      </c>
      <c r="AQ755" s="9" t="n">
        <f aca="false" ca="false" dt2D="false" dtr="false" t="normal">1231391.46</f>
        <v>1231391.46</v>
      </c>
      <c r="AR755" s="3" t="n">
        <f aca="false" ca="false" dt2D="false" dtr="false" t="normal">+(K755*10.5+L755*21)*12*0.85</f>
        <v>232867.53000000003</v>
      </c>
      <c r="AS755" s="3" t="n">
        <f aca="false" ca="false" dt2D="false" dtr="false" t="normal">+(K755*10.5+L755*21)*12*30</f>
        <v>8218854.000000002</v>
      </c>
      <c r="AT755" s="9" t="n">
        <f aca="false" ca="false" dt2D="false" dtr="false" t="normal">+S755-AS755</f>
        <v>-301201.7900000019</v>
      </c>
      <c r="AU755" s="9" t="e">
        <f aca="false" ca="false" dt2D="false" dtr="false" t="normal">+P755-'[5]Приложение №1'!$P667</f>
        <v>#REF!</v>
      </c>
      <c r="AV755" s="9" t="e">
        <f aca="false" ca="false" dt2D="false" dtr="false" t="normal">+Q755-'[5]Приложение №1'!$Q667</f>
        <v>#REF!</v>
      </c>
      <c r="AW755" s="186" t="n">
        <f aca="false" ca="true" dt2D="false" dtr="false" t="normal">SUBTOTAL(9, AX755:BL755)</f>
        <v>32842824.751732</v>
      </c>
      <c r="AX755" s="106" t="n">
        <v>6541685.282034</v>
      </c>
      <c r="AY755" s="106" t="n">
        <v>4051261.603914</v>
      </c>
      <c r="AZ755" s="106" t="n">
        <v>1904080.80912</v>
      </c>
      <c r="BA755" s="106" t="n"/>
      <c r="BB755" s="106" t="n">
        <v>0</v>
      </c>
      <c r="BC755" s="106" t="n"/>
      <c r="BD755" s="106" t="n">
        <v>511593.88939176</v>
      </c>
      <c r="BE755" s="106" t="n">
        <v>0</v>
      </c>
      <c r="BF755" s="106" t="n">
        <v>19172709.856734</v>
      </c>
      <c r="BG755" s="106" t="n">
        <v>0</v>
      </c>
      <c r="BH755" s="106" t="n">
        <v>0</v>
      </c>
      <c r="BI755" s="106" t="n">
        <v>0</v>
      </c>
      <c r="BJ755" s="106" t="n"/>
      <c r="BK755" s="114" t="n"/>
      <c r="BL755" s="115" t="n">
        <v>661493.31053824</v>
      </c>
      <c r="BM755" s="186" t="n">
        <f aca="false" ca="true" dt2D="false" dtr="false" t="normal">SUBTOTAL(9, BN755:CB755)</f>
        <v>32842824.751732</v>
      </c>
      <c r="BN755" s="106" t="n">
        <v>6541685.282034</v>
      </c>
      <c r="BO755" s="106" t="n">
        <v>4051261.603914</v>
      </c>
      <c r="BP755" s="106" t="n">
        <v>1904080.80912</v>
      </c>
      <c r="BQ755" s="106" t="n"/>
      <c r="BR755" s="106" t="n">
        <v>0</v>
      </c>
      <c r="BS755" s="106" t="n"/>
      <c r="BT755" s="106" t="n">
        <v>511593.88939176</v>
      </c>
      <c r="BU755" s="106" t="n">
        <v>0</v>
      </c>
      <c r="BV755" s="106" t="n">
        <v>19172709.856734</v>
      </c>
      <c r="BW755" s="106" t="n">
        <v>0</v>
      </c>
      <c r="BX755" s="106" t="n">
        <v>0</v>
      </c>
      <c r="BY755" s="106" t="n">
        <v>0</v>
      </c>
      <c r="BZ755" s="106" t="n"/>
      <c r="CA755" s="114" t="n"/>
      <c r="CB755" s="115" t="n">
        <v>661493.31053824</v>
      </c>
      <c r="CD755" s="116" t="e">
        <f aca="false" ca="false" dt2D="false" dtr="false" t="normal">+CD754+1</f>
        <v>#REF!</v>
      </c>
      <c r="CE755" s="117" t="e">
        <f aca="false" ca="false" dt2D="false" dtr="false" t="normal">+CE754+1</f>
        <v>#REF!</v>
      </c>
      <c r="CF755" s="104" t="s">
        <v>227</v>
      </c>
      <c r="CG755" s="104" t="s">
        <v>701</v>
      </c>
      <c r="CH755" s="232" t="n">
        <f aca="false" ca="true" dt2D="false" dtr="false" t="normal">SUBTOTAL(9, CI755:CW755)</f>
        <v>26914149.08</v>
      </c>
      <c r="CI755" s="106" t="n">
        <v>6785155.64</v>
      </c>
      <c r="CJ755" s="114" t="n">
        <v>5341814.82</v>
      </c>
      <c r="CK755" s="114" t="n">
        <v>1480113.38</v>
      </c>
      <c r="CL755" s="114" t="n"/>
      <c r="CM755" s="114" t="n">
        <v>0</v>
      </c>
      <c r="CN755" s="114" t="n"/>
      <c r="CO755" s="106" t="n"/>
      <c r="CP755" s="114" t="n">
        <v>0</v>
      </c>
      <c r="CQ755" s="114" t="n">
        <v>12645571.93</v>
      </c>
      <c r="CR755" s="114" t="n">
        <v>0</v>
      </c>
      <c r="CS755" s="114" t="n">
        <v>0</v>
      </c>
      <c r="CT755" s="114" t="n">
        <v>0</v>
      </c>
      <c r="CU755" s="114" t="n"/>
      <c r="CV755" s="114" t="n"/>
      <c r="CW755" s="115" t="n">
        <v>661493.31</v>
      </c>
      <c r="CX755" s="3" t="n">
        <f aca="false" ca="false" dt2D="false" dtr="false" t="normal">+N755-CH755</f>
        <v>-661493.3099999987</v>
      </c>
      <c r="CZ755" s="104" t="s">
        <v>701</v>
      </c>
      <c r="DA755" s="186" t="n">
        <f aca="false" ca="true" dt2D="false" dtr="false" t="normal">SUBTOTAL(9, DB755:DP755)</f>
        <v>26252655.77</v>
      </c>
      <c r="DB755" s="106" t="n">
        <v>6785155.64</v>
      </c>
      <c r="DC755" s="114" t="n">
        <v>5341814.82</v>
      </c>
      <c r="DD755" s="114" t="n">
        <v>1480113.38</v>
      </c>
      <c r="DE755" s="114" t="n"/>
      <c r="DF755" s="114" t="n">
        <v>0</v>
      </c>
      <c r="DG755" s="114" t="n"/>
      <c r="DH755" s="106" t="n"/>
      <c r="DI755" s="114" t="n">
        <v>0</v>
      </c>
      <c r="DJ755" s="114" t="n">
        <v>12645571.93</v>
      </c>
      <c r="DK755" s="114" t="n">
        <v>0</v>
      </c>
      <c r="DL755" s="114" t="n">
        <v>0</v>
      </c>
      <c r="DM755" s="114" t="n">
        <v>0</v>
      </c>
      <c r="DN755" s="114" t="n"/>
      <c r="DO755" s="114" t="n"/>
      <c r="DP755" s="240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</row>
    <row customFormat="true" hidden="false" ht="15" outlineLevel="0" r="756" s="1">
      <c r="A756" s="183" t="n">
        <f aca="false" ca="false" dt2D="false" dtr="false" t="normal">+A755+1</f>
        <v>734</v>
      </c>
      <c r="B756" s="117" t="n">
        <f aca="false" ca="false" dt2D="false" dtr="false" t="normal">+B755+1</f>
        <v>274</v>
      </c>
      <c r="C756" s="117" t="s">
        <v>227</v>
      </c>
      <c r="D756" s="117" t="s">
        <v>702</v>
      </c>
      <c r="E756" s="201" t="n">
        <v>1968</v>
      </c>
      <c r="F756" s="201" t="n">
        <v>2015</v>
      </c>
      <c r="G756" s="201" t="s">
        <v>68</v>
      </c>
      <c r="H756" s="201" t="n">
        <v>4</v>
      </c>
      <c r="I756" s="201" t="n">
        <v>2</v>
      </c>
      <c r="J756" s="114" t="n">
        <v>1345.8</v>
      </c>
      <c r="K756" s="114" t="n">
        <v>1132</v>
      </c>
      <c r="L756" s="114" t="n">
        <v>118.5</v>
      </c>
      <c r="M756" s="202" t="n">
        <v>46</v>
      </c>
      <c r="N756" s="108" t="n">
        <f aca="false" ca="false" dt2D="false" dtr="false" t="normal">SUM(P756:T756)</f>
        <v>9837825.51</v>
      </c>
      <c r="O756" s="114" t="n"/>
      <c r="P756" s="113" t="n">
        <v>1919629.19</v>
      </c>
      <c r="Q756" s="114" t="n">
        <v>0</v>
      </c>
      <c r="R756" s="113" t="n">
        <v>612396.25</v>
      </c>
      <c r="S756" s="113" t="n">
        <v>5007009.05</v>
      </c>
      <c r="T756" s="113" t="n">
        <v>2298791.02</v>
      </c>
      <c r="U756" s="114" t="n">
        <v>11130.065274159</v>
      </c>
      <c r="V756" s="114" t="n">
        <v>1388.283020064</v>
      </c>
      <c r="W756" s="110" t="n">
        <v>2024</v>
      </c>
      <c r="X756" s="9" t="e">
        <f aca="false" ca="false" dt2D="false" dtr="false" t="normal">+#REF!-'[9]Приложение №1'!$P1832</f>
        <v>#REF!</v>
      </c>
      <c r="Z756" s="113" t="n">
        <f aca="false" ca="false" dt2D="false" dtr="false" t="normal">SUM(AA756:AO756)</f>
        <v>15236078.209999999</v>
      </c>
      <c r="AA756" s="106" t="n">
        <v>3432050.52323406</v>
      </c>
      <c r="AB756" s="106" t="n">
        <v>1258542.09075378</v>
      </c>
      <c r="AC756" s="106" t="n">
        <v>1314881.15247972</v>
      </c>
      <c r="AD756" s="106" t="n">
        <v>823214.26413408</v>
      </c>
      <c r="AE756" s="106" t="n">
        <v>0</v>
      </c>
      <c r="AF756" s="106" t="n"/>
      <c r="AG756" s="106" t="n">
        <v>113301.6298302</v>
      </c>
      <c r="AH756" s="106" t="n">
        <v>0</v>
      </c>
      <c r="AI756" s="106" t="n">
        <v>6456793.9123548</v>
      </c>
      <c r="AJ756" s="106" t="n">
        <v>0</v>
      </c>
      <c r="AK756" s="106" t="n">
        <v>0</v>
      </c>
      <c r="AL756" s="106" t="n">
        <v>0</v>
      </c>
      <c r="AM756" s="106" t="n">
        <v>1391929.5955</v>
      </c>
      <c r="AN756" s="114" t="n">
        <v>152360.7821</v>
      </c>
      <c r="AO756" s="115" t="n">
        <v>293004.25961336</v>
      </c>
      <c r="AP756" s="112" t="n">
        <f aca="false" ca="false" dt2D="false" dtr="false" t="normal">+N756-'Приложение №2'!E756</f>
        <v>0</v>
      </c>
      <c r="AQ756" s="9" t="n">
        <f aca="false" ca="false" dt2D="false" dtr="false" t="normal">535972.76</f>
        <v>535972.76</v>
      </c>
      <c r="AR756" s="3" t="n">
        <f aca="false" ca="false" dt2D="false" dtr="false" t="normal">+(K756*10.5+L756*21)*12*0.85</f>
        <v>146619.9</v>
      </c>
      <c r="AS756" s="3" t="n">
        <f aca="false" ca="false" dt2D="false" dtr="false" t="normal">+(K756*10.5+L756*21)*12*30</f>
        <v>5174820</v>
      </c>
      <c r="AT756" s="9" t="n">
        <f aca="false" ca="false" dt2D="false" dtr="false" t="normal">+S756-AS756</f>
        <v>-167810.9500000002</v>
      </c>
      <c r="AU756" s="9" t="e">
        <f aca="false" ca="false" dt2D="false" dtr="false" t="normal">+P756-'[5]Приложение №1'!$P668</f>
        <v>#REF!</v>
      </c>
      <c r="AV756" s="9" t="e">
        <f aca="false" ca="false" dt2D="false" dtr="false" t="normal">+Q756-'[5]Приложение №1'!$Q668</f>
        <v>#REF!</v>
      </c>
      <c r="AW756" s="186" t="n">
        <f aca="false" ca="true" dt2D="false" dtr="false" t="normal">SUBTOTAL(9, AX756:BL756)</f>
        <v>12599233.890348</v>
      </c>
      <c r="AX756" s="106" t="n">
        <v>3724324.437582</v>
      </c>
      <c r="AY756" s="106" t="n"/>
      <c r="AZ756" s="106" t="n">
        <v>1448805.341508</v>
      </c>
      <c r="BA756" s="106" t="n"/>
      <c r="BB756" s="106" t="n">
        <v>0</v>
      </c>
      <c r="BC756" s="106" t="n"/>
      <c r="BD756" s="106" t="n">
        <v>113301.6298302</v>
      </c>
      <c r="BE756" s="106" t="n">
        <v>0</v>
      </c>
      <c r="BF756" s="106" t="n">
        <v>7074795.119616</v>
      </c>
      <c r="BG756" s="106" t="n">
        <v>0</v>
      </c>
      <c r="BH756" s="106" t="n">
        <v>0</v>
      </c>
      <c r="BI756" s="106" t="n">
        <v>0</v>
      </c>
      <c r="BJ756" s="106" t="n"/>
      <c r="BK756" s="114" t="n"/>
      <c r="BL756" s="115" t="n">
        <v>238007.3618118</v>
      </c>
      <c r="BM756" s="186" t="n">
        <f aca="false" ca="true" dt2D="false" dtr="false" t="normal">SUBTOTAL(9, BN756:CB756)</f>
        <v>12599233.890348</v>
      </c>
      <c r="BN756" s="106" t="n">
        <v>3724324.437582</v>
      </c>
      <c r="BO756" s="106" t="n"/>
      <c r="BP756" s="106" t="n">
        <v>1448805.341508</v>
      </c>
      <c r="BQ756" s="106" t="n"/>
      <c r="BR756" s="106" t="n">
        <v>0</v>
      </c>
      <c r="BS756" s="106" t="n"/>
      <c r="BT756" s="106" t="n">
        <v>113301.6298302</v>
      </c>
      <c r="BU756" s="106" t="n">
        <v>0</v>
      </c>
      <c r="BV756" s="106" t="n">
        <v>7074795.119616</v>
      </c>
      <c r="BW756" s="106" t="n">
        <v>0</v>
      </c>
      <c r="BX756" s="106" t="n">
        <v>0</v>
      </c>
      <c r="BY756" s="106" t="n">
        <v>0</v>
      </c>
      <c r="BZ756" s="106" t="n"/>
      <c r="CA756" s="114" t="n"/>
      <c r="CB756" s="115" t="n">
        <v>238007.3618118</v>
      </c>
      <c r="CD756" s="116" t="e">
        <f aca="false" ca="false" dt2D="false" dtr="false" t="normal">+CD755+1</f>
        <v>#REF!</v>
      </c>
      <c r="CE756" s="117" t="e">
        <f aca="false" ca="false" dt2D="false" dtr="false" t="normal">+CE755+1</f>
        <v>#REF!</v>
      </c>
      <c r="CF756" s="104" t="s">
        <v>227</v>
      </c>
      <c r="CG756" s="104" t="s">
        <v>702</v>
      </c>
      <c r="CH756" s="232" t="n">
        <f aca="false" ca="true" dt2D="false" dtr="false" t="normal">SUBTOTAL(9, CI756:CW756)</f>
        <v>10075832.870000001</v>
      </c>
      <c r="CI756" s="106" t="n">
        <v>4332206.65</v>
      </c>
      <c r="CJ756" s="114" t="n"/>
      <c r="CK756" s="114" t="n">
        <v>1146753.78</v>
      </c>
      <c r="CL756" s="114" t="n"/>
      <c r="CM756" s="114" t="n">
        <v>0</v>
      </c>
      <c r="CN756" s="114" t="n"/>
      <c r="CO756" s="106" t="n"/>
      <c r="CP756" s="114" t="n">
        <v>0</v>
      </c>
      <c r="CQ756" s="114" t="n">
        <v>4358865.08</v>
      </c>
      <c r="CR756" s="114" t="n">
        <v>0</v>
      </c>
      <c r="CS756" s="114" t="n">
        <v>0</v>
      </c>
      <c r="CT756" s="114" t="n">
        <v>0</v>
      </c>
      <c r="CU756" s="114" t="n"/>
      <c r="CV756" s="114" t="n"/>
      <c r="CW756" s="115" t="n">
        <v>238007.36</v>
      </c>
      <c r="CX756" s="3" t="n">
        <f aca="false" ca="false" dt2D="false" dtr="false" t="normal">+N756-CH756</f>
        <v>-238007.36000000127</v>
      </c>
      <c r="CZ756" s="104" t="s">
        <v>702</v>
      </c>
      <c r="DA756" s="186" t="n">
        <f aca="false" ca="true" dt2D="false" dtr="false" t="normal">SUBTOTAL(9, DB756:DP756)</f>
        <v>9837825.510000002</v>
      </c>
      <c r="DB756" s="106" t="n">
        <v>4332206.65</v>
      </c>
      <c r="DC756" s="114" t="n"/>
      <c r="DD756" s="114" t="n">
        <v>1146753.78</v>
      </c>
      <c r="DE756" s="114" t="n"/>
      <c r="DF756" s="114" t="n">
        <v>0</v>
      </c>
      <c r="DG756" s="114" t="n"/>
      <c r="DH756" s="106" t="n"/>
      <c r="DI756" s="114" t="n">
        <v>0</v>
      </c>
      <c r="DJ756" s="114" t="n">
        <v>4358865.08</v>
      </c>
      <c r="DK756" s="114" t="n">
        <v>0</v>
      </c>
      <c r="DL756" s="114" t="n">
        <v>0</v>
      </c>
      <c r="DM756" s="114" t="n">
        <v>0</v>
      </c>
      <c r="DN756" s="114" t="n"/>
      <c r="DO756" s="114" t="n"/>
      <c r="DP756" s="240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</row>
    <row customFormat="true" hidden="false" ht="15" outlineLevel="0" r="757" s="1">
      <c r="A757" s="183" t="n">
        <f aca="false" ca="false" dt2D="false" dtr="false" t="normal">+A756+1</f>
        <v>735</v>
      </c>
      <c r="B757" s="117" t="n">
        <f aca="false" ca="false" dt2D="false" dtr="false" t="normal">+B756+1</f>
        <v>275</v>
      </c>
      <c r="C757" s="117" t="s">
        <v>227</v>
      </c>
      <c r="D757" s="117" t="s">
        <v>703</v>
      </c>
      <c r="E757" s="201" t="n">
        <v>1967</v>
      </c>
      <c r="F757" s="201" t="n">
        <v>2013</v>
      </c>
      <c r="G757" s="201" t="s">
        <v>68</v>
      </c>
      <c r="H757" s="201" t="n">
        <v>3</v>
      </c>
      <c r="I757" s="201" t="n">
        <v>3</v>
      </c>
      <c r="J757" s="114" t="n">
        <v>1661.3</v>
      </c>
      <c r="K757" s="114" t="n">
        <v>1287.6</v>
      </c>
      <c r="L757" s="114" t="n">
        <v>250.7</v>
      </c>
      <c r="M757" s="202" t="n">
        <v>74</v>
      </c>
      <c r="N757" s="108" t="n">
        <f aca="false" ca="false" dt2D="false" dtr="false" t="normal">SUM(P757:T757)</f>
        <v>11426950.709999999</v>
      </c>
      <c r="O757" s="114" t="n"/>
      <c r="P757" s="113" t="n">
        <v>1452195.03</v>
      </c>
      <c r="Q757" s="114" t="n">
        <v>0</v>
      </c>
      <c r="R757" s="113" t="n">
        <v>1093036.64</v>
      </c>
      <c r="S757" s="113" t="n">
        <v>6552293.87</v>
      </c>
      <c r="T757" s="113" t="n">
        <v>2329425.17</v>
      </c>
      <c r="U757" s="114" t="n">
        <v>10001.1712411681</v>
      </c>
      <c r="V757" s="114" t="n">
        <v>1389.283020064</v>
      </c>
      <c r="W757" s="110" t="n">
        <v>2024</v>
      </c>
      <c r="X757" s="9" t="e">
        <f aca="false" ca="false" dt2D="false" dtr="false" t="normal">+#REF!-'[9]Приложение №1'!$P1835</f>
        <v>#REF!</v>
      </c>
      <c r="Z757" s="113" t="n">
        <f aca="false" ca="false" dt2D="false" dtr="false" t="normal">SUM(AA757:AO757)</f>
        <v>14747148.670000002</v>
      </c>
      <c r="AA757" s="106" t="n">
        <v>5828747.46729912</v>
      </c>
      <c r="AB757" s="106" t="n">
        <v>3546676.37334864</v>
      </c>
      <c r="AC757" s="106" t="n">
        <v>1671246.17812992</v>
      </c>
      <c r="AD757" s="106" t="n">
        <v>1424243.59065324</v>
      </c>
      <c r="AE757" s="106" t="n">
        <v>0</v>
      </c>
      <c r="AF757" s="106" t="n"/>
      <c r="AG757" s="106" t="n">
        <v>497262.94218216</v>
      </c>
      <c r="AH757" s="106" t="n">
        <v>0</v>
      </c>
      <c r="AI757" s="106" t="n">
        <v>0</v>
      </c>
      <c r="AJ757" s="106" t="n">
        <v>0</v>
      </c>
      <c r="AK757" s="106" t="n">
        <v>0</v>
      </c>
      <c r="AL757" s="106" t="n">
        <v>0</v>
      </c>
      <c r="AM757" s="106" t="n">
        <v>1347912.8755</v>
      </c>
      <c r="AN757" s="114" t="n">
        <v>147471.4867</v>
      </c>
      <c r="AO757" s="115" t="n">
        <v>283587.75618692</v>
      </c>
      <c r="AP757" s="112" t="n">
        <f aca="false" ca="false" dt2D="false" dtr="false" t="normal">+N757-'Приложение №2'!E757</f>
        <v>0</v>
      </c>
      <c r="AQ757" s="9" t="n">
        <f aca="false" ca="false" dt2D="false" dtr="false" t="normal">926702.26</f>
        <v>926702.26</v>
      </c>
      <c r="AR757" s="3" t="n">
        <f aca="false" ca="false" dt2D="false" dtr="false" t="normal">+(K757*10.5+L757*21)*12*0.85</f>
        <v>191601.9</v>
      </c>
      <c r="AS757" s="3" t="n">
        <f aca="false" ca="false" dt2D="false" dtr="false" t="normal">+(K757*10.5+L757*21)*12*30</f>
        <v>6762420</v>
      </c>
      <c r="AT757" s="9" t="n">
        <f aca="false" ca="false" dt2D="false" dtr="false" t="normal">+S757-AS757</f>
        <v>-210126.1299999999</v>
      </c>
      <c r="AU757" s="9" t="e">
        <f aca="false" ca="false" dt2D="false" dtr="false" t="normal">+P757-'[5]Приложение №1'!$P669</f>
        <v>#REF!</v>
      </c>
      <c r="AV757" s="9" t="e">
        <f aca="false" ca="false" dt2D="false" dtr="false" t="normal">+Q757-'[5]Приложение №1'!$Q669</f>
        <v>#REF!</v>
      </c>
      <c r="AW757" s="186" t="n">
        <f aca="false" ca="true" dt2D="false" dtr="false" t="normal">SUBTOTAL(9, AX757:BL757)</f>
        <v>12877508.090128003</v>
      </c>
      <c r="AX757" s="106" t="n">
        <v>6357413.668998</v>
      </c>
      <c r="AY757" s="106" t="n">
        <v>3936738.962142</v>
      </c>
      <c r="AZ757" s="106" t="n">
        <v>1850698.86414</v>
      </c>
      <c r="BA757" s="106" t="n"/>
      <c r="BB757" s="106" t="n">
        <v>0</v>
      </c>
      <c r="BC757" s="106" t="n"/>
      <c r="BD757" s="106" t="n">
        <v>497262.94218216</v>
      </c>
      <c r="BE757" s="106" t="n">
        <v>0</v>
      </c>
      <c r="BF757" s="106" t="n">
        <v>0</v>
      </c>
      <c r="BG757" s="106" t="n">
        <v>0</v>
      </c>
      <c r="BH757" s="106" t="n">
        <v>0</v>
      </c>
      <c r="BI757" s="106" t="n">
        <v>0</v>
      </c>
      <c r="BJ757" s="106" t="n"/>
      <c r="BK757" s="114" t="n"/>
      <c r="BL757" s="115" t="n">
        <v>235393.65266584</v>
      </c>
      <c r="BM757" s="186" t="n">
        <f aca="false" ca="true" dt2D="false" dtr="false" t="normal">SUBTOTAL(9, BN757:CB757)</f>
        <v>12877508.090128003</v>
      </c>
      <c r="BN757" s="106" t="n">
        <v>6357413.668998</v>
      </c>
      <c r="BO757" s="106" t="n">
        <v>3936738.962142</v>
      </c>
      <c r="BP757" s="106" t="n">
        <v>1850698.86414</v>
      </c>
      <c r="BQ757" s="106" t="n"/>
      <c r="BR757" s="106" t="n">
        <v>0</v>
      </c>
      <c r="BS757" s="106" t="n"/>
      <c r="BT757" s="106" t="n">
        <v>497262.94218216</v>
      </c>
      <c r="BU757" s="106" t="n">
        <v>0</v>
      </c>
      <c r="BV757" s="106" t="n">
        <v>0</v>
      </c>
      <c r="BW757" s="106" t="n">
        <v>0</v>
      </c>
      <c r="BX757" s="106" t="n">
        <v>0</v>
      </c>
      <c r="BY757" s="106" t="n">
        <v>0</v>
      </c>
      <c r="BZ757" s="106" t="n"/>
      <c r="CA757" s="114" t="n"/>
      <c r="CB757" s="115" t="n">
        <v>235393.65266584</v>
      </c>
      <c r="CD757" s="116" t="e">
        <f aca="false" ca="false" dt2D="false" dtr="false" t="normal">+CD756+1</f>
        <v>#REF!</v>
      </c>
      <c r="CE757" s="117" t="e">
        <f aca="false" ca="false" dt2D="false" dtr="false" t="normal">+CE756+1</f>
        <v>#REF!</v>
      </c>
      <c r="CF757" s="104" t="s">
        <v>227</v>
      </c>
      <c r="CG757" s="104" t="s">
        <v>703</v>
      </c>
      <c r="CH757" s="232" t="n">
        <f aca="false" ca="true" dt2D="false" dtr="false" t="normal">SUBTOTAL(9, CI757:CW757)</f>
        <v>11662344.360000001</v>
      </c>
      <c r="CI757" s="106" t="n">
        <v>5307164.59</v>
      </c>
      <c r="CJ757" s="114" t="n">
        <v>4670595</v>
      </c>
      <c r="CK757" s="114" t="n">
        <v>1449191.12</v>
      </c>
      <c r="CL757" s="114" t="n"/>
      <c r="CM757" s="114" t="n">
        <v>0</v>
      </c>
      <c r="CN757" s="114" t="n"/>
      <c r="CO757" s="106" t="n"/>
      <c r="CP757" s="114" t="n">
        <v>0</v>
      </c>
      <c r="CQ757" s="114" t="n">
        <v>0</v>
      </c>
      <c r="CR757" s="114" t="n">
        <v>0</v>
      </c>
      <c r="CS757" s="114" t="n">
        <v>0</v>
      </c>
      <c r="CT757" s="114" t="n">
        <v>0</v>
      </c>
      <c r="CU757" s="114" t="n"/>
      <c r="CV757" s="114" t="n"/>
      <c r="CW757" s="115" t="n">
        <v>235393.65</v>
      </c>
      <c r="CX757" s="3" t="n">
        <f aca="false" ca="false" dt2D="false" dtr="false" t="normal">+N757-CH757</f>
        <v>-235393.65000000224</v>
      </c>
      <c r="CZ757" s="104" t="s">
        <v>703</v>
      </c>
      <c r="DA757" s="186" t="n">
        <f aca="false" ca="true" dt2D="false" dtr="false" t="normal">SUBTOTAL(9, DB757:DP757)</f>
        <v>11426950.71</v>
      </c>
      <c r="DB757" s="106" t="n">
        <v>5307164.59</v>
      </c>
      <c r="DC757" s="114" t="n">
        <v>4670595</v>
      </c>
      <c r="DD757" s="114" t="n">
        <v>1449191.12</v>
      </c>
      <c r="DE757" s="114" t="n"/>
      <c r="DF757" s="114" t="n">
        <v>0</v>
      </c>
      <c r="DG757" s="114" t="n"/>
      <c r="DH757" s="106" t="n"/>
      <c r="DI757" s="114" t="n">
        <v>0</v>
      </c>
      <c r="DJ757" s="114" t="n">
        <v>0</v>
      </c>
      <c r="DK757" s="114" t="n">
        <v>0</v>
      </c>
      <c r="DL757" s="114" t="n">
        <v>0</v>
      </c>
      <c r="DM757" s="114" t="n">
        <v>0</v>
      </c>
      <c r="DN757" s="114" t="n"/>
      <c r="DO757" s="114" t="n"/>
      <c r="DP757" s="240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</row>
    <row customFormat="true" hidden="false" ht="15" outlineLevel="0" r="758" s="1">
      <c r="A758" s="183" t="n">
        <f aca="false" ca="false" dt2D="false" dtr="false" t="normal">+A757+1</f>
        <v>736</v>
      </c>
      <c r="B758" s="117" t="n">
        <f aca="false" ca="false" dt2D="false" dtr="false" t="normal">+B757+1</f>
        <v>276</v>
      </c>
      <c r="C758" s="117" t="s">
        <v>227</v>
      </c>
      <c r="D758" s="117" t="s">
        <v>704</v>
      </c>
      <c r="E758" s="201" t="n">
        <v>1969</v>
      </c>
      <c r="F758" s="201" t="n">
        <v>1969</v>
      </c>
      <c r="G758" s="201" t="s">
        <v>68</v>
      </c>
      <c r="H758" s="201" t="n">
        <v>4</v>
      </c>
      <c r="I758" s="201" t="n">
        <v>2</v>
      </c>
      <c r="J758" s="114" t="n">
        <v>1357.7</v>
      </c>
      <c r="K758" s="114" t="n">
        <v>1089.9</v>
      </c>
      <c r="L758" s="114" t="n">
        <v>150.8</v>
      </c>
      <c r="M758" s="202" t="n">
        <v>48</v>
      </c>
      <c r="N758" s="108" t="n">
        <f aca="false" ca="false" dt2D="false" dtr="false" t="normal">SUM(P758:T758)</f>
        <v>5542561.75</v>
      </c>
      <c r="O758" s="114" t="n"/>
      <c r="P758" s="114" t="n"/>
      <c r="Q758" s="114" t="n"/>
      <c r="R758" s="113" t="n">
        <v>1157523.15</v>
      </c>
      <c r="S758" s="113" t="n">
        <v>4385038.6</v>
      </c>
      <c r="T758" s="114" t="n"/>
      <c r="U758" s="114" t="n">
        <v>5109.6917299789</v>
      </c>
      <c r="V758" s="114" t="n">
        <v>1391.283020064</v>
      </c>
      <c r="W758" s="110" t="n">
        <v>2024</v>
      </c>
      <c r="X758" s="9" t="e">
        <f aca="false" ca="false" dt2D="false" dtr="false" t="normal">+#REF!-'[9]Приложение №1'!$P1837</f>
        <v>#REF!</v>
      </c>
      <c r="Z758" s="113" t="n">
        <f aca="false" ca="false" dt2D="false" dtr="false" t="normal">SUM(AA758:AO758)</f>
        <v>8198144.529999998</v>
      </c>
      <c r="AA758" s="106" t="n">
        <v>3559333.00367736</v>
      </c>
      <c r="AB758" s="106" t="n">
        <v>1305216.91625262</v>
      </c>
      <c r="AC758" s="106" t="n">
        <v>1363645.39662456</v>
      </c>
      <c r="AD758" s="106" t="n">
        <v>853744.33726848</v>
      </c>
      <c r="AE758" s="106" t="n">
        <v>0</v>
      </c>
      <c r="AF758" s="106" t="n"/>
      <c r="AG758" s="106" t="n">
        <v>117503.58224136</v>
      </c>
      <c r="AH758" s="106" t="n">
        <v>0</v>
      </c>
      <c r="AI758" s="106" t="n">
        <v>0</v>
      </c>
      <c r="AJ758" s="106" t="n">
        <v>0</v>
      </c>
      <c r="AK758" s="106" t="n">
        <v>0</v>
      </c>
      <c r="AL758" s="106" t="n">
        <v>0</v>
      </c>
      <c r="AM758" s="106" t="n">
        <v>759282.6064</v>
      </c>
      <c r="AN758" s="114" t="n">
        <v>81981.4453</v>
      </c>
      <c r="AO758" s="115" t="n">
        <v>157437.24223562</v>
      </c>
      <c r="AP758" s="112" t="n">
        <f aca="false" ca="false" dt2D="false" dtr="false" t="normal">+N758-'Приложение №2'!E758</f>
        <v>0</v>
      </c>
      <c r="AQ758" s="9" t="n">
        <f aca="false" ca="false" dt2D="false" dtr="false" t="normal">605678.65</f>
        <v>605678.65</v>
      </c>
      <c r="AR758" s="3" t="n">
        <f aca="false" ca="false" dt2D="false" dtr="false" t="normal">+(K758*10.5+L758*21)*12*0.85</f>
        <v>149029.65</v>
      </c>
      <c r="AS758" s="3" t="n">
        <f aca="false" ca="false" dt2D="false" dtr="false" t="normal">+(K758*10.5+L758*21)*12*30</f>
        <v>5259870</v>
      </c>
      <c r="AT758" s="9" t="n">
        <f aca="false" ca="false" dt2D="false" dtr="false" t="normal">+S758-AS758</f>
        <v>-874831.4000000004</v>
      </c>
      <c r="AU758" s="9" t="e">
        <f aca="false" ca="false" dt2D="false" dtr="false" t="normal">+P758-'[5]Приложение №1'!$P671</f>
        <v>#REF!</v>
      </c>
      <c r="AV758" s="9" t="e">
        <f aca="false" ca="false" dt2D="false" dtr="false" t="normal">+Q758-'[5]Приложение №1'!$Q671</f>
        <v>#REF!</v>
      </c>
      <c r="AW758" s="186" t="n">
        <f aca="false" ca="true" dt2D="false" dtr="false" t="normal">SUBTOTAL(9, AX758:BL758)</f>
        <v>5569053.016504</v>
      </c>
      <c r="AX758" s="106" t="n">
        <v>3860931.116196</v>
      </c>
      <c r="AY758" s="106" t="n"/>
      <c r="AZ758" s="106" t="n">
        <v>1504229.360466</v>
      </c>
      <c r="BA758" s="106" t="n"/>
      <c r="BB758" s="106" t="n">
        <v>0</v>
      </c>
      <c r="BC758" s="106" t="n"/>
      <c r="BD758" s="106" t="n">
        <v>117503.58224136</v>
      </c>
      <c r="BE758" s="106" t="n">
        <v>0</v>
      </c>
      <c r="BF758" s="106" t="n">
        <v>0</v>
      </c>
      <c r="BG758" s="106" t="n">
        <v>0</v>
      </c>
      <c r="BH758" s="106" t="n">
        <v>0</v>
      </c>
      <c r="BI758" s="106" t="n">
        <v>0</v>
      </c>
      <c r="BJ758" s="106" t="n"/>
      <c r="BK758" s="114" t="n"/>
      <c r="BL758" s="115" t="n">
        <v>86388.95760064</v>
      </c>
      <c r="BM758" s="186" t="n">
        <f aca="false" ca="true" dt2D="false" dtr="false" t="normal">SUBTOTAL(9, BN758:CB758)</f>
        <v>5569053.016504</v>
      </c>
      <c r="BN758" s="106" t="n">
        <v>3860931.116196</v>
      </c>
      <c r="BO758" s="106" t="n"/>
      <c r="BP758" s="106" t="n">
        <v>1504229.360466</v>
      </c>
      <c r="BQ758" s="106" t="n"/>
      <c r="BR758" s="106" t="n">
        <v>0</v>
      </c>
      <c r="BS758" s="106" t="n"/>
      <c r="BT758" s="106" t="n">
        <v>117503.58224136</v>
      </c>
      <c r="BU758" s="106" t="n">
        <v>0</v>
      </c>
      <c r="BV758" s="106" t="n">
        <v>0</v>
      </c>
      <c r="BW758" s="106" t="n">
        <v>0</v>
      </c>
      <c r="BX758" s="106" t="n">
        <v>0</v>
      </c>
      <c r="BY758" s="106" t="n">
        <v>0</v>
      </c>
      <c r="BZ758" s="106" t="n"/>
      <c r="CA758" s="114" t="n"/>
      <c r="CB758" s="115" t="n">
        <v>86388.95760064</v>
      </c>
      <c r="CD758" s="116" t="e">
        <f aca="false" ca="false" dt2D="false" dtr="false" t="normal">+CD757+1</f>
        <v>#REF!</v>
      </c>
      <c r="CE758" s="117" t="e">
        <f aca="false" ca="false" dt2D="false" dtr="false" t="normal">+CE757+1</f>
        <v>#REF!</v>
      </c>
      <c r="CF758" s="104" t="s">
        <v>227</v>
      </c>
      <c r="CG758" s="104" t="s">
        <v>704</v>
      </c>
      <c r="CH758" s="232" t="n">
        <f aca="false" ca="true" dt2D="false" dtr="false" t="normal">SUBTOTAL(9, CI758:CW758)</f>
        <v>5628950.71</v>
      </c>
      <c r="CI758" s="106" t="n">
        <v>4283386.4</v>
      </c>
      <c r="CJ758" s="114" t="n"/>
      <c r="CK758" s="114" t="n">
        <v>1259175.35</v>
      </c>
      <c r="CL758" s="114" t="n"/>
      <c r="CM758" s="114" t="n">
        <v>0</v>
      </c>
      <c r="CN758" s="114" t="n"/>
      <c r="CO758" s="106" t="n"/>
      <c r="CP758" s="114" t="n">
        <v>0</v>
      </c>
      <c r="CQ758" s="114" t="n">
        <v>0</v>
      </c>
      <c r="CR758" s="114" t="n">
        <v>0</v>
      </c>
      <c r="CS758" s="114" t="n">
        <v>0</v>
      </c>
      <c r="CT758" s="114" t="n">
        <v>0</v>
      </c>
      <c r="CU758" s="114" t="n"/>
      <c r="CV758" s="114" t="n"/>
      <c r="CW758" s="115" t="n">
        <v>86388.96</v>
      </c>
      <c r="CX758" s="3" t="n">
        <f aca="false" ca="false" dt2D="false" dtr="false" t="normal">+N758-CH758</f>
        <v>-86388.95999999996</v>
      </c>
      <c r="CZ758" s="104" t="s">
        <v>704</v>
      </c>
      <c r="DA758" s="186" t="n">
        <f aca="false" ca="true" dt2D="false" dtr="false" t="normal">SUBTOTAL(9, DB758:DP758)</f>
        <v>5542561.75</v>
      </c>
      <c r="DB758" s="106" t="n">
        <v>4283386.4</v>
      </c>
      <c r="DC758" s="114" t="n"/>
      <c r="DD758" s="114" t="n">
        <v>1259175.35</v>
      </c>
      <c r="DE758" s="114" t="n"/>
      <c r="DF758" s="114" t="n">
        <v>0</v>
      </c>
      <c r="DG758" s="114" t="n"/>
      <c r="DH758" s="106" t="n"/>
      <c r="DI758" s="114" t="n">
        <v>0</v>
      </c>
      <c r="DJ758" s="114" t="n">
        <v>0</v>
      </c>
      <c r="DK758" s="114" t="n">
        <v>0</v>
      </c>
      <c r="DL758" s="114" t="n">
        <v>0</v>
      </c>
      <c r="DM758" s="114" t="n">
        <v>0</v>
      </c>
      <c r="DN758" s="114" t="n"/>
      <c r="DO758" s="114" t="n"/>
      <c r="DP758" s="240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</row>
    <row customFormat="true" hidden="false" ht="15" outlineLevel="0" r="759" s="1">
      <c r="A759" s="183" t="n">
        <f aca="false" ca="false" dt2D="false" dtr="false" t="normal">+A758+1</f>
        <v>737</v>
      </c>
      <c r="B759" s="117" t="n">
        <f aca="false" ca="false" dt2D="false" dtr="false" t="normal">+B758+1</f>
        <v>277</v>
      </c>
      <c r="C759" s="117" t="s">
        <v>227</v>
      </c>
      <c r="D759" s="117" t="s">
        <v>705</v>
      </c>
      <c r="E759" s="201" t="n">
        <v>1972</v>
      </c>
      <c r="F759" s="201" t="n">
        <v>1972</v>
      </c>
      <c r="G759" s="201" t="s">
        <v>68</v>
      </c>
      <c r="H759" s="201" t="n">
        <v>4</v>
      </c>
      <c r="I759" s="201" t="n">
        <v>2</v>
      </c>
      <c r="J759" s="114" t="n">
        <v>1419.91</v>
      </c>
      <c r="K759" s="114" t="n">
        <v>1089.91</v>
      </c>
      <c r="L759" s="114" t="n">
        <v>330</v>
      </c>
      <c r="M759" s="202" t="n">
        <v>53</v>
      </c>
      <c r="N759" s="108" t="n">
        <f aca="false" ca="false" dt2D="false" dtr="false" t="normal">SUM(P759:T759)</f>
        <v>985453.7</v>
      </c>
      <c r="O759" s="114" t="n"/>
      <c r="P759" s="114" t="n"/>
      <c r="Q759" s="114" t="n"/>
      <c r="R759" s="113" t="n">
        <v>963416.82</v>
      </c>
      <c r="S759" s="113" t="n">
        <v>22036.88</v>
      </c>
      <c r="T759" s="114" t="n"/>
      <c r="U759" s="114" t="n">
        <v>946.542189293688</v>
      </c>
      <c r="V759" s="114" t="n">
        <v>946.542189293688</v>
      </c>
      <c r="W759" s="110" t="n">
        <v>2024</v>
      </c>
      <c r="X759" s="9" t="e">
        <f aca="false" ca="false" dt2D="false" dtr="false" t="normal">+#REF!-'[9]Приложение №1'!$P1932</f>
        <v>#REF!</v>
      </c>
      <c r="Z759" s="113" t="n">
        <f aca="false" ca="false" dt2D="false" dtr="false" t="normal">SUM(AA759:AO759)</f>
        <v>7184246.72</v>
      </c>
      <c r="AA759" s="106" t="n">
        <v>3119135.8409757</v>
      </c>
      <c r="AB759" s="106" t="n">
        <v>1143795.44284236</v>
      </c>
      <c r="AC759" s="106" t="n">
        <v>1194997.8356148</v>
      </c>
      <c r="AD759" s="106" t="n">
        <v>748158.3090576</v>
      </c>
      <c r="AE759" s="106" t="n">
        <v>0</v>
      </c>
      <c r="AF759" s="106" t="n"/>
      <c r="AG759" s="106" t="n">
        <v>102971.44054764</v>
      </c>
      <c r="AH759" s="106" t="n">
        <v>0</v>
      </c>
      <c r="AI759" s="106" t="n">
        <v>0</v>
      </c>
      <c r="AJ759" s="106" t="n">
        <v>0</v>
      </c>
      <c r="AK759" s="106" t="n">
        <v>0</v>
      </c>
      <c r="AL759" s="106" t="n">
        <v>0</v>
      </c>
      <c r="AM759" s="106" t="n">
        <v>665379.0443</v>
      </c>
      <c r="AN759" s="114" t="n">
        <v>71842.4672</v>
      </c>
      <c r="AO759" s="115" t="n">
        <v>137966.3394619</v>
      </c>
      <c r="AP759" s="112" t="n">
        <f aca="false" ca="false" dt2D="false" dtr="false" t="normal">+N759-'Приложение №2'!E759</f>
        <v>0</v>
      </c>
      <c r="AQ759" s="1" t="n">
        <v>813687.7</v>
      </c>
      <c r="AR759" s="3" t="n">
        <f aca="false" ca="false" dt2D="false" dtr="false" t="normal">+(K759*10+L759*20)*12*0.85</f>
        <v>178490.81999999998</v>
      </c>
      <c r="AS759" s="3" t="n">
        <f aca="false" ca="false" dt2D="false" dtr="false" t="normal">+(K759*10+L759*20)*12*30</f>
        <v>6299675.999999999</v>
      </c>
      <c r="AT759" s="9" t="n">
        <f aca="false" ca="false" dt2D="false" dtr="false" t="normal">+S759-AS759</f>
        <v>-6277639.119999999</v>
      </c>
      <c r="AU759" s="9" t="e">
        <f aca="false" ca="false" dt2D="false" dtr="false" t="normal">+P759-'[5]Приложение №1'!$P716</f>
        <v>#REF!</v>
      </c>
      <c r="AV759" s="9" t="e">
        <f aca="false" ca="false" dt2D="false" dtr="false" t="normal">+Q759-'[5]Приложение №1'!$Q716</f>
        <v>#REF!</v>
      </c>
      <c r="AW759" s="113" t="n">
        <f aca="false" ca="true" dt2D="false" dtr="false" t="normal">SUBTOTAL(9, AX759:BL759)</f>
        <v>1344004.72</v>
      </c>
      <c r="AX759" s="106" t="n"/>
      <c r="AY759" s="106" t="n"/>
      <c r="AZ759" s="106" t="n">
        <v>1315243.018992</v>
      </c>
      <c r="BA759" s="106" t="n"/>
      <c r="BB759" s="106" t="n">
        <v>0</v>
      </c>
      <c r="BC759" s="106" t="n"/>
      <c r="BD759" s="106" t="n"/>
      <c r="BE759" s="106" t="n"/>
      <c r="BF759" s="106" t="n"/>
      <c r="BG759" s="106" t="n">
        <v>0</v>
      </c>
      <c r="BH759" s="106" t="n">
        <v>0</v>
      </c>
      <c r="BI759" s="106" t="n">
        <v>0</v>
      </c>
      <c r="BJ759" s="106" t="n"/>
      <c r="BK759" s="114" t="n"/>
      <c r="BL759" s="115" t="n">
        <v>28761.701008</v>
      </c>
      <c r="BM759" s="113" t="n">
        <f aca="false" ca="true" dt2D="false" dtr="false" t="normal">SUBTOTAL(9, BN759:CB759)</f>
        <v>1344004.72</v>
      </c>
      <c r="BN759" s="106" t="n"/>
      <c r="BO759" s="106" t="n"/>
      <c r="BP759" s="106" t="n">
        <v>1315243.018992</v>
      </c>
      <c r="BQ759" s="106" t="n"/>
      <c r="BR759" s="106" t="n">
        <v>0</v>
      </c>
      <c r="BS759" s="106" t="n"/>
      <c r="BT759" s="106" t="n"/>
      <c r="BU759" s="106" t="n"/>
      <c r="BV759" s="106" t="n"/>
      <c r="BW759" s="106" t="n">
        <v>0</v>
      </c>
      <c r="BX759" s="106" t="n">
        <v>0</v>
      </c>
      <c r="BY759" s="106" t="n">
        <v>0</v>
      </c>
      <c r="BZ759" s="106" t="n"/>
      <c r="CA759" s="114" t="n"/>
      <c r="CB759" s="115" t="n">
        <v>28761.701008</v>
      </c>
      <c r="CD759" s="116" t="e">
        <f aca="false" ca="false" dt2D="false" dtr="false" t="normal">+CD758+1</f>
        <v>#REF!</v>
      </c>
      <c r="CE759" s="117" t="e">
        <f aca="false" ca="false" dt2D="false" dtr="false" t="normal">+CE758+1</f>
        <v>#REF!</v>
      </c>
      <c r="CF759" s="104" t="s">
        <v>227</v>
      </c>
      <c r="CG759" s="104" t="s">
        <v>705</v>
      </c>
      <c r="CH759" s="108" t="n">
        <f aca="false" ca="true" dt2D="false" dtr="false" t="normal">SUBTOTAL(9, CI759:CW759)</f>
        <v>1014215.3999999999</v>
      </c>
      <c r="CI759" s="106" t="n"/>
      <c r="CJ759" s="114" t="n"/>
      <c r="CK759" s="114" t="n">
        <v>985453.7</v>
      </c>
      <c r="CL759" s="114" t="n"/>
      <c r="CM759" s="114" t="n">
        <v>0</v>
      </c>
      <c r="CN759" s="114" t="n"/>
      <c r="CO759" s="106" t="n"/>
      <c r="CP759" s="114" t="n"/>
      <c r="CQ759" s="114" t="n"/>
      <c r="CR759" s="114" t="n">
        <v>0</v>
      </c>
      <c r="CS759" s="114" t="n">
        <v>0</v>
      </c>
      <c r="CT759" s="114" t="n">
        <v>0</v>
      </c>
      <c r="CU759" s="114" t="n"/>
      <c r="CV759" s="114" t="n"/>
      <c r="CW759" s="115" t="n">
        <v>28761.7</v>
      </c>
      <c r="CX759" s="3" t="n">
        <f aca="false" ca="false" dt2D="false" dtr="false" t="normal">+N759-CH759</f>
        <v>-28761.699999999953</v>
      </c>
      <c r="CZ759" s="104" t="s">
        <v>705</v>
      </c>
      <c r="DA759" s="113" t="n">
        <f aca="false" ca="true" dt2D="false" dtr="false" t="normal">SUBTOTAL(9, DB759:DP759)</f>
        <v>985453.7</v>
      </c>
      <c r="DB759" s="106" t="n"/>
      <c r="DC759" s="114" t="n"/>
      <c r="DD759" s="114" t="n">
        <v>985453.7</v>
      </c>
      <c r="DE759" s="114" t="n"/>
      <c r="DF759" s="114" t="n">
        <v>0</v>
      </c>
      <c r="DG759" s="114" t="n"/>
      <c r="DH759" s="106" t="n"/>
      <c r="DI759" s="114" t="n"/>
      <c r="DJ759" s="114" t="n"/>
      <c r="DK759" s="114" t="n">
        <v>0</v>
      </c>
      <c r="DL759" s="114" t="n">
        <v>0</v>
      </c>
      <c r="DM759" s="114" t="n">
        <v>0</v>
      </c>
      <c r="DN759" s="114" t="n"/>
      <c r="DO759" s="114" t="n"/>
      <c r="DP759" s="240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</row>
    <row customFormat="true" hidden="false" ht="15" outlineLevel="0" r="760" s="1">
      <c r="A760" s="183" t="n">
        <f aca="false" ca="false" dt2D="false" dtr="false" t="normal">+A759+1</f>
        <v>738</v>
      </c>
      <c r="B760" s="117" t="n">
        <f aca="false" ca="false" dt2D="false" dtr="false" t="normal">+B759+1</f>
        <v>278</v>
      </c>
      <c r="C760" s="117" t="s">
        <v>227</v>
      </c>
      <c r="D760" s="117" t="s">
        <v>706</v>
      </c>
      <c r="E760" s="201" t="n">
        <v>1969</v>
      </c>
      <c r="F760" s="201" t="n">
        <v>1969</v>
      </c>
      <c r="G760" s="201" t="s">
        <v>68</v>
      </c>
      <c r="H760" s="201" t="n">
        <v>4</v>
      </c>
      <c r="I760" s="201" t="n">
        <v>2</v>
      </c>
      <c r="J760" s="114" t="n">
        <v>1375</v>
      </c>
      <c r="K760" s="114" t="n">
        <v>1257.1</v>
      </c>
      <c r="L760" s="114" t="n">
        <v>0</v>
      </c>
      <c r="M760" s="202" t="n">
        <v>53</v>
      </c>
      <c r="N760" s="108" t="n">
        <f aca="false" ca="false" dt2D="false" dtr="false" t="normal">SUM(P760:T760)</f>
        <v>9276766.72</v>
      </c>
      <c r="O760" s="114" t="n"/>
      <c r="P760" s="113" t="n">
        <v>2077460.75</v>
      </c>
      <c r="Q760" s="114" t="n"/>
      <c r="R760" s="113" t="n">
        <v>861893.07</v>
      </c>
      <c r="S760" s="113" t="n">
        <v>3880488.25</v>
      </c>
      <c r="T760" s="113" t="n">
        <v>2456924.65</v>
      </c>
      <c r="U760" s="114" t="n">
        <v>10568.4757931064</v>
      </c>
      <c r="V760" s="114" t="n">
        <v>1392.283020064</v>
      </c>
      <c r="W760" s="110" t="n">
        <v>2024</v>
      </c>
      <c r="X760" s="9" t="e">
        <f aca="false" ca="false" dt2D="false" dtr="false" t="normal">+#REF!-'[9]Приложение №1'!$P1843</f>
        <v>#REF!</v>
      </c>
      <c r="Z760" s="113" t="n">
        <f aca="false" ca="false" dt2D="false" dtr="false" t="normal">SUM(AA760:AO760)</f>
        <v>15991596.719999999</v>
      </c>
      <c r="AA760" s="106" t="n">
        <v>3602237.21056836</v>
      </c>
      <c r="AB760" s="106" t="n">
        <v>1320950.00349942</v>
      </c>
      <c r="AC760" s="106" t="n">
        <v>1380082.78082346</v>
      </c>
      <c r="AD760" s="106" t="n">
        <v>864035.37315648</v>
      </c>
      <c r="AE760" s="106" t="n">
        <v>0</v>
      </c>
      <c r="AF760" s="106" t="n"/>
      <c r="AG760" s="106" t="n">
        <v>118919.97069456</v>
      </c>
      <c r="AH760" s="106" t="n">
        <v>0</v>
      </c>
      <c r="AI760" s="106" t="n">
        <v>6776969.9586876</v>
      </c>
      <c r="AJ760" s="106" t="n">
        <v>0</v>
      </c>
      <c r="AK760" s="106" t="n">
        <v>0</v>
      </c>
      <c r="AL760" s="106" t="n">
        <v>0</v>
      </c>
      <c r="AM760" s="106" t="n">
        <v>1460951.857</v>
      </c>
      <c r="AN760" s="114" t="n">
        <v>159915.9672</v>
      </c>
      <c r="AO760" s="115" t="n">
        <v>307533.59837012</v>
      </c>
      <c r="AP760" s="112" t="n">
        <f aca="false" ca="false" dt2D="false" dtr="false" t="normal">+N760-'Приложение №2'!E760</f>
        <v>0</v>
      </c>
      <c r="AQ760" s="9" t="n">
        <f aca="false" ca="false" dt2D="false" dtr="false" t="normal">727257.66</f>
        <v>727257.66</v>
      </c>
      <c r="AR760" s="3" t="n">
        <f aca="false" ca="false" dt2D="false" dtr="false" t="normal">+(K760*10.5+L760*21)*12*0.85</f>
        <v>134635.40999999997</v>
      </c>
      <c r="AS760" s="3" t="n">
        <f aca="false" ca="false" dt2D="false" dtr="false" t="normal">+(K760*10.5+L760*21)*12*30</f>
        <v>4751837.999999999</v>
      </c>
      <c r="AT760" s="9" t="n">
        <f aca="false" ca="false" dt2D="false" dtr="false" t="normal">+S760-AS760</f>
        <v>-871349.7499999991</v>
      </c>
      <c r="AU760" s="9" t="e">
        <f aca="false" ca="false" dt2D="false" dtr="false" t="normal">+P760-'[5]Приложение №1'!$P672</f>
        <v>#REF!</v>
      </c>
      <c r="AV760" s="9" t="e">
        <f aca="false" ca="false" dt2D="false" dtr="false" t="normal">+Q760-'[5]Приложение №1'!$Q672</f>
        <v>#REF!</v>
      </c>
      <c r="AW760" s="186" t="n">
        <f aca="false" ca="true" dt2D="false" dtr="false" t="normal">SUBTOTAL(9, AX760:BL760)</f>
        <v>13285630.919514</v>
      </c>
      <c r="AX760" s="106" t="n">
        <v>3907411.973976</v>
      </c>
      <c r="AY760" s="106" t="n"/>
      <c r="AZ760" s="106" t="n">
        <v>1521963.549666</v>
      </c>
      <c r="BA760" s="106" t="n"/>
      <c r="BB760" s="106" t="n">
        <v>0</v>
      </c>
      <c r="BC760" s="106" t="n"/>
      <c r="BD760" s="106" t="n">
        <v>118919.97069456</v>
      </c>
      <c r="BE760" s="106" t="n">
        <v>0</v>
      </c>
      <c r="BF760" s="106" t="n">
        <v>7486206.936432</v>
      </c>
      <c r="BG760" s="106" t="n">
        <v>0</v>
      </c>
      <c r="BH760" s="106" t="n">
        <v>0</v>
      </c>
      <c r="BI760" s="106" t="n">
        <v>0</v>
      </c>
      <c r="BJ760" s="106" t="n"/>
      <c r="BK760" s="114" t="n"/>
      <c r="BL760" s="115" t="n">
        <v>251128.48874544</v>
      </c>
      <c r="BM760" s="186" t="n">
        <f aca="false" ca="true" dt2D="false" dtr="false" t="normal">SUBTOTAL(9, BN760:CB760)</f>
        <v>13285630.919514</v>
      </c>
      <c r="BN760" s="106" t="n">
        <v>3907411.973976</v>
      </c>
      <c r="BO760" s="106" t="n"/>
      <c r="BP760" s="106" t="n">
        <v>1521963.549666</v>
      </c>
      <c r="BQ760" s="106" t="n"/>
      <c r="BR760" s="106" t="n">
        <v>0</v>
      </c>
      <c r="BS760" s="106" t="n"/>
      <c r="BT760" s="106" t="n">
        <v>118919.97069456</v>
      </c>
      <c r="BU760" s="106" t="n">
        <v>0</v>
      </c>
      <c r="BV760" s="106" t="n">
        <v>7486206.936432</v>
      </c>
      <c r="BW760" s="106" t="n">
        <v>0</v>
      </c>
      <c r="BX760" s="106" t="n">
        <v>0</v>
      </c>
      <c r="BY760" s="106" t="n">
        <v>0</v>
      </c>
      <c r="BZ760" s="106" t="n"/>
      <c r="CA760" s="114" t="n"/>
      <c r="CB760" s="115" t="n">
        <v>251128.48874544</v>
      </c>
      <c r="CD760" s="116" t="e">
        <f aca="false" ca="false" dt2D="false" dtr="false" t="normal">+CD759+1</f>
        <v>#REF!</v>
      </c>
      <c r="CE760" s="117" t="e">
        <f aca="false" ca="false" dt2D="false" dtr="false" t="normal">+CE759+1</f>
        <v>#REF!</v>
      </c>
      <c r="CF760" s="104" t="s">
        <v>227</v>
      </c>
      <c r="CG760" s="104" t="s">
        <v>706</v>
      </c>
      <c r="CH760" s="232" t="n">
        <f aca="false" ca="true" dt2D="false" dtr="false" t="normal">SUBTOTAL(9, CI760:CW760)</f>
        <v>9527895.21</v>
      </c>
      <c r="CI760" s="106" t="n">
        <v>4337466.13</v>
      </c>
      <c r="CJ760" s="114" t="n"/>
      <c r="CK760" s="114" t="n">
        <v>1321148.53</v>
      </c>
      <c r="CL760" s="114" t="n"/>
      <c r="CM760" s="114" t="n">
        <v>0</v>
      </c>
      <c r="CN760" s="114" t="n"/>
      <c r="CO760" s="106" t="n"/>
      <c r="CP760" s="114" t="n">
        <v>0</v>
      </c>
      <c r="CQ760" s="114" t="n">
        <v>3618152.06</v>
      </c>
      <c r="CR760" s="114" t="n">
        <v>0</v>
      </c>
      <c r="CS760" s="114" t="n">
        <v>0</v>
      </c>
      <c r="CT760" s="114" t="n">
        <v>0</v>
      </c>
      <c r="CU760" s="114" t="n"/>
      <c r="CV760" s="114" t="n"/>
      <c r="CW760" s="115" t="n">
        <v>251128.49</v>
      </c>
      <c r="CX760" s="3" t="n">
        <f aca="false" ca="false" dt2D="false" dtr="false" t="normal">+N760-CH760</f>
        <v>-251128.49000000022</v>
      </c>
      <c r="CZ760" s="104" t="s">
        <v>706</v>
      </c>
      <c r="DA760" s="186" t="n">
        <f aca="false" ca="true" dt2D="false" dtr="false" t="normal">SUBTOTAL(9, DB760:DP760)</f>
        <v>9276766.72</v>
      </c>
      <c r="DB760" s="106" t="n">
        <v>4337466.13</v>
      </c>
      <c r="DC760" s="114" t="n"/>
      <c r="DD760" s="114" t="n">
        <v>1321148.53</v>
      </c>
      <c r="DE760" s="114" t="n"/>
      <c r="DF760" s="114" t="n">
        <v>0</v>
      </c>
      <c r="DG760" s="114" t="n"/>
      <c r="DH760" s="106" t="n"/>
      <c r="DI760" s="114" t="n">
        <v>0</v>
      </c>
      <c r="DJ760" s="114" t="n">
        <v>3618152.06</v>
      </c>
      <c r="DK760" s="114" t="n">
        <v>0</v>
      </c>
      <c r="DL760" s="114" t="n">
        <v>0</v>
      </c>
      <c r="DM760" s="114" t="n">
        <v>0</v>
      </c>
      <c r="DN760" s="114" t="n"/>
      <c r="DO760" s="114" t="n"/>
      <c r="DP760" s="240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</row>
    <row customFormat="true" hidden="false" ht="15" outlineLevel="0" r="761" s="1">
      <c r="A761" s="183" t="n">
        <f aca="false" ca="false" dt2D="false" dtr="false" t="normal">+A760+1</f>
        <v>739</v>
      </c>
      <c r="B761" s="117" t="n">
        <f aca="false" ca="false" dt2D="false" dtr="false" t="normal">+B760+1</f>
        <v>279</v>
      </c>
      <c r="C761" s="117" t="s">
        <v>227</v>
      </c>
      <c r="D761" s="117" t="s">
        <v>707</v>
      </c>
      <c r="E761" s="201" t="n">
        <v>1971</v>
      </c>
      <c r="F761" s="201" t="n">
        <v>1971</v>
      </c>
      <c r="G761" s="201" t="s">
        <v>68</v>
      </c>
      <c r="H761" s="201" t="n">
        <v>4</v>
      </c>
      <c r="I761" s="201" t="n">
        <v>2</v>
      </c>
      <c r="J761" s="114" t="n">
        <v>1403.6</v>
      </c>
      <c r="K761" s="114" t="n">
        <v>1280.1</v>
      </c>
      <c r="L761" s="114" t="n">
        <v>42.7</v>
      </c>
      <c r="M761" s="202" t="n">
        <v>67</v>
      </c>
      <c r="N761" s="108" t="n">
        <f aca="false" ca="false" dt2D="false" dtr="false" t="normal">SUM(P761:T761)</f>
        <v>5965831.21</v>
      </c>
      <c r="O761" s="114" t="n"/>
      <c r="P761" s="114" t="n"/>
      <c r="Q761" s="114" t="n"/>
      <c r="R761" s="113" t="n">
        <v>844721.03</v>
      </c>
      <c r="S761" s="113" t="n">
        <v>4998608.3</v>
      </c>
      <c r="T761" s="113" t="n">
        <v>122501.88</v>
      </c>
      <c r="U761" s="114" t="n">
        <v>4915.50928747394</v>
      </c>
      <c r="V761" s="114" t="n">
        <v>1393.283020064</v>
      </c>
      <c r="W761" s="110" t="n">
        <v>2024</v>
      </c>
      <c r="X761" s="9" t="e">
        <f aca="false" ca="false" dt2D="false" dtr="false" t="normal">+#REF!-'[9]Приложение №1'!$P1844</f>
        <v>#REF!</v>
      </c>
      <c r="Z761" s="113" t="n">
        <f aca="false" ca="false" dt2D="false" dtr="false" t="normal">SUM(AA761:AO761)</f>
        <v>9191213.391622601</v>
      </c>
      <c r="AA761" s="106" t="n">
        <v>3593084.31309828</v>
      </c>
      <c r="AB761" s="106" t="n">
        <v>1317593.61677916</v>
      </c>
      <c r="AC761" s="106" t="n">
        <v>1376576.13711912</v>
      </c>
      <c r="AD761" s="106" t="n">
        <v>861839.95216704</v>
      </c>
      <c r="AE761" s="106" t="n">
        <v>0</v>
      </c>
      <c r="AF761" s="106" t="n"/>
      <c r="AG761" s="106" t="n">
        <v>118617.8097426</v>
      </c>
      <c r="AH761" s="106" t="n">
        <v>0</v>
      </c>
      <c r="AI761" s="106" t="n"/>
      <c r="AJ761" s="106" t="n">
        <v>0</v>
      </c>
      <c r="AK761" s="106" t="n">
        <v>0</v>
      </c>
      <c r="AL761" s="106" t="n">
        <v>0</v>
      </c>
      <c r="AM761" s="106" t="n">
        <v>1457239.736</v>
      </c>
      <c r="AN761" s="114" t="n">
        <v>159509.638</v>
      </c>
      <c r="AO761" s="115" t="n">
        <v>306752.1887164</v>
      </c>
      <c r="AP761" s="112" t="n">
        <f aca="false" ca="false" dt2D="false" dtr="false" t="normal">+N761-'Приложение №2'!E761</f>
        <v>0</v>
      </c>
      <c r="AQ761" s="9" t="n">
        <f aca="false" ca="false" dt2D="false" dtr="false" t="normal">698475.98</f>
        <v>698475.98</v>
      </c>
      <c r="AR761" s="3" t="n">
        <f aca="false" ca="false" dt2D="false" dtr="false" t="normal">+(K761*10.5+L761*21)*12*0.85</f>
        <v>146245.05</v>
      </c>
      <c r="AS761" s="3" t="n">
        <f aca="false" ca="false" dt2D="false" dtr="false" t="normal">+(K761*10.5+L761*21)*12*30</f>
        <v>5161590</v>
      </c>
      <c r="AT761" s="9" t="n">
        <f aca="false" ca="false" dt2D="false" dtr="false" t="normal">+S761-AS761</f>
        <v>-162981.7000000002</v>
      </c>
      <c r="AU761" s="9" t="e">
        <f aca="false" ca="false" dt2D="false" dtr="false" t="normal">+P761-'[5]Приложение №1'!$P673</f>
        <v>#REF!</v>
      </c>
      <c r="AV761" s="9" t="e">
        <f aca="false" ca="false" dt2D="false" dtr="false" t="normal">+Q761-'[5]Приложение №1'!$Q673</f>
        <v>#REF!</v>
      </c>
      <c r="AW761" s="186" t="n">
        <f aca="false" ca="true" dt2D="false" dtr="false" t="normal">SUBTOTAL(9, AX761:BL761)</f>
        <v>6292343.438895393</v>
      </c>
      <c r="AX761" s="106" t="n">
        <v>4579944.07</v>
      </c>
      <c r="AY761" s="106" t="n">
        <v>0</v>
      </c>
      <c r="AZ761" s="106" t="n">
        <v>1495590.896184</v>
      </c>
      <c r="BA761" s="106" t="n">
        <v>0</v>
      </c>
      <c r="BB761" s="106" t="n">
        <v>0</v>
      </c>
      <c r="BC761" s="106" t="n"/>
      <c r="BD761" s="106" t="n">
        <v>124902.411317995</v>
      </c>
      <c r="BE761" s="106" t="n">
        <v>0</v>
      </c>
      <c r="BF761" s="106" t="n"/>
      <c r="BG761" s="106" t="n">
        <v>0</v>
      </c>
      <c r="BH761" s="106" t="n">
        <v>0</v>
      </c>
      <c r="BI761" s="106" t="n">
        <v>0</v>
      </c>
      <c r="BJ761" s="106" t="n"/>
      <c r="BK761" s="114" t="n"/>
      <c r="BL761" s="115" t="n">
        <v>91906.0613933974</v>
      </c>
      <c r="BM761" s="186" t="n">
        <f aca="false" ca="true" dt2D="false" dtr="false" t="normal">SUBTOTAL(9, BN761:CB761)</f>
        <v>6292343.438895393</v>
      </c>
      <c r="BN761" s="106" t="n">
        <v>4579944.07</v>
      </c>
      <c r="BO761" s="106" t="n">
        <v>0</v>
      </c>
      <c r="BP761" s="106" t="n">
        <v>1495590.896184</v>
      </c>
      <c r="BQ761" s="106" t="n">
        <v>0</v>
      </c>
      <c r="BR761" s="106" t="n">
        <v>0</v>
      </c>
      <c r="BS761" s="106" t="n"/>
      <c r="BT761" s="106" t="n">
        <v>124902.411317995</v>
      </c>
      <c r="BU761" s="106" t="n">
        <v>0</v>
      </c>
      <c r="BV761" s="106" t="n"/>
      <c r="BW761" s="106" t="n">
        <v>0</v>
      </c>
      <c r="BX761" s="106" t="n">
        <v>0</v>
      </c>
      <c r="BY761" s="106" t="n">
        <v>0</v>
      </c>
      <c r="BZ761" s="106" t="n"/>
      <c r="CA761" s="114" t="n"/>
      <c r="CB761" s="115" t="n">
        <v>91906.0613933974</v>
      </c>
      <c r="CD761" s="116" t="e">
        <f aca="false" ca="false" dt2D="false" dtr="false" t="normal">+CD760+1</f>
        <v>#REF!</v>
      </c>
      <c r="CE761" s="117" t="e">
        <f aca="false" ca="false" dt2D="false" dtr="false" t="normal">+CE760+1</f>
        <v>#REF!</v>
      </c>
      <c r="CF761" s="104" t="s">
        <v>227</v>
      </c>
      <c r="CG761" s="104" t="s">
        <v>707</v>
      </c>
      <c r="CH761" s="232" t="n">
        <f aca="false" ca="true" dt2D="false" dtr="false" t="normal">SUBTOTAL(9, CI761:CW761)</f>
        <v>6057737.27</v>
      </c>
      <c r="CI761" s="106" t="n">
        <v>4587451.87</v>
      </c>
      <c r="CJ761" s="114" t="n">
        <v>0</v>
      </c>
      <c r="CK761" s="114" t="n">
        <v>1378379.34</v>
      </c>
      <c r="CL761" s="114" t="n">
        <v>0</v>
      </c>
      <c r="CM761" s="114" t="n">
        <v>0</v>
      </c>
      <c r="CN761" s="114" t="n"/>
      <c r="CO761" s="106" t="n"/>
      <c r="CP761" s="114" t="n">
        <v>0</v>
      </c>
      <c r="CQ761" s="114" t="n"/>
      <c r="CR761" s="114" t="n">
        <v>0</v>
      </c>
      <c r="CS761" s="114" t="n">
        <v>0</v>
      </c>
      <c r="CT761" s="114" t="n">
        <v>0</v>
      </c>
      <c r="CU761" s="114" t="n"/>
      <c r="CV761" s="114" t="n"/>
      <c r="CW761" s="115" t="n">
        <v>91906.06</v>
      </c>
      <c r="CX761" s="3" t="n">
        <f aca="false" ca="false" dt2D="false" dtr="false" t="normal">+N761-CH761</f>
        <v>-91906.05999999959</v>
      </c>
      <c r="CZ761" s="104" t="s">
        <v>707</v>
      </c>
      <c r="DA761" s="186" t="n">
        <f aca="false" ca="true" dt2D="false" dtr="false" t="normal">SUBTOTAL(9, DB761:DP761)</f>
        <v>5965831.21</v>
      </c>
      <c r="DB761" s="106" t="n">
        <v>4587451.87</v>
      </c>
      <c r="DC761" s="114" t="n">
        <v>0</v>
      </c>
      <c r="DD761" s="114" t="n">
        <v>1378379.34</v>
      </c>
      <c r="DE761" s="114" t="n">
        <v>0</v>
      </c>
      <c r="DF761" s="114" t="n">
        <v>0</v>
      </c>
      <c r="DG761" s="114" t="n"/>
      <c r="DH761" s="106" t="n"/>
      <c r="DI761" s="114" t="n">
        <v>0</v>
      </c>
      <c r="DJ761" s="114" t="n"/>
      <c r="DK761" s="114" t="n">
        <v>0</v>
      </c>
      <c r="DL761" s="114" t="n">
        <v>0</v>
      </c>
      <c r="DM761" s="114" t="n">
        <v>0</v>
      </c>
      <c r="DN761" s="114" t="n"/>
      <c r="DO761" s="114" t="n"/>
      <c r="DP761" s="240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</row>
    <row customFormat="true" hidden="false" ht="15" outlineLevel="0" r="762" s="1">
      <c r="A762" s="183" t="n">
        <f aca="false" ca="false" dt2D="false" dtr="false" t="normal">+A761+1</f>
        <v>740</v>
      </c>
      <c r="B762" s="117" t="n">
        <f aca="false" ca="false" dt2D="false" dtr="false" t="normal">+B761+1</f>
        <v>280</v>
      </c>
      <c r="C762" s="117" t="s">
        <v>227</v>
      </c>
      <c r="D762" s="117" t="s">
        <v>708</v>
      </c>
      <c r="E762" s="201" t="n">
        <v>1971</v>
      </c>
      <c r="F762" s="201" t="n">
        <v>2015</v>
      </c>
      <c r="G762" s="201" t="s">
        <v>68</v>
      </c>
      <c r="H762" s="201" t="n">
        <v>4</v>
      </c>
      <c r="I762" s="201" t="n">
        <v>1</v>
      </c>
      <c r="J762" s="114" t="n">
        <v>2344</v>
      </c>
      <c r="K762" s="114" t="n">
        <v>1634.9</v>
      </c>
      <c r="L762" s="114" t="n">
        <v>427.9</v>
      </c>
      <c r="M762" s="202" t="n">
        <v>68</v>
      </c>
      <c r="N762" s="108" t="n">
        <f aca="false" ca="false" dt2D="false" dtr="false" t="normal">SUM(P762:T762)</f>
        <v>12234286.129999999</v>
      </c>
      <c r="O762" s="114" t="n"/>
      <c r="P762" s="113" t="n">
        <v>417931.19</v>
      </c>
      <c r="Q762" s="114" t="n"/>
      <c r="R762" s="113" t="n">
        <v>1717171.88</v>
      </c>
      <c r="S762" s="113" t="n">
        <v>8993144.86</v>
      </c>
      <c r="T762" s="113" t="n">
        <v>1106038.2</v>
      </c>
      <c r="U762" s="114" t="n">
        <v>7053.84468664062</v>
      </c>
      <c r="V762" s="114" t="n">
        <v>1395.283020064</v>
      </c>
      <c r="W762" s="110" t="n">
        <v>2024</v>
      </c>
      <c r="X762" s="9" t="e">
        <f aca="false" ca="false" dt2D="false" dtr="false" t="normal">+#REF!-'[9]Приложение №1'!$P1845</f>
        <v>#REF!</v>
      </c>
      <c r="Z762" s="113" t="n">
        <f aca="false" ca="false" dt2D="false" dtr="false" t="normal">SUM(AA762:AO762)</f>
        <v>25262253.21</v>
      </c>
      <c r="AA762" s="106" t="n">
        <v>5690527.9739763</v>
      </c>
      <c r="AB762" s="106" t="n">
        <v>2086731.80516724</v>
      </c>
      <c r="AC762" s="106" t="n">
        <v>2180145.06193554</v>
      </c>
      <c r="AD762" s="106" t="n">
        <v>1364934.3932784</v>
      </c>
      <c r="AE762" s="106" t="n">
        <v>0</v>
      </c>
      <c r="AF762" s="106" t="n"/>
      <c r="AG762" s="106" t="n">
        <v>187860.32184276</v>
      </c>
      <c r="AH762" s="106" t="n">
        <v>0</v>
      </c>
      <c r="AI762" s="106" t="n">
        <v>10705718.3895648</v>
      </c>
      <c r="AJ762" s="106" t="n">
        <v>0</v>
      </c>
      <c r="AK762" s="106" t="n">
        <v>0</v>
      </c>
      <c r="AL762" s="106" t="n">
        <v>0</v>
      </c>
      <c r="AM762" s="106" t="n">
        <v>2307895.6015</v>
      </c>
      <c r="AN762" s="114" t="n">
        <v>252622.5321</v>
      </c>
      <c r="AO762" s="115" t="n">
        <v>485817.13063496</v>
      </c>
      <c r="AP762" s="112" t="n">
        <f aca="false" ca="false" dt2D="false" dtr="false" t="normal">+N762-'Приложение №2'!E762</f>
        <v>0</v>
      </c>
      <c r="AQ762" s="9" t="n">
        <f aca="false" ca="false" dt2D="false" dtr="false" t="normal">1516969.84</f>
        <v>1516969.84</v>
      </c>
      <c r="AR762" s="3" t="n">
        <f aca="false" ca="false" dt2D="false" dtr="false" t="normal">+(K762*10.5+L762*21)*12*0.85</f>
        <v>266753.97</v>
      </c>
      <c r="AS762" s="3" t="n">
        <f aca="false" ca="false" dt2D="false" dtr="false" t="normal">+(K762*10.5+L762*21)*12*30</f>
        <v>9414845.999999998</v>
      </c>
      <c r="AT762" s="9" t="n">
        <f aca="false" ca="false" dt2D="false" dtr="false" t="normal">+S762-AS762</f>
        <v>-421701.13999999873</v>
      </c>
      <c r="AU762" s="9" t="e">
        <f aca="false" ca="false" dt2D="false" dtr="false" t="normal">+P762-'[5]Приложение №1'!$P675</f>
        <v>#REF!</v>
      </c>
      <c r="AV762" s="9" t="e">
        <f aca="false" ca="false" dt2D="false" dtr="false" t="normal">+Q762-'[5]Приложение №1'!$Q675</f>
        <v>#REF!</v>
      </c>
      <c r="AW762" s="186" t="n">
        <f aca="false" ca="true" dt2D="false" dtr="false" t="normal">SUBTOTAL(9, AX762:BL762)</f>
        <v>11532330.67818876</v>
      </c>
      <c r="AX762" s="106" t="n">
        <v>6199194.511524</v>
      </c>
      <c r="AY762" s="106" t="n">
        <v>2285392.44591</v>
      </c>
      <c r="AZ762" s="106" t="n">
        <v>2416203.845538</v>
      </c>
      <c r="BA762" s="106" t="n"/>
      <c r="BB762" s="106" t="n">
        <v>0</v>
      </c>
      <c r="BC762" s="106" t="n"/>
      <c r="BD762" s="106" t="n">
        <v>187860.32184276</v>
      </c>
      <c r="BE762" s="106" t="n">
        <v>0</v>
      </c>
      <c r="BF762" s="106" t="n"/>
      <c r="BG762" s="106" t="n">
        <v>0</v>
      </c>
      <c r="BH762" s="106" t="n">
        <v>0</v>
      </c>
      <c r="BI762" s="106" t="n">
        <v>0</v>
      </c>
      <c r="BJ762" s="106" t="n"/>
      <c r="BK762" s="114" t="n"/>
      <c r="BL762" s="115" t="n">
        <v>443679.553374</v>
      </c>
      <c r="BM762" s="186" t="n">
        <f aca="false" ca="true" dt2D="false" dtr="false" t="normal">SUBTOTAL(9, BN762:CB762)</f>
        <v>11532330.67818876</v>
      </c>
      <c r="BN762" s="106" t="n">
        <v>6199194.511524</v>
      </c>
      <c r="BO762" s="106" t="n">
        <v>2285392.44591</v>
      </c>
      <c r="BP762" s="106" t="n">
        <v>2416203.845538</v>
      </c>
      <c r="BQ762" s="106" t="n"/>
      <c r="BR762" s="106" t="n">
        <v>0</v>
      </c>
      <c r="BS762" s="106" t="n"/>
      <c r="BT762" s="106" t="n">
        <v>187860.32184276</v>
      </c>
      <c r="BU762" s="106" t="n">
        <v>0</v>
      </c>
      <c r="BV762" s="106" t="n"/>
      <c r="BW762" s="106" t="n">
        <v>0</v>
      </c>
      <c r="BX762" s="106" t="n">
        <v>0</v>
      </c>
      <c r="BY762" s="106" t="n">
        <v>0</v>
      </c>
      <c r="BZ762" s="106" t="n"/>
      <c r="CA762" s="114" t="n"/>
      <c r="CB762" s="115" t="n">
        <v>443679.553374</v>
      </c>
      <c r="CD762" s="116" t="e">
        <f aca="false" ca="false" dt2D="false" dtr="false" t="normal">+CD761+1</f>
        <v>#REF!</v>
      </c>
      <c r="CE762" s="117" t="e">
        <f aca="false" ca="false" dt2D="false" dtr="false" t="normal">+CE761+1</f>
        <v>#REF!</v>
      </c>
      <c r="CF762" s="104" t="s">
        <v>227</v>
      </c>
      <c r="CG762" s="104" t="s">
        <v>708</v>
      </c>
      <c r="CH762" s="232" t="n">
        <f aca="false" ca="true" dt2D="false" dtr="false" t="normal">SUBTOTAL(9, CI762:CW762)</f>
        <v>12677965.68</v>
      </c>
      <c r="CI762" s="192" t="n">
        <v>7150709.46</v>
      </c>
      <c r="CJ762" s="243" t="n">
        <v>3391430.65</v>
      </c>
      <c r="CK762" s="243" t="n">
        <v>1692146.02</v>
      </c>
      <c r="CL762" s="114" t="n"/>
      <c r="CM762" s="114" t="n">
        <v>0</v>
      </c>
      <c r="CN762" s="114" t="n"/>
      <c r="CO762" s="106" t="n"/>
      <c r="CP762" s="114" t="n">
        <v>0</v>
      </c>
      <c r="CQ762" s="114" t="n"/>
      <c r="CR762" s="114" t="n">
        <v>0</v>
      </c>
      <c r="CS762" s="114" t="n">
        <v>0</v>
      </c>
      <c r="CT762" s="114" t="n">
        <v>0</v>
      </c>
      <c r="CU762" s="114" t="n"/>
      <c r="CV762" s="114" t="n"/>
      <c r="CW762" s="115" t="n">
        <v>443679.55</v>
      </c>
      <c r="CX762" s="3" t="n">
        <f aca="false" ca="false" dt2D="false" dtr="false" t="normal">+N762-CH762</f>
        <v>-443679.55000000075</v>
      </c>
      <c r="CZ762" s="104" t="s">
        <v>708</v>
      </c>
      <c r="DA762" s="186" t="n">
        <f aca="false" ca="true" dt2D="false" dtr="false" t="normal">SUBTOTAL(9, DB762:DP762)</f>
        <v>12234286.129999999</v>
      </c>
      <c r="DB762" s="192" t="n">
        <v>7150709.46</v>
      </c>
      <c r="DC762" s="243" t="n">
        <v>3391430.65</v>
      </c>
      <c r="DD762" s="243" t="n">
        <v>1692146.02</v>
      </c>
      <c r="DE762" s="114" t="n"/>
      <c r="DF762" s="114" t="n">
        <v>0</v>
      </c>
      <c r="DG762" s="114" t="n"/>
      <c r="DH762" s="106" t="n"/>
      <c r="DI762" s="114" t="n">
        <v>0</v>
      </c>
      <c r="DJ762" s="114" t="n"/>
      <c r="DK762" s="114" t="n">
        <v>0</v>
      </c>
      <c r="DL762" s="114" t="n">
        <v>0</v>
      </c>
      <c r="DM762" s="114" t="n">
        <v>0</v>
      </c>
      <c r="DN762" s="114" t="n"/>
      <c r="DO762" s="114" t="n"/>
      <c r="DP762" s="240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</row>
    <row customFormat="true" hidden="false" ht="15" outlineLevel="0" r="763" s="1">
      <c r="A763" s="183" t="n">
        <f aca="false" ca="false" dt2D="false" dtr="false" t="normal">+A762+1</f>
        <v>741</v>
      </c>
      <c r="B763" s="117" t="n">
        <f aca="false" ca="false" dt2D="false" dtr="false" t="normal">+B762+1</f>
        <v>281</v>
      </c>
      <c r="C763" s="117" t="s">
        <v>227</v>
      </c>
      <c r="D763" s="117" t="s">
        <v>709</v>
      </c>
      <c r="E763" s="201" t="n">
        <v>1970</v>
      </c>
      <c r="F763" s="201" t="n">
        <v>2015</v>
      </c>
      <c r="G763" s="201" t="s">
        <v>68</v>
      </c>
      <c r="H763" s="201" t="n">
        <v>4</v>
      </c>
      <c r="I763" s="201" t="n">
        <v>2</v>
      </c>
      <c r="J763" s="114" t="n">
        <v>1403.6</v>
      </c>
      <c r="K763" s="114" t="n">
        <v>1288.25</v>
      </c>
      <c r="L763" s="114" t="n">
        <v>0</v>
      </c>
      <c r="M763" s="202" t="n">
        <v>53</v>
      </c>
      <c r="N763" s="108" t="n">
        <f aca="false" ca="false" dt2D="false" dtr="false" t="normal">SUM(P763:T763)</f>
        <v>5653555.06</v>
      </c>
      <c r="O763" s="114" t="n"/>
      <c r="P763" s="113" t="n">
        <v>182520.68</v>
      </c>
      <c r="Q763" s="114" t="n"/>
      <c r="R763" s="113" t="n">
        <v>829970.99</v>
      </c>
      <c r="S763" s="113" t="n">
        <v>4641063.39</v>
      </c>
      <c r="T763" s="113" t="n">
        <v>0</v>
      </c>
      <c r="U763" s="114" t="n">
        <v>4457.55302986843</v>
      </c>
      <c r="V763" s="114" t="n">
        <v>1396.283020064</v>
      </c>
      <c r="W763" s="110" t="n">
        <v>2024</v>
      </c>
      <c r="X763" s="9" t="e">
        <f aca="false" ca="false" dt2D="false" dtr="false" t="normal">+#REF!-'[9]Приложение №1'!$P1849</f>
        <v>#REF!</v>
      </c>
      <c r="Z763" s="113" t="n">
        <f aca="false" ca="false" dt2D="false" dtr="false" t="normal">SUM(AA763:AO763)</f>
        <v>16293169.239999998</v>
      </c>
      <c r="AA763" s="106" t="n">
        <v>3670168.87593174</v>
      </c>
      <c r="AB763" s="106" t="n">
        <v>1345860.72497352</v>
      </c>
      <c r="AC763" s="106" t="n">
        <v>1406108.636961</v>
      </c>
      <c r="AD763" s="106" t="n">
        <v>880329.51331248</v>
      </c>
      <c r="AE763" s="106" t="n">
        <v>0</v>
      </c>
      <c r="AF763" s="106" t="n"/>
      <c r="AG763" s="106" t="n">
        <v>121162.5905406</v>
      </c>
      <c r="AH763" s="106" t="n">
        <v>0</v>
      </c>
      <c r="AI763" s="106" t="n">
        <v>6904771.3217196</v>
      </c>
      <c r="AJ763" s="106" t="n">
        <v>0</v>
      </c>
      <c r="AK763" s="106" t="n">
        <v>0</v>
      </c>
      <c r="AL763" s="106" t="n">
        <v>0</v>
      </c>
      <c r="AM763" s="106" t="n">
        <v>1488502.7597</v>
      </c>
      <c r="AN763" s="114" t="n">
        <v>162931.6924</v>
      </c>
      <c r="AO763" s="115" t="n">
        <v>313333.12446106</v>
      </c>
      <c r="AP763" s="112" t="n">
        <f aca="false" ca="false" dt2D="false" dtr="false" t="normal">+N763-'Приложение №2'!E763</f>
        <v>0</v>
      </c>
      <c r="AQ763" s="9" t="n">
        <f aca="false" ca="false" dt2D="false" dtr="false" t="normal">699460.82</f>
        <v>699460.82</v>
      </c>
      <c r="AR763" s="3" t="n">
        <f aca="false" ca="false" dt2D="false" dtr="false" t="normal">+(K763*10.5+L763*21)*12*0.85</f>
        <v>137971.57499999998</v>
      </c>
      <c r="AS763" s="3" t="n">
        <f aca="false" ca="false" dt2D="false" dtr="false" t="normal">+(K763*10.5+L763*21)*12*30</f>
        <v>4869585</v>
      </c>
      <c r="AT763" s="9" t="n">
        <f aca="false" ca="false" dt2D="false" dtr="false" t="normal">+S763-AS763</f>
        <v>-228521.61000000034</v>
      </c>
      <c r="AU763" s="9" t="e">
        <f aca="false" ca="false" dt2D="false" dtr="false" t="normal">+P763-'[5]Приложение №1'!$P676</f>
        <v>#REF!</v>
      </c>
      <c r="AV763" s="9" t="e">
        <f aca="false" ca="false" dt2D="false" dtr="false" t="normal">+Q763-'[5]Приложение №1'!$Q676</f>
        <v>#REF!</v>
      </c>
      <c r="AW763" s="186" t="n">
        <f aca="false" ca="true" dt2D="false" dtr="false" t="normal">SUBTOTAL(9, AX763:BL763)</f>
        <v>5742442.690728</v>
      </c>
      <c r="AX763" s="106" t="n">
        <v>3982032.601974</v>
      </c>
      <c r="AY763" s="106" t="n"/>
      <c r="AZ763" s="106" t="n">
        <v>1551107.314554</v>
      </c>
      <c r="BA763" s="106" t="n"/>
      <c r="BB763" s="106" t="n">
        <v>0</v>
      </c>
      <c r="BC763" s="106" t="n"/>
      <c r="BD763" s="106" t="n">
        <v>121162.5905406</v>
      </c>
      <c r="BE763" s="106" t="n">
        <v>0</v>
      </c>
      <c r="BF763" s="106" t="n"/>
      <c r="BG763" s="106" t="n">
        <v>0</v>
      </c>
      <c r="BH763" s="106" t="n">
        <v>0</v>
      </c>
      <c r="BI763" s="106" t="n">
        <v>0</v>
      </c>
      <c r="BJ763" s="106" t="n"/>
      <c r="BK763" s="114" t="n"/>
      <c r="BL763" s="115" t="n">
        <v>88140.1836594</v>
      </c>
      <c r="BM763" s="186" t="n">
        <f aca="false" ca="true" dt2D="false" dtr="false" t="normal">SUBTOTAL(9, BN763:CB763)</f>
        <v>5742442.690728</v>
      </c>
      <c r="BN763" s="106" t="n">
        <v>3982032.601974</v>
      </c>
      <c r="BO763" s="106" t="n"/>
      <c r="BP763" s="106" t="n">
        <v>1551107.314554</v>
      </c>
      <c r="BQ763" s="106" t="n"/>
      <c r="BR763" s="106" t="n">
        <v>0</v>
      </c>
      <c r="BS763" s="106" t="n"/>
      <c r="BT763" s="106" t="n">
        <v>121162.5905406</v>
      </c>
      <c r="BU763" s="106" t="n">
        <v>0</v>
      </c>
      <c r="BV763" s="106" t="n"/>
      <c r="BW763" s="106" t="n">
        <v>0</v>
      </c>
      <c r="BX763" s="106" t="n">
        <v>0</v>
      </c>
      <c r="BY763" s="106" t="n">
        <v>0</v>
      </c>
      <c r="BZ763" s="106" t="n"/>
      <c r="CA763" s="114" t="n"/>
      <c r="CB763" s="115" t="n">
        <v>88140.1836594</v>
      </c>
      <c r="CD763" s="116" t="e">
        <f aca="false" ca="false" dt2D="false" dtr="false" t="normal">+CD762+1</f>
        <v>#REF!</v>
      </c>
      <c r="CE763" s="117" t="e">
        <f aca="false" ca="false" dt2D="false" dtr="false" t="normal">+CE762+1</f>
        <v>#REF!</v>
      </c>
      <c r="CF763" s="104" t="s">
        <v>227</v>
      </c>
      <c r="CG763" s="104" t="s">
        <v>709</v>
      </c>
      <c r="CH763" s="232" t="n">
        <f aca="false" ca="true" dt2D="false" dtr="false" t="normal">SUBTOTAL(9, CI763:CW763)</f>
        <v>5741695.24</v>
      </c>
      <c r="CI763" s="192" t="n">
        <v>4463916.36</v>
      </c>
      <c r="CJ763" s="114" t="n"/>
      <c r="CK763" s="243" t="n">
        <v>1189638.7</v>
      </c>
      <c r="CL763" s="114" t="n"/>
      <c r="CM763" s="114" t="n">
        <v>0</v>
      </c>
      <c r="CN763" s="114" t="n"/>
      <c r="CO763" s="106" t="n"/>
      <c r="CP763" s="114" t="n">
        <v>0</v>
      </c>
      <c r="CQ763" s="114" t="n"/>
      <c r="CR763" s="114" t="n">
        <v>0</v>
      </c>
      <c r="CS763" s="114" t="n">
        <v>0</v>
      </c>
      <c r="CT763" s="114" t="n">
        <v>0</v>
      </c>
      <c r="CU763" s="114" t="n"/>
      <c r="CV763" s="114" t="n"/>
      <c r="CW763" s="115" t="n">
        <v>88140.18</v>
      </c>
      <c r="CX763" s="3" t="n">
        <f aca="false" ca="false" dt2D="false" dtr="false" t="normal">+N763-CH763</f>
        <v>-88140.18000000063</v>
      </c>
      <c r="CZ763" s="104" t="s">
        <v>709</v>
      </c>
      <c r="DA763" s="186" t="n">
        <f aca="false" ca="true" dt2D="false" dtr="false" t="normal">SUBTOTAL(9, DB763:DP763)</f>
        <v>5653555.0600000005</v>
      </c>
      <c r="DB763" s="192" t="n">
        <v>4463916.36</v>
      </c>
      <c r="DC763" s="114" t="n"/>
      <c r="DD763" s="243" t="n">
        <v>1189638.7</v>
      </c>
      <c r="DE763" s="114" t="n"/>
      <c r="DF763" s="114" t="n">
        <v>0</v>
      </c>
      <c r="DG763" s="114" t="n"/>
      <c r="DH763" s="106" t="n"/>
      <c r="DI763" s="114" t="n">
        <v>0</v>
      </c>
      <c r="DJ763" s="114" t="n"/>
      <c r="DK763" s="114" t="n">
        <v>0</v>
      </c>
      <c r="DL763" s="114" t="n">
        <v>0</v>
      </c>
      <c r="DM763" s="114" t="n">
        <v>0</v>
      </c>
      <c r="DN763" s="114" t="n"/>
      <c r="DO763" s="114" t="n"/>
      <c r="DP763" s="240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</row>
    <row customFormat="true" hidden="false" ht="15" outlineLevel="0" r="764" s="1">
      <c r="A764" s="183" t="n">
        <f aca="false" ca="false" dt2D="false" dtr="false" t="normal">+A763+1</f>
        <v>742</v>
      </c>
      <c r="B764" s="117" t="n">
        <f aca="false" ca="false" dt2D="false" dtr="false" t="normal">+B763+1</f>
        <v>282</v>
      </c>
      <c r="C764" s="117" t="s">
        <v>227</v>
      </c>
      <c r="D764" s="117" t="s">
        <v>710</v>
      </c>
      <c r="E764" s="201" t="n">
        <v>1970</v>
      </c>
      <c r="F764" s="201" t="n">
        <v>2015</v>
      </c>
      <c r="G764" s="201" t="s">
        <v>68</v>
      </c>
      <c r="H764" s="201" t="n">
        <v>4</v>
      </c>
      <c r="I764" s="201" t="n">
        <v>2</v>
      </c>
      <c r="J764" s="114" t="n">
        <v>1397.9</v>
      </c>
      <c r="K764" s="114" t="n">
        <v>1284</v>
      </c>
      <c r="L764" s="114" t="n">
        <v>0</v>
      </c>
      <c r="M764" s="202" t="n">
        <v>70</v>
      </c>
      <c r="N764" s="108" t="n">
        <f aca="false" ca="false" dt2D="false" dtr="false" t="normal">SUM(P764:T764)</f>
        <v>13827121.059999999</v>
      </c>
      <c r="O764" s="114" t="n"/>
      <c r="P764" s="113" t="n">
        <v>1025873.12</v>
      </c>
      <c r="Q764" s="114" t="n"/>
      <c r="R764" s="113" t="n">
        <v>119423</v>
      </c>
      <c r="S764" s="113" t="n">
        <v>4788972.81</v>
      </c>
      <c r="T764" s="113" t="n">
        <v>7892852.13</v>
      </c>
      <c r="U764" s="114" t="n">
        <v>9459.27624782643</v>
      </c>
      <c r="V764" s="114" t="n">
        <v>1397.283020064</v>
      </c>
      <c r="W764" s="110" t="n">
        <v>2024</v>
      </c>
      <c r="X764" s="9" t="e">
        <f aca="false" ca="false" dt2D="false" dtr="false" t="normal">+#REF!-'[9]Приложение №1'!$P1850</f>
        <v>#REF!</v>
      </c>
      <c r="Z764" s="113" t="n">
        <f aca="false" ca="false" dt2D="false" dtr="false" t="normal">SUM(AA764:AO764)</f>
        <v>16240473.409999998</v>
      </c>
      <c r="AA764" s="106" t="n">
        <v>3658298.7075726</v>
      </c>
      <c r="AB764" s="106" t="n">
        <v>1341507.90591048</v>
      </c>
      <c r="AC764" s="106" t="n">
        <v>1401560.95935954</v>
      </c>
      <c r="AD764" s="106" t="n">
        <v>877482.3267168</v>
      </c>
      <c r="AE764" s="106" t="n">
        <v>0</v>
      </c>
      <c r="AF764" s="106" t="n"/>
      <c r="AG764" s="106" t="n">
        <v>120770.72210952</v>
      </c>
      <c r="AH764" s="106" t="n">
        <v>0</v>
      </c>
      <c r="AI764" s="106" t="n">
        <v>6882439.7186496</v>
      </c>
      <c r="AJ764" s="106" t="n">
        <v>0</v>
      </c>
      <c r="AK764" s="106" t="n">
        <v>0</v>
      </c>
      <c r="AL764" s="106" t="n">
        <v>0</v>
      </c>
      <c r="AM764" s="106" t="n">
        <v>1483688.602</v>
      </c>
      <c r="AN764" s="114" t="n">
        <v>162404.7341</v>
      </c>
      <c r="AO764" s="115" t="n">
        <v>312319.73358146</v>
      </c>
      <c r="AP764" s="112" t="n">
        <f aca="false" ca="false" dt2D="false" dtr="false" t="normal">+N764-'Приложение №2'!E764</f>
        <v>0</v>
      </c>
      <c r="AQ764" s="9" t="n">
        <f aca="false" ca="false" dt2D="false" dtr="false" t="normal">676023.93</f>
        <v>676023.93</v>
      </c>
      <c r="AR764" s="3" t="n">
        <f aca="false" ca="false" dt2D="false" dtr="false" t="normal">+(K764*10.5+L764*21)*12*0.85</f>
        <v>137516.4</v>
      </c>
      <c r="AS764" s="3" t="n">
        <f aca="false" ca="false" dt2D="false" dtr="false" t="normal">+(K764*10.5+L764*21)*12*30</f>
        <v>4853520</v>
      </c>
      <c r="AT764" s="9" t="n">
        <f aca="false" ca="false" dt2D="false" dtr="false" t="normal">+S764-AS764</f>
        <v>-64547.19000000041</v>
      </c>
      <c r="AU764" s="9" t="e">
        <f aca="false" ca="false" dt2D="false" dtr="false" t="normal">+P764-'[5]Приложение №1'!$P677</f>
        <v>#REF!</v>
      </c>
      <c r="AV764" s="9" t="e">
        <f aca="false" ca="false" dt2D="false" dtr="false" t="normal">+Q764-'[5]Приложение №1'!$Q677</f>
        <v>#REF!</v>
      </c>
      <c r="AW764" s="186" t="n">
        <f aca="false" ca="true" dt2D="false" dtr="false" t="normal">SUBTOTAL(9, AX764:BL764)</f>
        <v>12145710.702209137</v>
      </c>
      <c r="AX764" s="106" t="n">
        <v>3658298.7075726</v>
      </c>
      <c r="AY764" s="106" t="n"/>
      <c r="AZ764" s="106" t="n">
        <v>1401560.95935954</v>
      </c>
      <c r="BA764" s="106" t="n"/>
      <c r="BB764" s="106" t="n">
        <v>0</v>
      </c>
      <c r="BC764" s="106" t="n"/>
      <c r="BD764" s="106" t="n">
        <v>120770.72210952</v>
      </c>
      <c r="BE764" s="106" t="n">
        <v>0</v>
      </c>
      <c r="BF764" s="106" t="n">
        <v>6882439.7186496</v>
      </c>
      <c r="BG764" s="106" t="n">
        <v>0</v>
      </c>
      <c r="BH764" s="106" t="n">
        <v>0</v>
      </c>
      <c r="BI764" s="106" t="n">
        <v>0</v>
      </c>
      <c r="BJ764" s="106" t="n"/>
      <c r="BK764" s="114" t="n"/>
      <c r="BL764" s="115" t="n">
        <v>82640.59451788</v>
      </c>
      <c r="BM764" s="186" t="n">
        <f aca="false" ca="true" dt2D="false" dtr="false" t="normal">SUBTOTAL(9, BN764:CB764)</f>
        <v>12145710.702209137</v>
      </c>
      <c r="BN764" s="106" t="n">
        <v>3658298.7075726</v>
      </c>
      <c r="BO764" s="106" t="n"/>
      <c r="BP764" s="106" t="n">
        <v>1401560.95935954</v>
      </c>
      <c r="BQ764" s="106" t="n"/>
      <c r="BR764" s="106" t="n">
        <v>0</v>
      </c>
      <c r="BS764" s="106" t="n"/>
      <c r="BT764" s="106" t="n">
        <v>120770.72210952</v>
      </c>
      <c r="BU764" s="106" t="n">
        <v>0</v>
      </c>
      <c r="BV764" s="106" t="n">
        <v>6882439.7186496</v>
      </c>
      <c r="BW764" s="106" t="n">
        <v>0</v>
      </c>
      <c r="BX764" s="106" t="n">
        <v>0</v>
      </c>
      <c r="BY764" s="106" t="n">
        <v>0</v>
      </c>
      <c r="BZ764" s="106" t="n"/>
      <c r="CA764" s="114" t="n"/>
      <c r="CB764" s="115" t="n">
        <v>82640.59451788</v>
      </c>
      <c r="CD764" s="116" t="e">
        <f aca="false" ca="false" dt2D="false" dtr="false" t="normal">+CD763+1</f>
        <v>#REF!</v>
      </c>
      <c r="CE764" s="117" t="e">
        <f aca="false" ca="false" dt2D="false" dtr="false" t="normal">+CE763+1</f>
        <v>#REF!</v>
      </c>
      <c r="CF764" s="104" t="s">
        <v>227</v>
      </c>
      <c r="CG764" s="104" t="s">
        <v>710</v>
      </c>
      <c r="CH764" s="232" t="n">
        <f aca="false" ca="true" dt2D="false" dtr="false" t="normal">SUBTOTAL(9, CI764:CW764)</f>
        <v>13909761.649999999</v>
      </c>
      <c r="CI764" s="192" t="n">
        <v>4481532.64</v>
      </c>
      <c r="CJ764" s="114" t="n"/>
      <c r="CK764" s="243" t="n">
        <v>1387702.38</v>
      </c>
      <c r="CL764" s="114" t="n"/>
      <c r="CM764" s="114" t="n">
        <v>0</v>
      </c>
      <c r="CN764" s="114" t="n"/>
      <c r="CO764" s="106" t="n"/>
      <c r="CP764" s="114" t="n">
        <v>0</v>
      </c>
      <c r="CQ764" s="243" t="n">
        <v>7957886.04</v>
      </c>
      <c r="CR764" s="114" t="n">
        <v>0</v>
      </c>
      <c r="CS764" s="114" t="n">
        <v>0</v>
      </c>
      <c r="CT764" s="114" t="n">
        <v>0</v>
      </c>
      <c r="CU764" s="114" t="n"/>
      <c r="CV764" s="114" t="n"/>
      <c r="CW764" s="115" t="n">
        <v>82640.59</v>
      </c>
      <c r="CX764" s="3" t="n">
        <f aca="false" ca="false" dt2D="false" dtr="false" t="normal">+N764-CH764</f>
        <v>-82640.58999999985</v>
      </c>
      <c r="CZ764" s="104" t="s">
        <v>710</v>
      </c>
      <c r="DA764" s="186" t="n">
        <f aca="false" ca="true" dt2D="false" dtr="false" t="normal">SUBTOTAL(9, DB764:DP764)</f>
        <v>13827121.059999999</v>
      </c>
      <c r="DB764" s="192" t="n">
        <v>4481532.64</v>
      </c>
      <c r="DC764" s="114" t="n"/>
      <c r="DD764" s="243" t="n">
        <v>1387702.38</v>
      </c>
      <c r="DE764" s="114" t="n"/>
      <c r="DF764" s="114" t="n">
        <v>0</v>
      </c>
      <c r="DG764" s="114" t="n"/>
      <c r="DH764" s="106" t="n"/>
      <c r="DI764" s="114" t="n">
        <v>0</v>
      </c>
      <c r="DJ764" s="243" t="n">
        <v>7957886.04</v>
      </c>
      <c r="DK764" s="114" t="n">
        <v>0</v>
      </c>
      <c r="DL764" s="114" t="n">
        <v>0</v>
      </c>
      <c r="DM764" s="114" t="n">
        <v>0</v>
      </c>
      <c r="DN764" s="114" t="n"/>
      <c r="DO764" s="114" t="n"/>
      <c r="DP764" s="240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</row>
    <row customFormat="true" hidden="false" ht="15" outlineLevel="0" r="765" s="1">
      <c r="A765" s="183" t="n">
        <f aca="false" ca="false" dt2D="false" dtr="false" t="normal">+A764+1</f>
        <v>743</v>
      </c>
      <c r="B765" s="117" t="n">
        <f aca="false" ca="false" dt2D="false" dtr="false" t="normal">+B764+1</f>
        <v>283</v>
      </c>
      <c r="C765" s="117" t="s">
        <v>227</v>
      </c>
      <c r="D765" s="117" t="s">
        <v>711</v>
      </c>
      <c r="E765" s="201" t="n">
        <v>1970</v>
      </c>
      <c r="F765" s="201" t="n">
        <v>2015</v>
      </c>
      <c r="G765" s="201" t="s">
        <v>68</v>
      </c>
      <c r="H765" s="201" t="n">
        <v>4</v>
      </c>
      <c r="I765" s="201" t="n">
        <v>2</v>
      </c>
      <c r="J765" s="114" t="n">
        <v>1401</v>
      </c>
      <c r="K765" s="114" t="n">
        <v>1279.2</v>
      </c>
      <c r="L765" s="114" t="n">
        <v>0</v>
      </c>
      <c r="M765" s="202" t="n">
        <v>66</v>
      </c>
      <c r="N765" s="108" t="n">
        <f aca="false" ca="false" dt2D="false" dtr="false" t="normal">SUM(P765:T765)</f>
        <v>13637429.059999999</v>
      </c>
      <c r="O765" s="114" t="n"/>
      <c r="P765" s="113" t="n">
        <v>1025712.68</v>
      </c>
      <c r="Q765" s="114" t="n"/>
      <c r="R765" s="113" t="n">
        <v>137002.32</v>
      </c>
      <c r="S765" s="113" t="n">
        <v>4835376</v>
      </c>
      <c r="T765" s="113" t="n">
        <v>7639338.06</v>
      </c>
      <c r="U765" s="114" t="n">
        <v>9493.28600148654</v>
      </c>
      <c r="V765" s="114" t="n">
        <v>1398.283020064</v>
      </c>
      <c r="W765" s="110" t="n">
        <v>2024</v>
      </c>
      <c r="X765" s="9" t="e">
        <f aca="false" ca="false" dt2D="false" dtr="false" t="normal">+#REF!-'[9]Приложение №1'!$P1851</f>
        <v>#REF!</v>
      </c>
      <c r="Z765" s="113" t="n">
        <f aca="false" ca="false" dt2D="false" dtr="false" t="normal">SUM(AA765:AO765)</f>
        <v>16237933.850000001</v>
      </c>
      <c r="AA765" s="106" t="n">
        <v>3657726.65148072</v>
      </c>
      <c r="AB765" s="106" t="n">
        <v>1341298.12793004</v>
      </c>
      <c r="AC765" s="106" t="n">
        <v>1401341.79249498</v>
      </c>
      <c r="AD765" s="106" t="n">
        <v>877345.11290496</v>
      </c>
      <c r="AE765" s="106" t="n">
        <v>0</v>
      </c>
      <c r="AF765" s="106" t="n"/>
      <c r="AG765" s="106" t="n">
        <v>120751.8388482</v>
      </c>
      <c r="AH765" s="106" t="n">
        <v>0</v>
      </c>
      <c r="AI765" s="106" t="n">
        <v>6881363.4984066</v>
      </c>
      <c r="AJ765" s="106" t="n">
        <v>0</v>
      </c>
      <c r="AK765" s="106" t="n">
        <v>0</v>
      </c>
      <c r="AL765" s="106" t="n">
        <v>0</v>
      </c>
      <c r="AM765" s="106" t="n">
        <v>1483456.594</v>
      </c>
      <c r="AN765" s="114" t="n">
        <v>162379.3385</v>
      </c>
      <c r="AO765" s="115" t="n">
        <v>312270.8954345</v>
      </c>
      <c r="AP765" s="112" t="n">
        <f aca="false" ca="false" dt2D="false" dtr="false" t="normal">+N765-'Приложение №2'!E765</f>
        <v>0</v>
      </c>
      <c r="AQ765" s="9" t="n">
        <f aca="false" ca="false" dt2D="false" dtr="false" t="normal">752403.54</f>
        <v>752403.54</v>
      </c>
      <c r="AR765" s="3" t="n">
        <f aca="false" ca="false" dt2D="false" dtr="false" t="normal">+(K765*10.5+L765*21)*12*0.85</f>
        <v>137002.32</v>
      </c>
      <c r="AS765" s="3" t="n">
        <f aca="false" ca="false" dt2D="false" dtr="false" t="normal">+(K765*10.5+L765*21)*12*30</f>
        <v>4835376</v>
      </c>
      <c r="AT765" s="9" t="n">
        <f aca="false" ca="false" dt2D="false" dtr="false" t="normal">+S765-AS765</f>
        <v>0</v>
      </c>
      <c r="AU765" s="9" t="e">
        <f aca="false" ca="false" dt2D="false" dtr="false" t="normal">+P765-'[5]Приложение №1'!$P678</f>
        <v>#REF!</v>
      </c>
      <c r="AV765" s="9" t="e">
        <f aca="false" ca="false" dt2D="false" dtr="false" t="normal">+Q765-'[5]Приложение №1'!$Q678</f>
        <v>#REF!</v>
      </c>
      <c r="AW765" s="186" t="n">
        <f aca="false" ca="true" dt2D="false" dtr="false" t="normal">SUBTOTAL(9, AX765:BL765)</f>
        <v>12143811.45310158</v>
      </c>
      <c r="AX765" s="106" t="n">
        <v>3657726.65148072</v>
      </c>
      <c r="AY765" s="106" t="n"/>
      <c r="AZ765" s="106" t="n">
        <v>1401341.79249498</v>
      </c>
      <c r="BA765" s="106" t="n"/>
      <c r="BB765" s="106" t="n">
        <v>0</v>
      </c>
      <c r="BC765" s="106" t="n"/>
      <c r="BD765" s="106" t="n">
        <v>120751.8388482</v>
      </c>
      <c r="BE765" s="106" t="n">
        <v>0</v>
      </c>
      <c r="BF765" s="106" t="n">
        <v>6881363.4984066</v>
      </c>
      <c r="BG765" s="106" t="n">
        <v>0</v>
      </c>
      <c r="BH765" s="106" t="n">
        <v>0</v>
      </c>
      <c r="BI765" s="106" t="n">
        <v>0</v>
      </c>
      <c r="BJ765" s="106" t="n"/>
      <c r="BK765" s="114" t="n"/>
      <c r="BL765" s="115" t="n">
        <v>82627.67187108</v>
      </c>
      <c r="BM765" s="186" t="n">
        <f aca="false" ca="true" dt2D="false" dtr="false" t="normal">SUBTOTAL(9, BN765:CB765)</f>
        <v>12143811.45310158</v>
      </c>
      <c r="BN765" s="106" t="n">
        <v>3657726.65148072</v>
      </c>
      <c r="BO765" s="106" t="n"/>
      <c r="BP765" s="106" t="n">
        <v>1401341.79249498</v>
      </c>
      <c r="BQ765" s="106" t="n"/>
      <c r="BR765" s="106" t="n">
        <v>0</v>
      </c>
      <c r="BS765" s="106" t="n"/>
      <c r="BT765" s="106" t="n">
        <v>120751.8388482</v>
      </c>
      <c r="BU765" s="106" t="n">
        <v>0</v>
      </c>
      <c r="BV765" s="106" t="n">
        <v>6881363.4984066</v>
      </c>
      <c r="BW765" s="106" t="n">
        <v>0</v>
      </c>
      <c r="BX765" s="106" t="n">
        <v>0</v>
      </c>
      <c r="BY765" s="106" t="n">
        <v>0</v>
      </c>
      <c r="BZ765" s="106" t="n"/>
      <c r="CA765" s="114" t="n"/>
      <c r="CB765" s="115" t="n">
        <v>82627.67187108</v>
      </c>
      <c r="CD765" s="116" t="e">
        <f aca="false" ca="false" dt2D="false" dtr="false" t="normal">+CD764+1</f>
        <v>#REF!</v>
      </c>
      <c r="CE765" s="117" t="e">
        <f aca="false" ca="false" dt2D="false" dtr="false" t="normal">+CE764+1</f>
        <v>#REF!</v>
      </c>
      <c r="CF765" s="104" t="s">
        <v>227</v>
      </c>
      <c r="CG765" s="104" t="s">
        <v>711</v>
      </c>
      <c r="CH765" s="232" t="n">
        <f aca="false" ca="true" dt2D="false" dtr="false" t="normal">SUBTOTAL(9, CI765:CW765)</f>
        <v>13720056.729999999</v>
      </c>
      <c r="CI765" s="192" t="n">
        <v>4350258.68</v>
      </c>
      <c r="CJ765" s="114" t="n"/>
      <c r="CK765" s="243" t="n">
        <v>1330897.49</v>
      </c>
      <c r="CL765" s="114" t="n"/>
      <c r="CM765" s="114" t="n">
        <v>0</v>
      </c>
      <c r="CN765" s="114" t="n"/>
      <c r="CO765" s="106" t="n"/>
      <c r="CP765" s="114" t="n">
        <v>0</v>
      </c>
      <c r="CQ765" s="243" t="n">
        <v>7956272.89</v>
      </c>
      <c r="CR765" s="114" t="n">
        <v>0</v>
      </c>
      <c r="CS765" s="114" t="n">
        <v>0</v>
      </c>
      <c r="CT765" s="114" t="n">
        <v>0</v>
      </c>
      <c r="CU765" s="114" t="n"/>
      <c r="CV765" s="114" t="n"/>
      <c r="CW765" s="115" t="n">
        <v>82627.67</v>
      </c>
      <c r="CX765" s="3" t="n">
        <f aca="false" ca="false" dt2D="false" dtr="false" t="normal">+N765-CH765</f>
        <v>-82627.66999999993</v>
      </c>
      <c r="CZ765" s="104" t="s">
        <v>711</v>
      </c>
      <c r="DA765" s="186" t="n">
        <f aca="false" ca="true" dt2D="false" dtr="false" t="normal">SUBTOTAL(9, DB765:DP765)</f>
        <v>13637429.059999999</v>
      </c>
      <c r="DB765" s="192" t="n">
        <v>4350258.68</v>
      </c>
      <c r="DC765" s="114" t="n"/>
      <c r="DD765" s="243" t="n">
        <v>1330897.49</v>
      </c>
      <c r="DE765" s="114" t="n"/>
      <c r="DF765" s="114" t="n">
        <v>0</v>
      </c>
      <c r="DG765" s="114" t="n"/>
      <c r="DH765" s="106" t="n"/>
      <c r="DI765" s="114" t="n">
        <v>0</v>
      </c>
      <c r="DJ765" s="243" t="n">
        <v>7956272.89</v>
      </c>
      <c r="DK765" s="114" t="n">
        <v>0</v>
      </c>
      <c r="DL765" s="114" t="n">
        <v>0</v>
      </c>
      <c r="DM765" s="114" t="n">
        <v>0</v>
      </c>
      <c r="DN765" s="114" t="n"/>
      <c r="DO765" s="114" t="n"/>
      <c r="DP765" s="240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</row>
    <row customFormat="true" hidden="false" ht="15" outlineLevel="0" r="766" s="1">
      <c r="A766" s="183" t="n">
        <f aca="false" ca="false" dt2D="false" dtr="false" t="normal">+A765+1</f>
        <v>744</v>
      </c>
      <c r="B766" s="117" t="n">
        <f aca="false" ca="false" dt2D="false" dtr="false" t="normal">+B765+1</f>
        <v>284</v>
      </c>
      <c r="C766" s="117" t="s">
        <v>227</v>
      </c>
      <c r="D766" s="117" t="s">
        <v>712</v>
      </c>
      <c r="E766" s="201" t="n">
        <v>1970</v>
      </c>
      <c r="F766" s="201" t="n">
        <v>2015</v>
      </c>
      <c r="G766" s="201" t="s">
        <v>68</v>
      </c>
      <c r="H766" s="201" t="n">
        <v>4</v>
      </c>
      <c r="I766" s="201" t="n">
        <v>2</v>
      </c>
      <c r="J766" s="114" t="n">
        <v>1391.9</v>
      </c>
      <c r="K766" s="114" t="n">
        <v>1360</v>
      </c>
      <c r="L766" s="114" t="n">
        <v>0</v>
      </c>
      <c r="M766" s="202" t="n">
        <v>56</v>
      </c>
      <c r="N766" s="108" t="n">
        <f aca="false" ca="false" dt2D="false" dtr="false" t="normal">SUM(P766:T766)</f>
        <v>10492870.870000001</v>
      </c>
      <c r="O766" s="114" t="n"/>
      <c r="P766" s="113" t="n">
        <v>2814922.2</v>
      </c>
      <c r="Q766" s="114" t="n"/>
      <c r="R766" s="113" t="n">
        <v>710136.45</v>
      </c>
      <c r="S766" s="113" t="n">
        <v>4896000</v>
      </c>
      <c r="T766" s="113" t="n">
        <v>2071812.22</v>
      </c>
      <c r="U766" s="114" t="n">
        <v>10052.7436441176</v>
      </c>
      <c r="V766" s="114" t="n">
        <v>10052.7436441176</v>
      </c>
      <c r="W766" s="110" t="n">
        <v>2024</v>
      </c>
      <c r="X766" s="9" t="e">
        <f aca="false" ca="false" dt2D="false" dtr="false" t="normal">+#REF!-'[9]Приложение №1'!$P1605</f>
        <v>#REF!</v>
      </c>
      <c r="Z766" s="113" t="n">
        <f aca="false" ca="false" dt2D="false" dtr="false" t="normal">SUM(AA766:AO766)</f>
        <v>16410623.79</v>
      </c>
      <c r="AA766" s="106" t="n">
        <v>3696626.46572856</v>
      </c>
      <c r="AB766" s="106" t="n">
        <v>1355562.79544238</v>
      </c>
      <c r="AC766" s="106" t="n">
        <v>1416245.02606104</v>
      </c>
      <c r="AD766" s="106" t="n">
        <v>886675.65211008</v>
      </c>
      <c r="AE766" s="106" t="n">
        <v>0</v>
      </c>
      <c r="AF766" s="106" t="n"/>
      <c r="AG766" s="106" t="n">
        <v>122036.0252916</v>
      </c>
      <c r="AH766" s="106" t="n">
        <v>0</v>
      </c>
      <c r="AI766" s="106" t="n">
        <v>6954546.5894268</v>
      </c>
      <c r="AJ766" s="106" t="n">
        <v>0</v>
      </c>
      <c r="AK766" s="106" t="n">
        <v>0</v>
      </c>
      <c r="AL766" s="106" t="n">
        <v>0</v>
      </c>
      <c r="AM766" s="106" t="n">
        <v>1499233.111</v>
      </c>
      <c r="AN766" s="114" t="n">
        <v>164106.2379</v>
      </c>
      <c r="AO766" s="115" t="n">
        <v>315591.88703954</v>
      </c>
      <c r="AP766" s="112" t="n">
        <f aca="false" ca="false" dt2D="false" dtr="false" t="normal">+N766-'Приложение №2'!E766</f>
        <v>0</v>
      </c>
      <c r="AQ766" s="1" t="n">
        <v>571416.45</v>
      </c>
      <c r="AR766" s="3" t="n">
        <f aca="false" ca="false" dt2D="false" dtr="false" t="normal">+(K766*10+L766*20)*12*0.85</f>
        <v>138720</v>
      </c>
      <c r="AS766" s="3" t="n">
        <f aca="false" ca="false" dt2D="false" dtr="false" t="normal">+(K766*10+L766*20)*12*30</f>
        <v>4896000</v>
      </c>
      <c r="AT766" s="9" t="n">
        <f aca="false" ca="false" dt2D="false" dtr="false" t="normal">+S766-AS766</f>
        <v>0</v>
      </c>
      <c r="AU766" s="9" t="e">
        <f aca="false" ca="false" dt2D="false" dtr="false" t="normal">+P766-'[5]Приложение №1'!$P386</f>
        <v>#REF!</v>
      </c>
      <c r="AV766" s="9" t="e">
        <f aca="false" ca="false" dt2D="false" dtr="false" t="normal">+Q766-'[5]Приложение №1'!$Q386</f>
        <v>#REF!</v>
      </c>
      <c r="AW766" s="113" t="n">
        <f aca="false" ca="true" dt2D="false" dtr="false" t="normal">SUBTOTAL(9, AX766:BL766)</f>
        <v>13671731.356</v>
      </c>
      <c r="AX766" s="106" t="n">
        <v>4011119.128548</v>
      </c>
      <c r="AY766" s="106" t="n"/>
      <c r="AZ766" s="106" t="n">
        <v>1562537.059188</v>
      </c>
      <c r="BA766" s="106" t="n"/>
      <c r="BB766" s="106" t="n">
        <v>0</v>
      </c>
      <c r="BC766" s="106" t="n"/>
      <c r="BD766" s="106" t="n">
        <v>122036.0252916</v>
      </c>
      <c r="BE766" s="106" t="n">
        <v>0</v>
      </c>
      <c r="BF766" s="106" t="n">
        <v>7683464.091954</v>
      </c>
      <c r="BG766" s="106" t="n">
        <v>0</v>
      </c>
      <c r="BH766" s="106" t="n">
        <v>0</v>
      </c>
      <c r="BI766" s="106" t="n">
        <v>0</v>
      </c>
      <c r="BJ766" s="106" t="n"/>
      <c r="BK766" s="114" t="n"/>
      <c r="BL766" s="115" t="n">
        <v>292575.0510184</v>
      </c>
      <c r="BM766" s="113" t="n">
        <f aca="false" ca="true" dt2D="false" dtr="false" t="normal">SUBTOTAL(9, BN766:CB766)</f>
        <v>13671731.356</v>
      </c>
      <c r="BN766" s="106" t="n">
        <v>4011119.128548</v>
      </c>
      <c r="BO766" s="106" t="n"/>
      <c r="BP766" s="106" t="n">
        <v>1562537.059188</v>
      </c>
      <c r="BQ766" s="106" t="n"/>
      <c r="BR766" s="106" t="n">
        <v>0</v>
      </c>
      <c r="BS766" s="106" t="n"/>
      <c r="BT766" s="106" t="n">
        <v>122036.0252916</v>
      </c>
      <c r="BU766" s="106" t="n">
        <v>0</v>
      </c>
      <c r="BV766" s="106" t="n">
        <v>7683464.091954</v>
      </c>
      <c r="BW766" s="106" t="n">
        <v>0</v>
      </c>
      <c r="BX766" s="106" t="n">
        <v>0</v>
      </c>
      <c r="BY766" s="106" t="n">
        <v>0</v>
      </c>
      <c r="BZ766" s="106" t="n"/>
      <c r="CA766" s="114" t="n"/>
      <c r="CB766" s="115" t="n">
        <v>292575.0510184</v>
      </c>
      <c r="CD766" s="116" t="e">
        <f aca="false" ca="false" dt2D="false" dtr="false" t="normal">+CD765+1</f>
        <v>#REF!</v>
      </c>
      <c r="CE766" s="117" t="e">
        <f aca="false" ca="false" dt2D="false" dtr="false" t="normal">+CE765+1</f>
        <v>#REF!</v>
      </c>
      <c r="CF766" s="104" t="s">
        <v>227</v>
      </c>
      <c r="CG766" s="104" t="s">
        <v>712</v>
      </c>
      <c r="CH766" s="108" t="n">
        <f aca="false" ca="true" dt2D="false" dtr="false" t="normal">SUBTOTAL(9, CI766:CW766)</f>
        <v>10785445.920000002</v>
      </c>
      <c r="CI766" s="192" t="n">
        <v>3698964.38</v>
      </c>
      <c r="CJ766" s="114" t="n"/>
      <c r="CK766" s="243" t="n">
        <v>994832.33</v>
      </c>
      <c r="CL766" s="114" t="n"/>
      <c r="CM766" s="114" t="n">
        <v>0</v>
      </c>
      <c r="CN766" s="114" t="n"/>
      <c r="CO766" s="106" t="n"/>
      <c r="CP766" s="114" t="n">
        <v>0</v>
      </c>
      <c r="CQ766" s="243" t="n">
        <v>5799074.16</v>
      </c>
      <c r="CR766" s="114" t="n">
        <v>0</v>
      </c>
      <c r="CS766" s="114" t="n">
        <v>0</v>
      </c>
      <c r="CT766" s="114" t="n">
        <v>0</v>
      </c>
      <c r="CU766" s="114" t="n"/>
      <c r="CV766" s="114" t="n"/>
      <c r="CW766" s="115" t="n">
        <v>292575.05</v>
      </c>
      <c r="CX766" s="3" t="n">
        <f aca="false" ca="false" dt2D="false" dtr="false" t="normal">+N766-CH766</f>
        <v>-292575.05000000075</v>
      </c>
      <c r="CZ766" s="104" t="s">
        <v>712</v>
      </c>
      <c r="DA766" s="113" t="n">
        <f aca="false" ca="true" dt2D="false" dtr="false" t="normal">SUBTOTAL(9, DB766:DP766)</f>
        <v>10492870.870000001</v>
      </c>
      <c r="DB766" s="192" t="n">
        <v>3698964.38</v>
      </c>
      <c r="DC766" s="114" t="n"/>
      <c r="DD766" s="243" t="n">
        <v>994832.33</v>
      </c>
      <c r="DE766" s="114" t="n"/>
      <c r="DF766" s="114" t="n">
        <v>0</v>
      </c>
      <c r="DG766" s="114" t="n"/>
      <c r="DH766" s="106" t="n"/>
      <c r="DI766" s="114" t="n">
        <v>0</v>
      </c>
      <c r="DJ766" s="243" t="n">
        <v>5799074.16</v>
      </c>
      <c r="DK766" s="114" t="n">
        <v>0</v>
      </c>
      <c r="DL766" s="114" t="n">
        <v>0</v>
      </c>
      <c r="DM766" s="114" t="n">
        <v>0</v>
      </c>
      <c r="DN766" s="114" t="n"/>
      <c r="DO766" s="114" t="n"/>
      <c r="DP766" s="240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</row>
    <row customFormat="true" hidden="false" ht="15" outlineLevel="0" r="767" s="1">
      <c r="A767" s="183" t="n">
        <f aca="false" ca="false" dt2D="false" dtr="false" t="normal">+A766+1</f>
        <v>745</v>
      </c>
      <c r="B767" s="117" t="n">
        <f aca="false" ca="false" dt2D="false" dtr="false" t="normal">+B766+1</f>
        <v>285</v>
      </c>
      <c r="C767" s="117" t="s">
        <v>227</v>
      </c>
      <c r="D767" s="117" t="s">
        <v>503</v>
      </c>
      <c r="E767" s="201" t="n">
        <v>1970</v>
      </c>
      <c r="F767" s="201" t="n">
        <v>2015</v>
      </c>
      <c r="G767" s="201" t="s">
        <v>68</v>
      </c>
      <c r="H767" s="201" t="n">
        <v>4</v>
      </c>
      <c r="I767" s="201" t="n">
        <v>3</v>
      </c>
      <c r="J767" s="114" t="n">
        <v>2337.2</v>
      </c>
      <c r="K767" s="114" t="n">
        <v>1988.4</v>
      </c>
      <c r="L767" s="114" t="n">
        <v>46.7</v>
      </c>
      <c r="M767" s="202" t="n">
        <v>101</v>
      </c>
      <c r="N767" s="108" t="n">
        <f aca="false" ca="false" dt2D="false" dtr="false" t="normal">SUM(P767:T767)</f>
        <v>1808031.76</v>
      </c>
      <c r="O767" s="114" t="n"/>
      <c r="P767" s="114" t="n"/>
      <c r="Q767" s="114" t="n"/>
      <c r="R767" s="113" t="n">
        <v>990324.02</v>
      </c>
      <c r="S767" s="113" t="n">
        <v>817707.74</v>
      </c>
      <c r="T767" s="113" t="n">
        <v>0</v>
      </c>
      <c r="U767" s="114" t="n">
        <v>1468.95234700858</v>
      </c>
      <c r="V767" s="114" t="n">
        <v>1468.95234700858</v>
      </c>
      <c r="W767" s="110" t="n">
        <v>2024</v>
      </c>
      <c r="X767" s="9" t="e">
        <f aca="false" ca="false" dt2D="false" dtr="false" t="normal">+#REF!-'[9]Приложение №1'!$P1943</f>
        <v>#REF!</v>
      </c>
      <c r="Z767" s="113" t="n">
        <f aca="false" ca="false" dt2D="false" dtr="false" t="normal">SUM(AA767:AO767)</f>
        <v>25877715.080000002</v>
      </c>
      <c r="AA767" s="106" t="n">
        <v>5829165.76517184</v>
      </c>
      <c r="AB767" s="106" t="n">
        <v>2137570.65303054</v>
      </c>
      <c r="AC767" s="106" t="n">
        <v>2233259.72131038</v>
      </c>
      <c r="AD767" s="106" t="n">
        <v>1398188.15721144</v>
      </c>
      <c r="AE767" s="106" t="n">
        <v>0</v>
      </c>
      <c r="AF767" s="106" t="n"/>
      <c r="AG767" s="106" t="n">
        <v>192437.14870884</v>
      </c>
      <c r="AH767" s="106" t="n">
        <v>0</v>
      </c>
      <c r="AI767" s="106" t="n">
        <v>10966540.7948166</v>
      </c>
      <c r="AJ767" s="106" t="n">
        <v>0</v>
      </c>
      <c r="AK767" s="106" t="n">
        <v>0</v>
      </c>
      <c r="AL767" s="106" t="n">
        <v>0</v>
      </c>
      <c r="AM767" s="106" t="n">
        <v>2364122.6418</v>
      </c>
      <c r="AN767" s="114" t="n">
        <v>258777.1508</v>
      </c>
      <c r="AO767" s="115" t="n">
        <v>497653.04715036</v>
      </c>
      <c r="AP767" s="112" t="n">
        <f aca="false" ca="false" dt2D="false" dtr="false" t="normal">+N767-'Приложение №2'!E767</f>
        <v>0</v>
      </c>
      <c r="AQ767" s="9" t="n">
        <f aca="false" ca="false" dt2D="false" dtr="false" t="normal">960970.65-R462</f>
        <v>-687410.3034551699</v>
      </c>
      <c r="AR767" s="3" t="n">
        <f aca="false" ca="false" dt2D="false" dtr="false" t="normal">+(K767*10+L767*20)*12*0.85</f>
        <v>212343.6</v>
      </c>
      <c r="AS767" s="3" t="n">
        <f aca="false" ca="false" dt2D="false" dtr="false" t="normal">+(K767*10+L767*20)*12*30-S462</f>
        <v>2137470.27345517</v>
      </c>
      <c r="AT767" s="9" t="n">
        <f aca="false" ca="false" dt2D="false" dtr="false" t="normal">+S767-AS767</f>
        <v>-1319762.53345517</v>
      </c>
      <c r="AU767" s="9" t="e">
        <f aca="false" ca="false" dt2D="false" dtr="false" t="normal">+P767-'[5]Приложение №1'!$P724</f>
        <v>#REF!</v>
      </c>
      <c r="AV767" s="9" t="e">
        <f aca="false" ca="false" dt2D="false" dtr="false" t="normal">+Q767-'[5]Приложение №1'!$Q724</f>
        <v>#REF!</v>
      </c>
      <c r="AW767" s="113" t="n">
        <f aca="false" ca="true" dt2D="false" dtr="false" t="normal">SUBTOTAL(9, AX767:BL767)</f>
        <v>2989464.92139716</v>
      </c>
      <c r="AX767" s="106" t="n"/>
      <c r="AY767" s="106" t="n"/>
      <c r="AZ767" s="106" t="n">
        <v>2475810.0486</v>
      </c>
      <c r="BA767" s="106" t="n"/>
      <c r="BB767" s="106" t="n">
        <v>0</v>
      </c>
      <c r="BC767" s="106" t="n"/>
      <c r="BD767" s="106" t="n"/>
      <c r="BE767" s="106" t="n"/>
      <c r="BF767" s="106" t="n"/>
      <c r="BG767" s="106" t="n">
        <v>0</v>
      </c>
      <c r="BH767" s="106" t="n">
        <v>0</v>
      </c>
      <c r="BI767" s="106" t="n">
        <v>0</v>
      </c>
      <c r="BJ767" s="106" t="n"/>
      <c r="BK767" s="114" t="n"/>
      <c r="BL767" s="115" t="n">
        <v>513654.87279716</v>
      </c>
      <c r="BM767" s="113" t="n">
        <f aca="false" ca="true" dt2D="false" dtr="false" t="normal">SUBTOTAL(9, BN767:CB767)</f>
        <v>2989464.92139716</v>
      </c>
      <c r="BN767" s="106" t="n"/>
      <c r="BO767" s="106" t="n"/>
      <c r="BP767" s="106" t="n">
        <v>2475810.0486</v>
      </c>
      <c r="BQ767" s="106" t="n"/>
      <c r="BR767" s="106" t="n">
        <v>0</v>
      </c>
      <c r="BS767" s="106" t="n"/>
      <c r="BT767" s="106" t="n"/>
      <c r="BU767" s="106" t="n"/>
      <c r="BV767" s="106" t="n"/>
      <c r="BW767" s="106" t="n">
        <v>0</v>
      </c>
      <c r="BX767" s="106" t="n">
        <v>0</v>
      </c>
      <c r="BY767" s="106" t="n">
        <v>0</v>
      </c>
      <c r="BZ767" s="106" t="n"/>
      <c r="CA767" s="114" t="n"/>
      <c r="CB767" s="115" t="n">
        <v>513654.87279716</v>
      </c>
      <c r="CD767" s="116" t="e">
        <f aca="false" ca="false" dt2D="false" dtr="false" t="normal">+CD766+1</f>
        <v>#REF!</v>
      </c>
      <c r="CE767" s="117" t="e">
        <f aca="false" ca="false" dt2D="false" dtr="false" t="normal">+CE766+1</f>
        <v>#REF!</v>
      </c>
      <c r="CF767" s="104" t="s">
        <v>227</v>
      </c>
      <c r="CG767" s="104" t="s">
        <v>503</v>
      </c>
      <c r="CH767" s="108" t="n">
        <f aca="false" ca="true" dt2D="false" dtr="false" t="normal">SUBTOTAL(9, CI767:CW767)</f>
        <v>2321686.62944</v>
      </c>
      <c r="CI767" s="106" t="n"/>
      <c r="CJ767" s="114" t="n"/>
      <c r="CK767" s="114" t="n">
        <v>1808031.75944</v>
      </c>
      <c r="CL767" s="114" t="n"/>
      <c r="CM767" s="114" t="n">
        <v>0</v>
      </c>
      <c r="CN767" s="114" t="n"/>
      <c r="CO767" s="106" t="n"/>
      <c r="CP767" s="114" t="n"/>
      <c r="CQ767" s="114" t="n"/>
      <c r="CR767" s="114" t="n">
        <v>0</v>
      </c>
      <c r="CS767" s="114" t="n">
        <v>0</v>
      </c>
      <c r="CT767" s="114" t="n">
        <v>0</v>
      </c>
      <c r="CU767" s="114" t="n"/>
      <c r="CV767" s="114" t="n"/>
      <c r="CW767" s="115" t="n">
        <v>513654.87</v>
      </c>
      <c r="CX767" s="3" t="n">
        <f aca="false" ca="false" dt2D="false" dtr="false" t="normal">+N767-CH767</f>
        <v>-513654.8694399998</v>
      </c>
      <c r="CZ767" s="104" t="s">
        <v>503</v>
      </c>
      <c r="DA767" s="113" t="n">
        <f aca="false" ca="true" dt2D="false" dtr="false" t="normal">SUBTOTAL(9, DB767:DP767)</f>
        <v>1808031.75944</v>
      </c>
      <c r="DB767" s="106" t="n"/>
      <c r="DC767" s="114" t="n"/>
      <c r="DD767" s="114" t="n">
        <v>1808031.75944</v>
      </c>
      <c r="DE767" s="114" t="n"/>
      <c r="DF767" s="114" t="n">
        <v>0</v>
      </c>
      <c r="DG767" s="114" t="n"/>
      <c r="DH767" s="106" t="n"/>
      <c r="DI767" s="114" t="n"/>
      <c r="DJ767" s="114" t="n"/>
      <c r="DK767" s="114" t="n">
        <v>0</v>
      </c>
      <c r="DL767" s="114" t="n">
        <v>0</v>
      </c>
      <c r="DM767" s="114" t="n">
        <v>0</v>
      </c>
      <c r="DN767" s="114" t="n"/>
      <c r="DO767" s="114" t="n"/>
      <c r="DP767" s="240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</row>
    <row customFormat="true" hidden="false" ht="15" outlineLevel="0" r="768" s="1">
      <c r="A768" s="183" t="n">
        <f aca="false" ca="false" dt2D="false" dtr="false" t="normal">+A767+1</f>
        <v>746</v>
      </c>
      <c r="B768" s="117" t="n">
        <f aca="false" ca="false" dt2D="false" dtr="false" t="normal">+B767+1</f>
        <v>286</v>
      </c>
      <c r="C768" s="117" t="s">
        <v>227</v>
      </c>
      <c r="D768" s="117" t="s">
        <v>713</v>
      </c>
      <c r="E768" s="201" t="n">
        <v>1969</v>
      </c>
      <c r="F768" s="201" t="n">
        <v>2013</v>
      </c>
      <c r="G768" s="201" t="s">
        <v>68</v>
      </c>
      <c r="H768" s="201" t="n">
        <v>4</v>
      </c>
      <c r="I768" s="201" t="n">
        <v>2</v>
      </c>
      <c r="J768" s="114" t="n">
        <v>1404.7</v>
      </c>
      <c r="K768" s="114" t="n">
        <v>951</v>
      </c>
      <c r="L768" s="114" t="n">
        <v>348.8</v>
      </c>
      <c r="M768" s="202" t="n">
        <v>39</v>
      </c>
      <c r="N768" s="108" t="n">
        <f aca="false" ca="false" dt2D="false" dtr="false" t="normal">SUM(P768:T768)</f>
        <v>5806323.5200000005</v>
      </c>
      <c r="O768" s="114" t="n"/>
      <c r="P768" s="114" t="n">
        <v>0</v>
      </c>
      <c r="Q768" s="114" t="n"/>
      <c r="R768" s="113" t="n">
        <v>1151634.07</v>
      </c>
      <c r="S768" s="113" t="n">
        <v>4654689.45</v>
      </c>
      <c r="T768" s="113" t="n">
        <v>0</v>
      </c>
      <c r="U768" s="114" t="n">
        <v>6105.62786244374</v>
      </c>
      <c r="V768" s="114" t="n">
        <v>1399.283020064</v>
      </c>
      <c r="W768" s="110" t="n">
        <v>2024</v>
      </c>
      <c r="X768" s="9" t="e">
        <f aca="false" ca="false" dt2D="false" dtr="false" t="normal">+#REF!-'[9]Приложение №1'!$P1852</f>
        <v>#REF!</v>
      </c>
      <c r="Z768" s="113" t="n">
        <f aca="false" ca="false" dt2D="false" dtr="false" t="normal">SUM(AA768:AO768)</f>
        <v>16476652.31</v>
      </c>
      <c r="AA768" s="106" t="n">
        <v>3711499.92411744</v>
      </c>
      <c r="AB768" s="106" t="n">
        <v>1361016.93583842</v>
      </c>
      <c r="AC768" s="106" t="n">
        <v>1421943.31228236</v>
      </c>
      <c r="AD768" s="106" t="n">
        <v>890243.21121792</v>
      </c>
      <c r="AE768" s="106" t="n">
        <v>0</v>
      </c>
      <c r="AF768" s="106" t="n"/>
      <c r="AG768" s="106" t="n">
        <v>122527.0476276</v>
      </c>
      <c r="AH768" s="106" t="n">
        <v>0</v>
      </c>
      <c r="AI768" s="106" t="n">
        <v>6982528.3685892</v>
      </c>
      <c r="AJ768" s="106" t="n">
        <v>0</v>
      </c>
      <c r="AK768" s="106" t="n">
        <v>0</v>
      </c>
      <c r="AL768" s="106" t="n">
        <v>0</v>
      </c>
      <c r="AM768" s="106" t="n">
        <v>1505265.309</v>
      </c>
      <c r="AN768" s="114" t="n">
        <v>164766.5231</v>
      </c>
      <c r="AO768" s="115" t="n">
        <v>316861.67822706</v>
      </c>
      <c r="AP768" s="112" t="n">
        <f aca="false" ca="false" dt2D="false" dtr="false" t="normal">+N768-'Приложение №2'!E768</f>
        <v>0</v>
      </c>
      <c r="AQ768" s="9" t="n">
        <f aca="false" ca="false" dt2D="false" dtr="false" t="normal">537787.09</f>
        <v>537787.09</v>
      </c>
      <c r="AR768" s="3" t="n">
        <f aca="false" ca="false" dt2D="false" dtr="false" t="normal">+(K768*10.5+L768*21)*12*0.85</f>
        <v>176565.05999999997</v>
      </c>
      <c r="AS768" s="3" t="n">
        <f aca="false" ca="false" dt2D="false" dtr="false" t="normal">+(K768*10.5+L768*21)*12*30</f>
        <v>6231707.999999999</v>
      </c>
      <c r="AT768" s="9" t="n">
        <f aca="false" ca="false" dt2D="false" dtr="false" t="normal">+S768-AS768</f>
        <v>-1577018.5499999989</v>
      </c>
      <c r="AU768" s="9" t="e">
        <f aca="false" ca="false" dt2D="false" dtr="false" t="normal">+P768-'[5]Приложение №1'!$P679</f>
        <v>#REF!</v>
      </c>
      <c r="AV768" s="9" t="e">
        <f aca="false" ca="false" dt2D="false" dtr="false" t="normal">+Q768-'[5]Приложение №1'!$Q679</f>
        <v>#REF!</v>
      </c>
      <c r="AW768" s="186" t="n">
        <f aca="false" ca="true" dt2D="false" dtr="false" t="normal">SUBTOTAL(9, AX768:BL768)</f>
        <v>5806452.097184</v>
      </c>
      <c r="AX768" s="106" t="n">
        <v>4026579.31557</v>
      </c>
      <c r="AY768" s="106" t="n"/>
      <c r="AZ768" s="106" t="n">
        <v>1568314.713588</v>
      </c>
      <c r="BA768" s="106" t="n"/>
      <c r="BB768" s="106" t="n">
        <v>0</v>
      </c>
      <c r="BC768" s="106" t="n"/>
      <c r="BD768" s="106" t="n">
        <v>122527.0476276</v>
      </c>
      <c r="BE768" s="106" t="n">
        <v>0</v>
      </c>
      <c r="BF768" s="106" t="n"/>
      <c r="BG768" s="106" t="n">
        <v>0</v>
      </c>
      <c r="BH768" s="106" t="n">
        <v>0</v>
      </c>
      <c r="BI768" s="106" t="n">
        <v>0</v>
      </c>
      <c r="BJ768" s="106" t="n"/>
      <c r="BK768" s="114" t="n"/>
      <c r="BL768" s="115" t="n">
        <v>89031.0203984</v>
      </c>
      <c r="BM768" s="186" t="n">
        <f aca="false" ca="true" dt2D="false" dtr="false" t="normal">SUBTOTAL(9, BN768:CB768)</f>
        <v>5806452.097184</v>
      </c>
      <c r="BN768" s="106" t="n">
        <v>4026579.31557</v>
      </c>
      <c r="BO768" s="106" t="n"/>
      <c r="BP768" s="106" t="n">
        <v>1568314.713588</v>
      </c>
      <c r="BQ768" s="106" t="n"/>
      <c r="BR768" s="106" t="n">
        <v>0</v>
      </c>
      <c r="BS768" s="106" t="n"/>
      <c r="BT768" s="106" t="n">
        <v>122527.0476276</v>
      </c>
      <c r="BU768" s="106" t="n">
        <v>0</v>
      </c>
      <c r="BV768" s="106" t="n"/>
      <c r="BW768" s="106" t="n">
        <v>0</v>
      </c>
      <c r="BX768" s="106" t="n">
        <v>0</v>
      </c>
      <c r="BY768" s="106" t="n">
        <v>0</v>
      </c>
      <c r="BZ768" s="106" t="n"/>
      <c r="CA768" s="114" t="n"/>
      <c r="CB768" s="115" t="n">
        <v>89031.0203984</v>
      </c>
      <c r="CD768" s="116" t="e">
        <f aca="false" ca="false" dt2D="false" dtr="false" t="normal">+CD767+1</f>
        <v>#REF!</v>
      </c>
      <c r="CE768" s="117" t="e">
        <f aca="false" ca="false" dt2D="false" dtr="false" t="normal">+CE767+1</f>
        <v>#REF!</v>
      </c>
      <c r="CF768" s="104" t="s">
        <v>227</v>
      </c>
      <c r="CG768" s="104" t="s">
        <v>713</v>
      </c>
      <c r="CH768" s="232" t="n">
        <f aca="false" ca="true" dt2D="false" dtr="false" t="normal">SUBTOTAL(9, CI768:CW768)</f>
        <v>5895354.539999999</v>
      </c>
      <c r="CI768" s="192" t="n">
        <v>4514672.54</v>
      </c>
      <c r="CJ768" s="114" t="n"/>
      <c r="CK768" s="243" t="n">
        <v>1291650.98</v>
      </c>
      <c r="CL768" s="114" t="n"/>
      <c r="CM768" s="114" t="n">
        <v>0</v>
      </c>
      <c r="CN768" s="114" t="n"/>
      <c r="CO768" s="106" t="n"/>
      <c r="CP768" s="114" t="n">
        <v>0</v>
      </c>
      <c r="CQ768" s="114" t="n"/>
      <c r="CR768" s="114" t="n">
        <v>0</v>
      </c>
      <c r="CS768" s="114" t="n">
        <v>0</v>
      </c>
      <c r="CT768" s="114" t="n">
        <v>0</v>
      </c>
      <c r="CU768" s="114" t="n"/>
      <c r="CV768" s="114" t="n"/>
      <c r="CW768" s="115" t="n">
        <v>89031.02</v>
      </c>
      <c r="CX768" s="3" t="n">
        <f aca="false" ca="false" dt2D="false" dtr="false" t="normal">+N768-CH768</f>
        <v>-89031.01999999862</v>
      </c>
      <c r="CZ768" s="104" t="s">
        <v>713</v>
      </c>
      <c r="DA768" s="186" t="n">
        <f aca="false" ca="true" dt2D="false" dtr="false" t="normal">SUBTOTAL(9, DB768:DP768)</f>
        <v>5806323.52</v>
      </c>
      <c r="DB768" s="192" t="n">
        <v>4514672.54</v>
      </c>
      <c r="DC768" s="114" t="n"/>
      <c r="DD768" s="243" t="n">
        <v>1291650.98</v>
      </c>
      <c r="DE768" s="114" t="n"/>
      <c r="DF768" s="114" t="n">
        <v>0</v>
      </c>
      <c r="DG768" s="114" t="n"/>
      <c r="DH768" s="106" t="n"/>
      <c r="DI768" s="114" t="n">
        <v>0</v>
      </c>
      <c r="DJ768" s="114" t="n"/>
      <c r="DK768" s="114" t="n">
        <v>0</v>
      </c>
      <c r="DL768" s="114" t="n">
        <v>0</v>
      </c>
      <c r="DM768" s="114" t="n">
        <v>0</v>
      </c>
      <c r="DN768" s="114" t="n"/>
      <c r="DO768" s="114" t="n"/>
      <c r="DP768" s="240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</row>
    <row customFormat="true" hidden="false" ht="15" outlineLevel="0" r="769" s="1">
      <c r="A769" s="183" t="n">
        <f aca="false" ca="false" dt2D="false" dtr="false" t="normal">+A768+1</f>
        <v>747</v>
      </c>
      <c r="B769" s="117" t="n">
        <f aca="false" ca="false" dt2D="false" dtr="false" t="normal">+B768+1</f>
        <v>287</v>
      </c>
      <c r="C769" s="117" t="s">
        <v>227</v>
      </c>
      <c r="D769" s="117" t="s">
        <v>714</v>
      </c>
      <c r="E769" s="201" t="n">
        <v>1969</v>
      </c>
      <c r="F769" s="201" t="n">
        <v>2015</v>
      </c>
      <c r="G769" s="201" t="s">
        <v>68</v>
      </c>
      <c r="H769" s="201" t="n">
        <v>4</v>
      </c>
      <c r="I769" s="201" t="n">
        <v>2</v>
      </c>
      <c r="J769" s="114" t="n">
        <v>1374</v>
      </c>
      <c r="K769" s="114" t="n">
        <v>1181.29</v>
      </c>
      <c r="L769" s="114" t="n">
        <v>71.9</v>
      </c>
      <c r="M769" s="202" t="n">
        <v>60</v>
      </c>
      <c r="N769" s="108" t="n">
        <f aca="false" ca="false" dt2D="false" dtr="false" t="normal">SUM(P769:T769)</f>
        <v>11173587.76</v>
      </c>
      <c r="O769" s="114" t="n"/>
      <c r="P769" s="113" t="n">
        <v>1032644.99</v>
      </c>
      <c r="Q769" s="114" t="n"/>
      <c r="R769" s="113" t="n">
        <v>141917.14</v>
      </c>
      <c r="S769" s="113" t="n">
        <v>5008840.2</v>
      </c>
      <c r="T769" s="113" t="n">
        <v>4990185.43</v>
      </c>
      <c r="U769" s="114" t="n">
        <v>11006.1386376876</v>
      </c>
      <c r="V769" s="114" t="n">
        <v>1400.283020064</v>
      </c>
      <c r="W769" s="110" t="n">
        <v>2024</v>
      </c>
      <c r="X769" s="9" t="e">
        <f aca="false" ca="false" dt2D="false" dtr="false" t="normal">+#REF!-'[9]Приложение №1'!$P1853</f>
        <v>#REF!</v>
      </c>
      <c r="Z769" s="113" t="n">
        <f aca="false" ca="false" dt2D="false" dtr="false" t="normal">SUM(AA769:AO769)</f>
        <v>15905124.78</v>
      </c>
      <c r="AA769" s="106" t="n">
        <v>3582758.69974932</v>
      </c>
      <c r="AB769" s="106" t="n">
        <v>1313807.18781186</v>
      </c>
      <c r="AC769" s="106" t="n">
        <v>1372620.20308434</v>
      </c>
      <c r="AD769" s="106" t="n">
        <v>859363.24454652</v>
      </c>
      <c r="AE769" s="106" t="n">
        <v>0</v>
      </c>
      <c r="AF769" s="106" t="n"/>
      <c r="AG769" s="106" t="n">
        <v>118276.93283028</v>
      </c>
      <c r="AH769" s="106" t="n">
        <v>0</v>
      </c>
      <c r="AI769" s="106" t="n">
        <v>6740324.6043672</v>
      </c>
      <c r="AJ769" s="106" t="n">
        <v>0</v>
      </c>
      <c r="AK769" s="106" t="n">
        <v>0</v>
      </c>
      <c r="AL769" s="106" t="n">
        <v>0</v>
      </c>
      <c r="AM769" s="106" t="n">
        <v>1453051.999</v>
      </c>
      <c r="AN769" s="114" t="n">
        <v>159051.2478</v>
      </c>
      <c r="AO769" s="115" t="n">
        <v>305870.66081048</v>
      </c>
      <c r="AP769" s="112" t="n">
        <f aca="false" ca="false" dt2D="false" dtr="false" t="normal">+N769-'Приложение №2'!E769</f>
        <v>0</v>
      </c>
      <c r="AQ769" s="9" t="n">
        <f aca="false" ca="false" dt2D="false" dtr="false" t="normal">637763.96</f>
        <v>637763.96</v>
      </c>
      <c r="AR769" s="3" t="n">
        <f aca="false" ca="false" dt2D="false" dtr="false" t="normal">+(K769*10.5+L769*21)*12*0.85</f>
        <v>141917.139</v>
      </c>
      <c r="AS769" s="3" t="n">
        <f aca="false" ca="false" dt2D="false" dtr="false" t="normal">+(K769*10.5+L769*21)*12*30</f>
        <v>5008840.2</v>
      </c>
      <c r="AT769" s="9" t="n">
        <f aca="false" ca="false" dt2D="false" dtr="false" t="normal">+S769-AS769</f>
        <v>0</v>
      </c>
      <c r="AU769" s="9" t="e">
        <f aca="false" ca="false" dt2D="false" dtr="false" t="normal">+P769-'[5]Приложение №1'!$P680</f>
        <v>#REF!</v>
      </c>
      <c r="AV769" s="9" t="e">
        <f aca="false" ca="false" dt2D="false" dtr="false" t="normal">+Q769-'[5]Приложение №1'!$Q680</f>
        <v>#REF!</v>
      </c>
      <c r="AW769" s="186" t="n">
        <f aca="false" ca="true" dt2D="false" dtr="false" t="normal">SUBTOTAL(9, AX769:BL769)</f>
        <v>13001441.511314001</v>
      </c>
      <c r="AX769" s="106" t="n">
        <v>3885914.284896</v>
      </c>
      <c r="AY769" s="106" t="n"/>
      <c r="AZ769" s="106" t="n">
        <v>1513519.582134</v>
      </c>
      <c r="BA769" s="106" t="n"/>
      <c r="BB769" s="106" t="n">
        <v>0</v>
      </c>
      <c r="BC769" s="106" t="n"/>
      <c r="BD769" s="106" t="n">
        <v>118276.93283028</v>
      </c>
      <c r="BE769" s="106" t="n">
        <v>0</v>
      </c>
      <c r="BF769" s="106" t="n">
        <v>7398774.379374</v>
      </c>
      <c r="BG769" s="106" t="n">
        <v>0</v>
      </c>
      <c r="BH769" s="106" t="n">
        <v>0</v>
      </c>
      <c r="BI769" s="106" t="n">
        <v>0</v>
      </c>
      <c r="BJ769" s="106" t="n"/>
      <c r="BK769" s="114" t="n"/>
      <c r="BL769" s="115" t="n">
        <v>84956.33207972</v>
      </c>
      <c r="BM769" s="186" t="n">
        <f aca="false" ca="true" dt2D="false" dtr="false" t="normal">SUBTOTAL(9, BN769:CB769)</f>
        <v>13001441.511314001</v>
      </c>
      <c r="BN769" s="106" t="n">
        <v>3885914.284896</v>
      </c>
      <c r="BO769" s="106" t="n"/>
      <c r="BP769" s="106" t="n">
        <v>1513519.582134</v>
      </c>
      <c r="BQ769" s="106" t="n"/>
      <c r="BR769" s="106" t="n">
        <v>0</v>
      </c>
      <c r="BS769" s="106" t="n"/>
      <c r="BT769" s="106" t="n">
        <v>118276.93283028</v>
      </c>
      <c r="BU769" s="106" t="n">
        <v>0</v>
      </c>
      <c r="BV769" s="106" t="n">
        <v>7398774.379374</v>
      </c>
      <c r="BW769" s="106" t="n">
        <v>0</v>
      </c>
      <c r="BX769" s="106" t="n">
        <v>0</v>
      </c>
      <c r="BY769" s="106" t="n">
        <v>0</v>
      </c>
      <c r="BZ769" s="106" t="n"/>
      <c r="CA769" s="114" t="n"/>
      <c r="CB769" s="115" t="n">
        <v>84956.33207972</v>
      </c>
      <c r="CD769" s="116" t="e">
        <f aca="false" ca="false" dt2D="false" dtr="false" t="normal">+CD768+1</f>
        <v>#REF!</v>
      </c>
      <c r="CE769" s="117" t="e">
        <f aca="false" ca="false" dt2D="false" dtr="false" t="normal">+CE768+1</f>
        <v>#REF!</v>
      </c>
      <c r="CF769" s="104" t="s">
        <v>227</v>
      </c>
      <c r="CG769" s="104" t="s">
        <v>714</v>
      </c>
      <c r="CH769" s="232" t="n">
        <f aca="false" ca="true" dt2D="false" dtr="false" t="normal">SUBTOTAL(9, CI769:CW769)</f>
        <v>11258544.09</v>
      </c>
      <c r="CI769" s="192" t="n">
        <v>4350161.84</v>
      </c>
      <c r="CJ769" s="114" t="n"/>
      <c r="CK769" s="114" t="n">
        <v>1513519.58</v>
      </c>
      <c r="CL769" s="114" t="n"/>
      <c r="CM769" s="114" t="n">
        <v>0</v>
      </c>
      <c r="CN769" s="114" t="n"/>
      <c r="CO769" s="106" t="n"/>
      <c r="CP769" s="114" t="n">
        <v>0</v>
      </c>
      <c r="CQ769" s="243" t="n">
        <v>5309906.34</v>
      </c>
      <c r="CR769" s="114" t="n">
        <v>0</v>
      </c>
      <c r="CS769" s="114" t="n">
        <v>0</v>
      </c>
      <c r="CT769" s="114" t="n">
        <v>0</v>
      </c>
      <c r="CU769" s="114" t="n"/>
      <c r="CV769" s="114" t="n"/>
      <c r="CW769" s="115" t="n">
        <v>84956.33</v>
      </c>
      <c r="CX769" s="3" t="n">
        <f aca="false" ca="false" dt2D="false" dtr="false" t="normal">+N769-CH769</f>
        <v>-84956.33000000007</v>
      </c>
      <c r="CZ769" s="104" t="s">
        <v>714</v>
      </c>
      <c r="DA769" s="186" t="n">
        <f aca="false" ca="true" dt2D="false" dtr="false" t="normal">SUBTOTAL(9, DB769:DP769)</f>
        <v>11173587.76</v>
      </c>
      <c r="DB769" s="192" t="n">
        <v>4350161.84</v>
      </c>
      <c r="DC769" s="114" t="n"/>
      <c r="DD769" s="114" t="n">
        <v>1513519.58</v>
      </c>
      <c r="DE769" s="114" t="n"/>
      <c r="DF769" s="114" t="n">
        <v>0</v>
      </c>
      <c r="DG769" s="114" t="n"/>
      <c r="DH769" s="106" t="n"/>
      <c r="DI769" s="114" t="n">
        <v>0</v>
      </c>
      <c r="DJ769" s="243" t="n">
        <v>5309906.34</v>
      </c>
      <c r="DK769" s="114" t="n">
        <v>0</v>
      </c>
      <c r="DL769" s="114" t="n">
        <v>0</v>
      </c>
      <c r="DM769" s="114" t="n">
        <v>0</v>
      </c>
      <c r="DN769" s="114" t="n"/>
      <c r="DO769" s="114" t="n"/>
      <c r="DP769" s="240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</row>
    <row customFormat="true" hidden="false" ht="15" outlineLevel="0" r="770" s="1">
      <c r="A770" s="183" t="n">
        <f aca="false" ca="false" dt2D="false" dtr="false" t="normal">+A769+1</f>
        <v>748</v>
      </c>
      <c r="B770" s="117" t="n">
        <f aca="false" ca="false" dt2D="false" dtr="false" t="normal">+B769+1</f>
        <v>288</v>
      </c>
      <c r="C770" s="104" t="s">
        <v>227</v>
      </c>
      <c r="D770" s="104" t="s">
        <v>715</v>
      </c>
      <c r="E770" s="105" t="n">
        <v>1971</v>
      </c>
      <c r="F770" s="105" t="n">
        <v>2017</v>
      </c>
      <c r="G770" s="105" t="s">
        <v>68</v>
      </c>
      <c r="H770" s="105" t="n">
        <v>4</v>
      </c>
      <c r="I770" s="105" t="n">
        <v>3</v>
      </c>
      <c r="J770" s="106" t="n">
        <v>2241.3</v>
      </c>
      <c r="K770" s="106" t="n">
        <v>1923.5</v>
      </c>
      <c r="L770" s="106" t="n">
        <v>103.1</v>
      </c>
      <c r="M770" s="107" t="n">
        <v>95</v>
      </c>
      <c r="N770" s="108" t="n">
        <f aca="false" ca="false" dt2D="false" dtr="false" t="normal">SUM(P770:T770)</f>
        <v>3043629.21</v>
      </c>
      <c r="O770" s="114" t="n"/>
      <c r="P770" s="114" t="n">
        <v>0</v>
      </c>
      <c r="Q770" s="114" t="n"/>
      <c r="R770" s="113" t="n">
        <v>1168598.31</v>
      </c>
      <c r="S770" s="113" t="n">
        <v>1875030.9</v>
      </c>
      <c r="T770" s="114" t="n">
        <v>0</v>
      </c>
      <c r="U770" s="114" t="n">
        <v>1534.68233494523</v>
      </c>
      <c r="V770" s="114" t="n">
        <v>1534.68233494523</v>
      </c>
      <c r="W770" s="110" t="n">
        <v>2024</v>
      </c>
      <c r="X770" s="9" t="e">
        <f aca="false" ca="false" dt2D="false" dtr="false" t="normal">+#REF!-'[9]Приложение №1'!$P1617</f>
        <v>#REF!</v>
      </c>
      <c r="Z770" s="113" t="n">
        <f aca="false" ca="false" dt2D="false" dtr="false" t="normal">SUM(AA770:AO770)</f>
        <v>3150457</v>
      </c>
      <c r="AA770" s="106" t="n">
        <v>0</v>
      </c>
      <c r="AB770" s="106" t="n">
        <v>0</v>
      </c>
      <c r="AC770" s="106" t="n">
        <v>2743903.125978</v>
      </c>
      <c r="AD770" s="106" t="n">
        <v>0</v>
      </c>
      <c r="AE770" s="106" t="n">
        <v>0</v>
      </c>
      <c r="AF770" s="106" t="n"/>
      <c r="AG770" s="106" t="n">
        <v>0</v>
      </c>
      <c r="AH770" s="106" t="n">
        <v>0</v>
      </c>
      <c r="AI770" s="106" t="n">
        <v>0</v>
      </c>
      <c r="AJ770" s="106" t="n">
        <v>0</v>
      </c>
      <c r="AK770" s="106" t="n">
        <v>0</v>
      </c>
      <c r="AL770" s="106" t="n">
        <v>0</v>
      </c>
      <c r="AM770" s="106" t="n">
        <v>315045.7</v>
      </c>
      <c r="AN770" s="114" t="n">
        <v>31504.57</v>
      </c>
      <c r="AO770" s="115" t="n">
        <v>60003.604022</v>
      </c>
      <c r="AP770" s="112" t="n">
        <f aca="false" ca="false" dt2D="false" dtr="false" t="normal">+N770-'Приложение №2'!E770</f>
        <v>0</v>
      </c>
      <c r="AQ770" s="1" t="n">
        <v>951368.91</v>
      </c>
      <c r="AR770" s="3" t="n">
        <f aca="false" ca="false" dt2D="false" dtr="false" t="normal">+(K770*10+L770*20)*12*0.85</f>
        <v>217229.4</v>
      </c>
      <c r="AS770" s="3" t="n">
        <f aca="false" ca="false" dt2D="false" dtr="false" t="normal">+(K770*10+L770*20)*12*30</f>
        <v>7666920</v>
      </c>
      <c r="AT770" s="9" t="n">
        <f aca="false" ca="false" dt2D="false" dtr="false" t="normal">+S770-AS770</f>
        <v>-5791889.1</v>
      </c>
      <c r="AU770" s="9" t="e">
        <f aca="false" ca="false" dt2D="false" dtr="false" t="normal">+P770-'[5]Приложение №1'!$P395</f>
        <v>#REF!</v>
      </c>
      <c r="AV770" s="9" t="e">
        <f aca="false" ca="false" dt2D="false" dtr="false" t="normal">+Q770-'[5]Приложение №1'!$Q395</f>
        <v>#REF!</v>
      </c>
      <c r="AW770" s="113" t="n">
        <f aca="false" ca="true" dt2D="false" dtr="false" t="normal">SUBTOTAL(9, AX770:BL770)</f>
        <v>3110187.22</v>
      </c>
      <c r="AX770" s="106" t="n">
        <v>0</v>
      </c>
      <c r="AY770" s="106" t="n">
        <v>0</v>
      </c>
      <c r="AZ770" s="106" t="n">
        <v>3043629.213492</v>
      </c>
      <c r="BA770" s="106" t="n">
        <v>0</v>
      </c>
      <c r="BB770" s="106" t="n">
        <v>0</v>
      </c>
      <c r="BC770" s="106" t="n"/>
      <c r="BD770" s="106" t="n"/>
      <c r="BE770" s="106" t="n">
        <v>0</v>
      </c>
      <c r="BF770" s="106" t="n">
        <v>0</v>
      </c>
      <c r="BG770" s="106" t="n">
        <v>0</v>
      </c>
      <c r="BH770" s="106" t="n">
        <v>0</v>
      </c>
      <c r="BI770" s="106" t="n">
        <v>0</v>
      </c>
      <c r="BJ770" s="106" t="n"/>
      <c r="BK770" s="114" t="n"/>
      <c r="BL770" s="187" t="n">
        <v>66558.006508</v>
      </c>
      <c r="BM770" s="113" t="n">
        <f aca="false" ca="true" dt2D="false" dtr="false" t="normal">SUBTOTAL(9, BN770:CB770)</f>
        <v>3110187.22</v>
      </c>
      <c r="BN770" s="106" t="n">
        <v>0</v>
      </c>
      <c r="BO770" s="106" t="n">
        <v>0</v>
      </c>
      <c r="BP770" s="106" t="n">
        <v>3043629.213492</v>
      </c>
      <c r="BQ770" s="106" t="n">
        <v>0</v>
      </c>
      <c r="BR770" s="106" t="n">
        <v>0</v>
      </c>
      <c r="BS770" s="106" t="n"/>
      <c r="BT770" s="106" t="n"/>
      <c r="BU770" s="106" t="n">
        <v>0</v>
      </c>
      <c r="BV770" s="106" t="n">
        <v>0</v>
      </c>
      <c r="BW770" s="106" t="n">
        <v>0</v>
      </c>
      <c r="BX770" s="106" t="n">
        <v>0</v>
      </c>
      <c r="BY770" s="106" t="n">
        <v>0</v>
      </c>
      <c r="BZ770" s="106" t="n"/>
      <c r="CA770" s="114" t="n"/>
      <c r="CB770" s="115" t="n">
        <v>66558.006508</v>
      </c>
      <c r="CD770" s="116" t="e">
        <f aca="false" ca="false" dt2D="false" dtr="false" t="normal">+CD769+1</f>
        <v>#REF!</v>
      </c>
      <c r="CE770" s="117" t="e">
        <f aca="false" ca="false" dt2D="false" dtr="false" t="normal">+CE769+1</f>
        <v>#REF!</v>
      </c>
      <c r="CF770" s="104" t="s">
        <v>227</v>
      </c>
      <c r="CG770" s="117" t="s">
        <v>715</v>
      </c>
      <c r="CH770" s="108" t="n">
        <f aca="false" ca="true" dt2D="false" dtr="false" t="normal">SUBTOTAL(9, CI770:CW770)</f>
        <v>3110187.2199999997</v>
      </c>
      <c r="CI770" s="106" t="n">
        <v>0</v>
      </c>
      <c r="CJ770" s="114" t="n">
        <v>0</v>
      </c>
      <c r="CK770" s="114" t="n">
        <v>3043629.21</v>
      </c>
      <c r="CL770" s="114" t="n">
        <v>0</v>
      </c>
      <c r="CM770" s="114" t="n">
        <v>0</v>
      </c>
      <c r="CN770" s="114" t="n"/>
      <c r="CO770" s="106" t="n"/>
      <c r="CP770" s="114" t="n">
        <v>0</v>
      </c>
      <c r="CQ770" s="114" t="n">
        <v>0</v>
      </c>
      <c r="CR770" s="114" t="n">
        <v>0</v>
      </c>
      <c r="CS770" s="114" t="n">
        <v>0</v>
      </c>
      <c r="CT770" s="114" t="n">
        <v>0</v>
      </c>
      <c r="CU770" s="114" t="n"/>
      <c r="CV770" s="114" t="n"/>
      <c r="CW770" s="115" t="n">
        <v>66558.01</v>
      </c>
      <c r="CX770" s="3" t="n">
        <f aca="false" ca="false" dt2D="false" dtr="false" t="normal">+N770-CH770</f>
        <v>-66558.00999999978</v>
      </c>
      <c r="CZ770" s="117" t="s">
        <v>715</v>
      </c>
      <c r="DA770" s="113" t="n">
        <f aca="false" ca="true" dt2D="false" dtr="false" t="normal">SUBTOTAL(9, DB770:DP770)</f>
        <v>3043629.21</v>
      </c>
      <c r="DB770" s="106" t="n">
        <v>0</v>
      </c>
      <c r="DC770" s="114" t="n">
        <v>0</v>
      </c>
      <c r="DD770" s="114" t="n">
        <v>3043629.21</v>
      </c>
      <c r="DE770" s="114" t="n">
        <v>0</v>
      </c>
      <c r="DF770" s="114" t="n">
        <v>0</v>
      </c>
      <c r="DG770" s="114" t="n"/>
      <c r="DH770" s="106" t="n"/>
      <c r="DI770" s="114" t="n">
        <v>0</v>
      </c>
      <c r="DJ770" s="114" t="n">
        <v>0</v>
      </c>
      <c r="DK770" s="114" t="n">
        <v>0</v>
      </c>
      <c r="DL770" s="114" t="n">
        <v>0</v>
      </c>
      <c r="DM770" s="114" t="n">
        <v>0</v>
      </c>
      <c r="DN770" s="114" t="n"/>
      <c r="DO770" s="114" t="n"/>
      <c r="DP770" s="240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</row>
    <row customFormat="true" hidden="false" ht="15" outlineLevel="0" r="771" s="1">
      <c r="A771" s="183" t="n">
        <f aca="false" ca="false" dt2D="false" dtr="false" t="normal">+A770+1</f>
        <v>749</v>
      </c>
      <c r="B771" s="117" t="n">
        <f aca="false" ca="false" dt2D="false" dtr="false" t="normal">+B770+1</f>
        <v>289</v>
      </c>
      <c r="C771" s="117" t="s">
        <v>227</v>
      </c>
      <c r="D771" s="117" t="s">
        <v>716</v>
      </c>
      <c r="E771" s="201" t="n">
        <v>1971</v>
      </c>
      <c r="F771" s="201" t="n">
        <v>2015</v>
      </c>
      <c r="G771" s="201" t="s">
        <v>68</v>
      </c>
      <c r="H771" s="201" t="n">
        <v>4</v>
      </c>
      <c r="I771" s="201" t="n">
        <v>3</v>
      </c>
      <c r="J771" s="114" t="n">
        <v>2198.9</v>
      </c>
      <c r="K771" s="114" t="n">
        <v>1976.38</v>
      </c>
      <c r="L771" s="114" t="n">
        <v>127.2</v>
      </c>
      <c r="M771" s="202" t="n">
        <v>98</v>
      </c>
      <c r="N771" s="108" t="n">
        <f aca="false" ca="false" dt2D="false" dtr="false" t="normal">SUM(P771:T771)</f>
        <v>6390068.59</v>
      </c>
      <c r="O771" s="114" t="n"/>
      <c r="P771" s="114" t="n">
        <v>0</v>
      </c>
      <c r="Q771" s="114" t="n"/>
      <c r="R771" s="113" t="n">
        <v>871266.81</v>
      </c>
      <c r="S771" s="113" t="n">
        <v>5433939.01</v>
      </c>
      <c r="T771" s="113" t="n">
        <v>84862.77</v>
      </c>
      <c r="U771" s="114" t="n">
        <v>3062.91555348501</v>
      </c>
      <c r="V771" s="114" t="n">
        <v>3062.91555348501</v>
      </c>
      <c r="W771" s="110" t="n">
        <v>2024</v>
      </c>
      <c r="X771" s="9" t="e">
        <f aca="false" ca="false" dt2D="false" dtr="false" t="normal">+#REF!-'[9]Приложение №1'!$P1618</f>
        <v>#REF!</v>
      </c>
      <c r="Z771" s="113" t="n">
        <f aca="false" ca="false" dt2D="false" dtr="false" t="normal">SUM(AA771:AO771)</f>
        <v>6502812.74</v>
      </c>
      <c r="AA771" s="106" t="n">
        <v>5790923.81810124</v>
      </c>
      <c r="AB771" s="106" t="n">
        <v>0</v>
      </c>
      <c r="AC771" s="106" t="n">
        <v>0</v>
      </c>
      <c r="AD771" s="106" t="n">
        <v>0</v>
      </c>
      <c r="AE771" s="106" t="n">
        <v>0</v>
      </c>
      <c r="AF771" s="106" t="n"/>
      <c r="AG771" s="106" t="n">
        <v>0</v>
      </c>
      <c r="AH771" s="106" t="n">
        <v>0</v>
      </c>
      <c r="AI771" s="106" t="n">
        <v>0</v>
      </c>
      <c r="AJ771" s="106" t="n">
        <v>0</v>
      </c>
      <c r="AK771" s="106" t="n">
        <v>0</v>
      </c>
      <c r="AL771" s="106" t="n">
        <v>0</v>
      </c>
      <c r="AM771" s="106" t="n">
        <v>520225.0192</v>
      </c>
      <c r="AN771" s="114" t="n">
        <v>65028.1274</v>
      </c>
      <c r="AO771" s="115" t="n">
        <v>126635.77529876</v>
      </c>
      <c r="AP771" s="112" t="n">
        <f aca="false" ca="false" dt2D="false" dtr="false" t="normal">+N771-'Приложение №2'!E771</f>
        <v>0</v>
      </c>
      <c r="AQ771" s="1" t="n">
        <v>781609.33</v>
      </c>
      <c r="AR771" s="3" t="n">
        <f aca="false" ca="false" dt2D="false" dtr="false" t="normal">+(K771*10+L771*20)*12*0.85</f>
        <v>227539.56000000003</v>
      </c>
      <c r="AS771" s="3" t="n">
        <f aca="false" ca="false" dt2D="false" dtr="false" t="normal">+(K771*10+L771*20)*12*30</f>
        <v>8030808.000000001</v>
      </c>
      <c r="AT771" s="9" t="n">
        <f aca="false" ca="false" dt2D="false" dtr="false" t="normal">+S771-AS771</f>
        <v>-2596868.990000001</v>
      </c>
      <c r="AU771" s="9" t="e">
        <f aca="false" ca="false" dt2D="false" dtr="false" t="normal">+P771-'[5]Приложение №1'!$P396</f>
        <v>#REF!</v>
      </c>
      <c r="AV771" s="9" t="e">
        <f aca="false" ca="false" dt2D="false" dtr="false" t="normal">+Q771-'[5]Приложение №1'!$Q396</f>
        <v>#REF!</v>
      </c>
      <c r="AW771" s="113" t="n">
        <f aca="false" ca="true" dt2D="false" dtr="false" t="normal">SUBTOTAL(9, AX771:BL771)</f>
        <v>6443087.899999999</v>
      </c>
      <c r="AX771" s="106" t="n">
        <v>6305205.81894</v>
      </c>
      <c r="AY771" s="106" t="n">
        <v>0</v>
      </c>
      <c r="AZ771" s="106" t="n">
        <v>0</v>
      </c>
      <c r="BA771" s="106" t="n">
        <v>0</v>
      </c>
      <c r="BB771" s="106" t="n">
        <v>0</v>
      </c>
      <c r="BC771" s="106" t="n"/>
      <c r="BD771" s="106" t="n"/>
      <c r="BE771" s="106" t="n">
        <v>0</v>
      </c>
      <c r="BF771" s="106" t="n">
        <v>0</v>
      </c>
      <c r="BG771" s="106" t="n">
        <v>0</v>
      </c>
      <c r="BH771" s="106" t="n">
        <v>0</v>
      </c>
      <c r="BI771" s="106" t="n">
        <v>0</v>
      </c>
      <c r="BJ771" s="106" t="n"/>
      <c r="BK771" s="114" t="n"/>
      <c r="BL771" s="115" t="n">
        <v>137882.08106</v>
      </c>
      <c r="BM771" s="113" t="n">
        <f aca="false" ca="true" dt2D="false" dtr="false" t="normal">SUBTOTAL(9, BN771:CB771)</f>
        <v>6443087.899999999</v>
      </c>
      <c r="BN771" s="106" t="n">
        <v>6305205.81894</v>
      </c>
      <c r="BO771" s="106" t="n">
        <v>0</v>
      </c>
      <c r="BP771" s="106" t="n">
        <v>0</v>
      </c>
      <c r="BQ771" s="106" t="n">
        <v>0</v>
      </c>
      <c r="BR771" s="106" t="n">
        <v>0</v>
      </c>
      <c r="BS771" s="106" t="n"/>
      <c r="BT771" s="106" t="n"/>
      <c r="BU771" s="106" t="n">
        <v>0</v>
      </c>
      <c r="BV771" s="106" t="n">
        <v>0</v>
      </c>
      <c r="BW771" s="106" t="n">
        <v>0</v>
      </c>
      <c r="BX771" s="106" t="n">
        <v>0</v>
      </c>
      <c r="BY771" s="106" t="n">
        <v>0</v>
      </c>
      <c r="BZ771" s="106" t="n"/>
      <c r="CA771" s="114" t="n"/>
      <c r="CB771" s="115" t="n">
        <v>137882.08106</v>
      </c>
      <c r="CD771" s="116" t="e">
        <f aca="false" ca="false" dt2D="false" dtr="false" t="normal">+CD770+1</f>
        <v>#REF!</v>
      </c>
      <c r="CE771" s="117" t="e">
        <f aca="false" ca="false" dt2D="false" dtr="false" t="normal">+CE770+1</f>
        <v>#REF!</v>
      </c>
      <c r="CF771" s="104" t="s">
        <v>227</v>
      </c>
      <c r="CG771" s="104" t="s">
        <v>716</v>
      </c>
      <c r="CH771" s="108" t="n">
        <f aca="false" ca="true" dt2D="false" dtr="false" t="normal">SUBTOTAL(9, CI771:CW771)</f>
        <v>6527950.67</v>
      </c>
      <c r="CI771" s="192" t="n">
        <v>6390068.59</v>
      </c>
      <c r="CJ771" s="114" t="n">
        <v>0</v>
      </c>
      <c r="CK771" s="114" t="n">
        <v>0</v>
      </c>
      <c r="CL771" s="114" t="n">
        <v>0</v>
      </c>
      <c r="CM771" s="114" t="n">
        <v>0</v>
      </c>
      <c r="CN771" s="114" t="n"/>
      <c r="CO771" s="106" t="n"/>
      <c r="CP771" s="114" t="n">
        <v>0</v>
      </c>
      <c r="CQ771" s="114" t="n">
        <v>0</v>
      </c>
      <c r="CR771" s="114" t="n">
        <v>0</v>
      </c>
      <c r="CS771" s="114" t="n">
        <v>0</v>
      </c>
      <c r="CT771" s="114" t="n">
        <v>0</v>
      </c>
      <c r="CU771" s="114" t="n"/>
      <c r="CV771" s="114" t="n"/>
      <c r="CW771" s="115" t="n">
        <v>137882.08</v>
      </c>
      <c r="CX771" s="3" t="n">
        <f aca="false" ca="false" dt2D="false" dtr="false" t="normal">+N771-CH771</f>
        <v>-137882.08000000007</v>
      </c>
      <c r="CZ771" s="104" t="s">
        <v>716</v>
      </c>
      <c r="DA771" s="113" t="n">
        <f aca="false" ca="true" dt2D="false" dtr="false" t="normal">SUBTOTAL(9, DB771:DP771)</f>
        <v>6390068.59</v>
      </c>
      <c r="DB771" s="192" t="n">
        <v>6390068.59</v>
      </c>
      <c r="DC771" s="114" t="n">
        <v>0</v>
      </c>
      <c r="DD771" s="114" t="n">
        <v>0</v>
      </c>
      <c r="DE771" s="114" t="n">
        <v>0</v>
      </c>
      <c r="DF771" s="114" t="n">
        <v>0</v>
      </c>
      <c r="DG771" s="114" t="n"/>
      <c r="DH771" s="106" t="n"/>
      <c r="DI771" s="114" t="n">
        <v>0</v>
      </c>
      <c r="DJ771" s="114" t="n">
        <v>0</v>
      </c>
      <c r="DK771" s="114" t="n">
        <v>0</v>
      </c>
      <c r="DL771" s="114" t="n">
        <v>0</v>
      </c>
      <c r="DM771" s="114" t="n">
        <v>0</v>
      </c>
      <c r="DN771" s="114" t="n"/>
      <c r="DO771" s="114" t="n"/>
      <c r="DP771" s="240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</row>
    <row customFormat="true" hidden="false" ht="15" outlineLevel="0" r="772" s="1">
      <c r="A772" s="183" t="n">
        <f aca="false" ca="false" dt2D="false" dtr="false" t="normal">+A771+1</f>
        <v>750</v>
      </c>
      <c r="B772" s="117" t="n">
        <f aca="false" ca="false" dt2D="false" dtr="false" t="normal">+B771+1</f>
        <v>290</v>
      </c>
      <c r="C772" s="104" t="s">
        <v>227</v>
      </c>
      <c r="D772" s="104" t="s">
        <v>240</v>
      </c>
      <c r="E772" s="105" t="n">
        <v>1974</v>
      </c>
      <c r="F772" s="105" t="n">
        <v>2014</v>
      </c>
      <c r="G772" s="105" t="s">
        <v>68</v>
      </c>
      <c r="H772" s="105" t="n">
        <v>4</v>
      </c>
      <c r="I772" s="105" t="n">
        <v>6</v>
      </c>
      <c r="J772" s="106" t="n">
        <v>4464.7</v>
      </c>
      <c r="K772" s="106" t="n">
        <v>4072.9</v>
      </c>
      <c r="L772" s="106" t="n">
        <v>35.1</v>
      </c>
      <c r="M772" s="107" t="n">
        <v>161</v>
      </c>
      <c r="N772" s="108" t="n">
        <f aca="false" ca="false" dt2D="false" dtr="false" t="normal">SUM(P772:T772)</f>
        <v>14270289.69</v>
      </c>
      <c r="O772" s="106" t="n"/>
      <c r="P772" s="114" t="n">
        <v>0</v>
      </c>
      <c r="Q772" s="114" t="n"/>
      <c r="R772" s="114" t="n"/>
      <c r="S772" s="113" t="n">
        <v>11740593.2</v>
      </c>
      <c r="T772" s="114" t="n">
        <v>2529696.49</v>
      </c>
      <c r="U772" s="106" t="n">
        <v>2920.48106044304</v>
      </c>
      <c r="V772" s="106" t="n">
        <v>2920.48106044304</v>
      </c>
      <c r="W772" s="110" t="n">
        <v>2024</v>
      </c>
      <c r="X772" s="9" t="e">
        <f aca="false" ca="false" dt2D="false" dtr="false" t="normal">+#REF!-'[9]Приложение №1'!$P827</f>
        <v>#REF!</v>
      </c>
      <c r="Z772" s="113" t="n">
        <f aca="false" ca="false" dt2D="false" dtr="false" t="normal">SUM(AA772:AO772)</f>
        <v>13183885.930000018</v>
      </c>
      <c r="AA772" s="106" t="n">
        <v>11740593.2016992</v>
      </c>
      <c r="AB772" s="106" t="n">
        <v>0</v>
      </c>
      <c r="AC772" s="106" t="n">
        <v>0</v>
      </c>
      <c r="AD772" s="106" t="n">
        <v>0</v>
      </c>
      <c r="AE772" s="106" t="n">
        <v>0</v>
      </c>
      <c r="AF772" s="106" t="n"/>
      <c r="AG772" s="106" t="n">
        <v>0</v>
      </c>
      <c r="AH772" s="106" t="n">
        <v>0</v>
      </c>
      <c r="AI772" s="106" t="n">
        <v>0</v>
      </c>
      <c r="AJ772" s="106" t="n">
        <v>0</v>
      </c>
      <c r="AK772" s="106" t="n">
        <v>0</v>
      </c>
      <c r="AL772" s="106" t="n">
        <v>0</v>
      </c>
      <c r="AM772" s="106" t="n">
        <v>1054710.8744</v>
      </c>
      <c r="AN772" s="114" t="n">
        <v>131838.8593</v>
      </c>
      <c r="AO772" s="115" t="n">
        <v>256742.99460082</v>
      </c>
      <c r="AP772" s="112" t="n">
        <f aca="false" ca="false" dt2D="false" dtr="false" t="normal">+N772-'Приложение №2'!E772</f>
        <v>0</v>
      </c>
      <c r="AQ772" s="9" t="n">
        <f aca="false" ca="false" dt2D="false" dtr="false" t="normal">1783982.53-1137414.79-R162</f>
        <v>-860352.1699999999</v>
      </c>
      <c r="AR772" s="3" t="n">
        <f aca="false" ca="false" dt2D="false" dtr="false" t="normal">+(K772*10+L772*20)*12*0.85</f>
        <v>422596.2</v>
      </c>
      <c r="AS772" s="3" t="n">
        <f aca="false" ca="false" dt2D="false" dtr="false" t="normal">+(K772*10+L772*20)*12*30-1312050.47-S162</f>
        <v>13603109.53</v>
      </c>
      <c r="AT772" s="9" t="n">
        <f aca="false" ca="false" dt2D="false" dtr="false" t="normal">+S772-AS772</f>
        <v>-1862516.33</v>
      </c>
      <c r="AU772" s="9" t="e">
        <f aca="false" ca="false" dt2D="false" dtr="false" t="normal">+P772-'[5]Приложение №1'!$P400</f>
        <v>#REF!</v>
      </c>
      <c r="AV772" s="9" t="e">
        <f aca="false" ca="false" dt2D="false" dtr="false" t="normal">+Q772-'[5]Приложение №1'!$Q400</f>
        <v>#REF!</v>
      </c>
      <c r="AW772" s="113" t="n">
        <f aca="false" ca="true" dt2D="false" dtr="false" t="normal">SUBTOTAL(9, AX772:BL772)</f>
        <v>11997336.196300019</v>
      </c>
      <c r="AX772" s="106" t="n">
        <v>11740593.2016992</v>
      </c>
      <c r="AY772" s="106" t="n">
        <v>0</v>
      </c>
      <c r="AZ772" s="106" t="n">
        <v>0</v>
      </c>
      <c r="BA772" s="106" t="n">
        <v>0</v>
      </c>
      <c r="BB772" s="106" t="n">
        <v>0</v>
      </c>
      <c r="BC772" s="106" t="n"/>
      <c r="BD772" s="106" t="n"/>
      <c r="BE772" s="106" t="n">
        <v>0</v>
      </c>
      <c r="BF772" s="106" t="n">
        <v>0</v>
      </c>
      <c r="BG772" s="106" t="n">
        <v>0</v>
      </c>
      <c r="BH772" s="106" t="n">
        <v>0</v>
      </c>
      <c r="BI772" s="106" t="n">
        <v>0</v>
      </c>
      <c r="BJ772" s="106" t="n"/>
      <c r="BK772" s="114" t="n"/>
      <c r="BL772" s="187" t="n">
        <v>256742.99460082</v>
      </c>
      <c r="BM772" s="113" t="n">
        <f aca="false" ca="true" dt2D="false" dtr="false" t="normal">SUBTOTAL(9, BN772:CB772)</f>
        <v>11997336.196300019</v>
      </c>
      <c r="BN772" s="106" t="n">
        <v>11740593.2016992</v>
      </c>
      <c r="BO772" s="106" t="n">
        <v>0</v>
      </c>
      <c r="BP772" s="106" t="n">
        <v>0</v>
      </c>
      <c r="BQ772" s="106" t="n">
        <v>0</v>
      </c>
      <c r="BR772" s="106" t="n">
        <v>0</v>
      </c>
      <c r="BS772" s="106" t="n"/>
      <c r="BT772" s="106" t="n"/>
      <c r="BU772" s="106" t="n">
        <v>0</v>
      </c>
      <c r="BV772" s="106" t="n">
        <v>0</v>
      </c>
      <c r="BW772" s="106" t="n">
        <v>0</v>
      </c>
      <c r="BX772" s="106" t="n">
        <v>0</v>
      </c>
      <c r="BY772" s="106" t="n">
        <v>0</v>
      </c>
      <c r="BZ772" s="106" t="n"/>
      <c r="CA772" s="114" t="n"/>
      <c r="CB772" s="115" t="n">
        <v>256742.99460082</v>
      </c>
      <c r="CD772" s="116" t="e">
        <f aca="false" ca="false" dt2D="false" dtr="false" t="normal">+CD771+1</f>
        <v>#REF!</v>
      </c>
      <c r="CE772" s="117" t="e">
        <f aca="false" ca="false" dt2D="false" dtr="false" t="normal">+CE771+1</f>
        <v>#REF!</v>
      </c>
      <c r="CF772" s="104" t="s">
        <v>227</v>
      </c>
      <c r="CG772" s="117" t="s">
        <v>240</v>
      </c>
      <c r="CH772" s="108" t="n">
        <f aca="false" ca="true" dt2D="false" dtr="false" t="normal">SUBTOTAL(9, CI772:CW772)</f>
        <v>14446132.38</v>
      </c>
      <c r="CI772" s="106" t="n">
        <v>14189389.39</v>
      </c>
      <c r="CJ772" s="114" t="n">
        <v>0</v>
      </c>
      <c r="CK772" s="114" t="n">
        <v>0</v>
      </c>
      <c r="CL772" s="114" t="n">
        <v>0</v>
      </c>
      <c r="CM772" s="114" t="n">
        <v>0</v>
      </c>
      <c r="CN772" s="114" t="n"/>
      <c r="CO772" s="106" t="n"/>
      <c r="CP772" s="114" t="n">
        <v>0</v>
      </c>
      <c r="CQ772" s="114" t="n">
        <v>0</v>
      </c>
      <c r="CR772" s="114" t="n">
        <v>0</v>
      </c>
      <c r="CS772" s="114" t="n">
        <v>0</v>
      </c>
      <c r="CT772" s="114" t="n">
        <v>0</v>
      </c>
      <c r="CU772" s="114" t="n"/>
      <c r="CV772" s="114" t="n"/>
      <c r="CW772" s="115" t="n">
        <v>256742.99</v>
      </c>
      <c r="CX772" s="3" t="n">
        <f aca="false" ca="false" dt2D="false" dtr="false" t="normal">+N772-CH772</f>
        <v>-175842.69000000134</v>
      </c>
      <c r="CZ772" s="117" t="s">
        <v>240</v>
      </c>
      <c r="DA772" s="113" t="n">
        <f aca="false" ca="true" dt2D="false" dtr="false" t="normal">SUBTOTAL(9, DB772:DP772)</f>
        <v>14270289.693500001</v>
      </c>
      <c r="DB772" s="106" t="n">
        <v>14189389.39</v>
      </c>
      <c r="DC772" s="114" t="n">
        <v>0</v>
      </c>
      <c r="DD772" s="114" t="n">
        <v>0</v>
      </c>
      <c r="DE772" s="114" t="n">
        <v>0</v>
      </c>
      <c r="DF772" s="114" t="n">
        <v>0</v>
      </c>
      <c r="DG772" s="114" t="n"/>
      <c r="DH772" s="106" t="n"/>
      <c r="DI772" s="114" t="n">
        <v>0</v>
      </c>
      <c r="DJ772" s="114" t="n">
        <v>0</v>
      </c>
      <c r="DK772" s="114" t="n">
        <v>0</v>
      </c>
      <c r="DL772" s="114" t="n">
        <v>0</v>
      </c>
      <c r="DM772" s="114" t="n">
        <v>0</v>
      </c>
      <c r="DN772" s="114" t="n"/>
      <c r="DO772" s="114" t="n"/>
      <c r="DP772" s="115" t="n">
        <f aca="false" ca="false" dt2D="false" dtr="false" t="normal">70348.09*1.15</f>
        <v>80900.3035</v>
      </c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</row>
    <row customFormat="true" hidden="false" ht="15" outlineLevel="0" r="773" s="1">
      <c r="A773" s="183" t="n">
        <f aca="false" ca="false" dt2D="false" dtr="false" t="normal">+A772+1</f>
        <v>751</v>
      </c>
      <c r="B773" s="117" t="n">
        <f aca="false" ca="false" dt2D="false" dtr="false" t="normal">+B772+1</f>
        <v>291</v>
      </c>
      <c r="C773" s="117" t="s">
        <v>227</v>
      </c>
      <c r="D773" s="117" t="s">
        <v>717</v>
      </c>
      <c r="E773" s="201" t="n">
        <v>1968</v>
      </c>
      <c r="F773" s="201" t="n">
        <v>2013</v>
      </c>
      <c r="G773" s="201" t="s">
        <v>68</v>
      </c>
      <c r="H773" s="201" t="n">
        <v>4</v>
      </c>
      <c r="I773" s="201" t="n">
        <v>2</v>
      </c>
      <c r="J773" s="114" t="n">
        <v>1327.8</v>
      </c>
      <c r="K773" s="114" t="n">
        <v>1187.9</v>
      </c>
      <c r="L773" s="114" t="n">
        <v>88.4</v>
      </c>
      <c r="M773" s="202" t="n">
        <v>51</v>
      </c>
      <c r="N773" s="108" t="n">
        <f aca="false" ca="false" dt2D="false" dtr="false" t="normal">SUM(P773:T773)</f>
        <v>10843494.15</v>
      </c>
      <c r="O773" s="114" t="n"/>
      <c r="P773" s="113" t="n">
        <v>981537.54</v>
      </c>
      <c r="Q773" s="114" t="n"/>
      <c r="R773" s="113" t="n">
        <v>146159.37</v>
      </c>
      <c r="S773" s="113" t="n">
        <v>5158566</v>
      </c>
      <c r="T773" s="113" t="n">
        <v>4557231.24</v>
      </c>
      <c r="U773" s="114" t="n">
        <v>10559.4394600572</v>
      </c>
      <c r="V773" s="114" t="n">
        <v>1402.283020064</v>
      </c>
      <c r="W773" s="110" t="n">
        <v>2024</v>
      </c>
      <c r="X773" s="9" t="e">
        <f aca="false" ca="false" dt2D="false" dtr="false" t="normal">+#REF!-'[9]Приложение №1'!$P1855</f>
        <v>#REF!</v>
      </c>
      <c r="Z773" s="113" t="n">
        <f aca="false" ca="false" dt2D="false" dtr="false" t="normal">SUM(AA773:AO773)</f>
        <v>15295757.84</v>
      </c>
      <c r="AA773" s="106" t="n">
        <v>3445493.84139324</v>
      </c>
      <c r="AB773" s="106" t="n">
        <v>1263471.79490826</v>
      </c>
      <c r="AC773" s="106" t="n">
        <v>1320031.53024918</v>
      </c>
      <c r="AD773" s="106" t="n">
        <v>826438.78871232</v>
      </c>
      <c r="AE773" s="106" t="n">
        <v>0</v>
      </c>
      <c r="AF773" s="106" t="n"/>
      <c r="AG773" s="106" t="n">
        <v>113745.43921776</v>
      </c>
      <c r="AH773" s="106" t="n">
        <v>0</v>
      </c>
      <c r="AI773" s="106" t="n">
        <v>6482085.136506</v>
      </c>
      <c r="AJ773" s="106" t="n">
        <v>0</v>
      </c>
      <c r="AK773" s="106" t="n">
        <v>0</v>
      </c>
      <c r="AL773" s="106" t="n">
        <v>0</v>
      </c>
      <c r="AM773" s="106" t="n">
        <v>1397381.775</v>
      </c>
      <c r="AN773" s="114" t="n">
        <v>152957.5784</v>
      </c>
      <c r="AO773" s="115" t="n">
        <v>294151.95561324</v>
      </c>
      <c r="AP773" s="112" t="n">
        <f aca="false" ca="false" dt2D="false" dtr="false" t="normal">+N773-'Приложение №2'!E773</f>
        <v>0</v>
      </c>
      <c r="AQ773" s="9" t="n">
        <f aca="false" ca="false" dt2D="false" dtr="false" t="normal">611049.15</f>
        <v>611049.15</v>
      </c>
      <c r="AR773" s="3" t="n">
        <f aca="false" ca="false" dt2D="false" dtr="false" t="normal">+(K773*10.5+L773*21)*12*0.85</f>
        <v>146159.37</v>
      </c>
      <c r="AS773" s="3" t="n">
        <f aca="false" ca="false" dt2D="false" dtr="false" t="normal">+(K773*10.5+L773*21)*12*30</f>
        <v>5158566</v>
      </c>
      <c r="AT773" s="9" t="n">
        <f aca="false" ca="false" dt2D="false" dtr="false" t="normal">+S773-AS773</f>
        <v>0</v>
      </c>
      <c r="AU773" s="9" t="e">
        <f aca="false" ca="false" dt2D="false" dtr="false" t="normal">+P773-'[5]Приложение №1'!$P682</f>
        <v>#REF!</v>
      </c>
      <c r="AV773" s="9" t="e">
        <f aca="false" ca="false" dt2D="false" dtr="false" t="normal">+Q773-'[5]Приложение №1'!$Q682</f>
        <v>#REF!</v>
      </c>
      <c r="AW773" s="186" t="n">
        <f aca="false" ca="true" dt2D="false" dtr="false" t="normal">SUBTOTAL(9, AX773:BL773)</f>
        <v>12543558.134602001</v>
      </c>
      <c r="AX773" s="106" t="n">
        <v>3735025.203504</v>
      </c>
      <c r="AY773" s="106" t="n"/>
      <c r="AZ773" s="106" t="n">
        <v>1454526.423042</v>
      </c>
      <c r="BA773" s="106" t="n"/>
      <c r="BB773" s="106" t="n">
        <v>0</v>
      </c>
      <c r="BC773" s="106" t="n"/>
      <c r="BD773" s="106" t="n">
        <v>113745.43921776</v>
      </c>
      <c r="BE773" s="106" t="n">
        <v>0</v>
      </c>
      <c r="BF773" s="106" t="n">
        <v>7157698.588656</v>
      </c>
      <c r="BG773" s="106" t="n">
        <v>0</v>
      </c>
      <c r="BH773" s="106" t="n">
        <v>0</v>
      </c>
      <c r="BI773" s="106" t="n">
        <v>0</v>
      </c>
      <c r="BJ773" s="106" t="n"/>
      <c r="BK773" s="114" t="n"/>
      <c r="BL773" s="115" t="n">
        <v>82562.48018224</v>
      </c>
      <c r="BM773" s="186" t="n">
        <f aca="false" ca="true" dt2D="false" dtr="false" t="normal">SUBTOTAL(9, BN773:CB773)</f>
        <v>12543558.134602001</v>
      </c>
      <c r="BN773" s="106" t="n">
        <v>3735025.203504</v>
      </c>
      <c r="BO773" s="106" t="n"/>
      <c r="BP773" s="106" t="n">
        <v>1454526.423042</v>
      </c>
      <c r="BQ773" s="106" t="n"/>
      <c r="BR773" s="106" t="n">
        <v>0</v>
      </c>
      <c r="BS773" s="106" t="n"/>
      <c r="BT773" s="106" t="n">
        <v>113745.43921776</v>
      </c>
      <c r="BU773" s="106" t="n">
        <v>0</v>
      </c>
      <c r="BV773" s="106" t="n">
        <v>7157698.588656</v>
      </c>
      <c r="BW773" s="106" t="n">
        <v>0</v>
      </c>
      <c r="BX773" s="106" t="n">
        <v>0</v>
      </c>
      <c r="BY773" s="106" t="n">
        <v>0</v>
      </c>
      <c r="BZ773" s="106" t="n"/>
      <c r="CA773" s="114" t="n"/>
      <c r="CB773" s="115" t="n">
        <v>82562.48018224</v>
      </c>
      <c r="CD773" s="116" t="e">
        <f aca="false" ca="false" dt2D="false" dtr="false" t="normal">+CD772+1</f>
        <v>#REF!</v>
      </c>
      <c r="CE773" s="117" t="e">
        <f aca="false" ca="false" dt2D="false" dtr="false" t="normal">+CE772+1</f>
        <v>#REF!</v>
      </c>
      <c r="CF773" s="104" t="s">
        <v>227</v>
      </c>
      <c r="CG773" s="104" t="s">
        <v>717</v>
      </c>
      <c r="CH773" s="232" t="n">
        <f aca="false" ca="true" dt2D="false" dtr="false" t="normal">SUBTOTAL(9, CI773:CW773)</f>
        <v>10926056.629999999</v>
      </c>
      <c r="CI773" s="192" t="n">
        <v>4424020.72</v>
      </c>
      <c r="CJ773" s="114" t="n"/>
      <c r="CK773" s="243" t="n">
        <v>1374170.93</v>
      </c>
      <c r="CL773" s="114" t="n"/>
      <c r="CM773" s="114" t="n">
        <v>0</v>
      </c>
      <c r="CN773" s="114" t="n"/>
      <c r="CO773" s="106" t="n"/>
      <c r="CP773" s="114" t="n">
        <v>0</v>
      </c>
      <c r="CQ773" s="243" t="n">
        <v>5045302.5</v>
      </c>
      <c r="CR773" s="114" t="n">
        <v>0</v>
      </c>
      <c r="CS773" s="114" t="n">
        <v>0</v>
      </c>
      <c r="CT773" s="114" t="n">
        <v>0</v>
      </c>
      <c r="CU773" s="114" t="n"/>
      <c r="CV773" s="114" t="n"/>
      <c r="CW773" s="115" t="n">
        <v>82562.48</v>
      </c>
      <c r="CX773" s="3" t="n">
        <f aca="false" ca="false" dt2D="false" dtr="false" t="normal">+N773-CH773</f>
        <v>-82562.47999999858</v>
      </c>
      <c r="CZ773" s="104" t="s">
        <v>717</v>
      </c>
      <c r="DA773" s="186" t="n">
        <f aca="false" ca="true" dt2D="false" dtr="false" t="normal">SUBTOTAL(9, DB773:DP773)</f>
        <v>10843494.149999999</v>
      </c>
      <c r="DB773" s="192" t="n">
        <v>4424020.72</v>
      </c>
      <c r="DC773" s="114" t="n"/>
      <c r="DD773" s="243" t="n">
        <v>1374170.93</v>
      </c>
      <c r="DE773" s="114" t="n"/>
      <c r="DF773" s="114" t="n">
        <v>0</v>
      </c>
      <c r="DG773" s="114" t="n"/>
      <c r="DH773" s="106" t="n"/>
      <c r="DI773" s="114" t="n">
        <v>0</v>
      </c>
      <c r="DJ773" s="243" t="n">
        <v>5045302.5</v>
      </c>
      <c r="DK773" s="114" t="n">
        <v>0</v>
      </c>
      <c r="DL773" s="114" t="n">
        <v>0</v>
      </c>
      <c r="DM773" s="114" t="n">
        <v>0</v>
      </c>
      <c r="DN773" s="114" t="n"/>
      <c r="DO773" s="114" t="n"/>
      <c r="DP773" s="240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</row>
    <row customFormat="true" hidden="false" ht="15" outlineLevel="0" r="774" s="1">
      <c r="A774" s="183" t="n">
        <f aca="false" ca="false" dt2D="false" dtr="false" t="normal">+A773+1</f>
        <v>752</v>
      </c>
      <c r="B774" s="117" t="n">
        <f aca="false" ca="false" dt2D="false" dtr="false" t="normal">+B773+1</f>
        <v>292</v>
      </c>
      <c r="C774" s="117" t="s">
        <v>227</v>
      </c>
      <c r="D774" s="117" t="s">
        <v>718</v>
      </c>
      <c r="E774" s="201" t="n">
        <v>1988</v>
      </c>
      <c r="F774" s="201" t="n"/>
      <c r="G774" s="201" t="s">
        <v>68</v>
      </c>
      <c r="H774" s="201" t="n">
        <v>9</v>
      </c>
      <c r="I774" s="201" t="n">
        <v>1</v>
      </c>
      <c r="J774" s="114" t="n">
        <v>2265.4</v>
      </c>
      <c r="K774" s="114" t="n">
        <v>2006.2</v>
      </c>
      <c r="L774" s="114" t="n">
        <v>53.4</v>
      </c>
      <c r="M774" s="202" t="n">
        <v>74</v>
      </c>
      <c r="N774" s="108" t="n">
        <f aca="false" ca="false" dt2D="false" dtr="false" t="normal">SUM(P774:T774)</f>
        <v>6312427.59</v>
      </c>
      <c r="O774" s="114" t="n"/>
      <c r="P774" s="114" t="n"/>
      <c r="Q774" s="114" t="n"/>
      <c r="R774" s="113" t="n">
        <v>1596701.06</v>
      </c>
      <c r="S774" s="113" t="n">
        <v>4715726.53</v>
      </c>
      <c r="T774" s="114" t="n">
        <v>0</v>
      </c>
      <c r="U774" s="114" t="n">
        <v>3202.75457526837</v>
      </c>
      <c r="V774" s="114" t="n">
        <v>3202.75457526837</v>
      </c>
      <c r="W774" s="110" t="n">
        <v>2024</v>
      </c>
      <c r="X774" s="9" t="n"/>
      <c r="Z774" s="113" t="n"/>
      <c r="AA774" s="106" t="n"/>
      <c r="AB774" s="106" t="n"/>
      <c r="AC774" s="106" t="n"/>
      <c r="AD774" s="106" t="n"/>
      <c r="AE774" s="106" t="n"/>
      <c r="AF774" s="106" t="n"/>
      <c r="AG774" s="106" t="n"/>
      <c r="AH774" s="106" t="n"/>
      <c r="AI774" s="106" t="n"/>
      <c r="AJ774" s="106" t="n"/>
      <c r="AK774" s="106" t="n"/>
      <c r="AL774" s="106" t="n"/>
      <c r="AM774" s="106" t="n"/>
      <c r="AN774" s="114" t="n"/>
      <c r="AO774" s="115" t="n"/>
      <c r="AP774" s="112" t="n">
        <f aca="false" ca="false" dt2D="false" dtr="false" t="normal">+N774-'Приложение №2'!E774</f>
        <v>0</v>
      </c>
      <c r="AQ774" s="135" t="n">
        <v>1381175.06</v>
      </c>
      <c r="AR774" s="3" t="n">
        <f aca="false" ca="false" dt2D="false" dtr="false" t="normal">+(K774*10+L774*20)*12*0.85</f>
        <v>215526</v>
      </c>
      <c r="AS774" s="3" t="n">
        <f aca="false" ca="false" dt2D="false" dtr="false" t="normal">+(K774*13.29+L774*22.52)*12*30</f>
        <v>10031387.759999998</v>
      </c>
      <c r="AT774" s="9" t="n">
        <f aca="false" ca="false" dt2D="false" dtr="false" t="normal">+S774-AS774</f>
        <v>-5315661.229999998</v>
      </c>
      <c r="AU774" s="9" t="n"/>
      <c r="AV774" s="9" t="n"/>
      <c r="AW774" s="113" t="n">
        <f aca="false" ca="true" dt2D="false" dtr="false" t="normal">SUBTOTAL(9, AX774:BL774)</f>
        <v>6596393.323222746</v>
      </c>
      <c r="AX774" s="106" t="n"/>
      <c r="AY774" s="106" t="n"/>
      <c r="AZ774" s="106" t="n"/>
      <c r="BA774" s="106" t="n"/>
      <c r="BB774" s="106" t="n"/>
      <c r="BC774" s="106" t="n"/>
      <c r="BD774" s="106" t="n"/>
      <c r="BE774" s="106" t="n"/>
      <c r="BF774" s="106" t="n"/>
      <c r="BG774" s="106" t="n"/>
      <c r="BH774" s="106" t="n"/>
      <c r="BI774" s="106" t="n">
        <v>6308293.30644779</v>
      </c>
      <c r="BJ774" s="106" t="n"/>
      <c r="BK774" s="114" t="n"/>
      <c r="BL774" s="115" t="n">
        <v>288100.016774956</v>
      </c>
      <c r="BM774" s="113" t="n">
        <f aca="false" ca="true" dt2D="false" dtr="false" t="normal">SUBTOTAL(9, BN774:CB774)</f>
        <v>6596393.323222746</v>
      </c>
      <c r="BN774" s="106" t="n"/>
      <c r="BO774" s="106" t="n"/>
      <c r="BP774" s="106" t="n"/>
      <c r="BQ774" s="106" t="n"/>
      <c r="BR774" s="106" t="n"/>
      <c r="BS774" s="106" t="n"/>
      <c r="BT774" s="106" t="n"/>
      <c r="BU774" s="106" t="n"/>
      <c r="BV774" s="106" t="n"/>
      <c r="BW774" s="106" t="n"/>
      <c r="BX774" s="106" t="n"/>
      <c r="BY774" s="106" t="n">
        <v>6308293.30644779</v>
      </c>
      <c r="BZ774" s="106" t="n"/>
      <c r="CA774" s="114" t="n"/>
      <c r="CB774" s="115" t="n">
        <v>288100.016774956</v>
      </c>
      <c r="CD774" s="116" t="e">
        <f aca="false" ca="false" dt2D="false" dtr="false" t="normal">+CD773+1</f>
        <v>#REF!</v>
      </c>
      <c r="CE774" s="117" t="e">
        <f aca="false" ca="false" dt2D="false" dtr="false" t="normal">+CE773+1</f>
        <v>#REF!</v>
      </c>
      <c r="CF774" s="104" t="s">
        <v>227</v>
      </c>
      <c r="CG774" s="104" t="s">
        <v>718</v>
      </c>
      <c r="CH774" s="108" t="n">
        <f aca="false" ca="true" dt2D="false" dtr="false" t="normal">SUBTOTAL(9, CI774:CW774)</f>
        <v>6596393.33</v>
      </c>
      <c r="CI774" s="106" t="n"/>
      <c r="CJ774" s="114" t="n"/>
      <c r="CK774" s="114" t="n"/>
      <c r="CL774" s="114" t="n"/>
      <c r="CM774" s="114" t="n"/>
      <c r="CN774" s="114" t="n"/>
      <c r="CO774" s="106" t="n"/>
      <c r="CP774" s="114" t="n"/>
      <c r="CQ774" s="114" t="n"/>
      <c r="CR774" s="114" t="n"/>
      <c r="CS774" s="114" t="n"/>
      <c r="CT774" s="114" t="n">
        <v>6308293.31</v>
      </c>
      <c r="CU774" s="114" t="n"/>
      <c r="CV774" s="114" t="n"/>
      <c r="CW774" s="115" t="n">
        <v>288100.02</v>
      </c>
      <c r="CX774" s="3" t="n">
        <f aca="false" ca="false" dt2D="false" dtr="false" t="normal">+N774-CH774</f>
        <v>-283965.7400000002</v>
      </c>
      <c r="CZ774" s="104" t="s">
        <v>718</v>
      </c>
      <c r="DA774" s="113" t="n">
        <f aca="false" ca="true" dt2D="false" dtr="false" t="normal">SUBTOTAL(9, DB774:DP774)</f>
        <v>6312427.5945</v>
      </c>
      <c r="DB774" s="106" t="n"/>
      <c r="DC774" s="114" t="n"/>
      <c r="DD774" s="114" t="n"/>
      <c r="DE774" s="114" t="n"/>
      <c r="DF774" s="114" t="n"/>
      <c r="DG774" s="114" t="n"/>
      <c r="DH774" s="106" t="n"/>
      <c r="DI774" s="114" t="n"/>
      <c r="DJ774" s="114" t="n"/>
      <c r="DK774" s="114" t="n"/>
      <c r="DL774" s="114" t="n"/>
      <c r="DM774" s="114" t="n">
        <v>6308293.31</v>
      </c>
      <c r="DN774" s="114" t="n"/>
      <c r="DO774" s="114" t="n"/>
      <c r="DP774" s="115" t="n">
        <f aca="false" ca="false" dt2D="false" dtr="false" t="normal">3595.03*1.15</f>
        <v>4134.2845</v>
      </c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</row>
    <row customFormat="true" hidden="false" ht="15" outlineLevel="0" r="775" s="1">
      <c r="A775" s="183" t="n">
        <f aca="false" ca="false" dt2D="false" dtr="false" t="normal">+A774+1</f>
        <v>753</v>
      </c>
      <c r="B775" s="117" t="n">
        <f aca="false" ca="false" dt2D="false" dtr="false" t="normal">+B774+1</f>
        <v>293</v>
      </c>
      <c r="C775" s="117" t="s">
        <v>227</v>
      </c>
      <c r="D775" s="117" t="s">
        <v>425</v>
      </c>
      <c r="E775" s="105" t="n">
        <v>1986</v>
      </c>
      <c r="F775" s="105" t="n">
        <v>2015</v>
      </c>
      <c r="G775" s="105" t="s">
        <v>68</v>
      </c>
      <c r="H775" s="105" t="n">
        <v>9</v>
      </c>
      <c r="I775" s="105" t="n">
        <v>1</v>
      </c>
      <c r="J775" s="106" t="n">
        <v>2147.3</v>
      </c>
      <c r="K775" s="106" t="n">
        <v>1765</v>
      </c>
      <c r="L775" s="106" t="n">
        <v>118.1</v>
      </c>
      <c r="M775" s="107" t="n">
        <v>71</v>
      </c>
      <c r="N775" s="108" t="n">
        <f aca="false" ca="false" dt2D="false" dtr="false" t="normal">SUM(P775:T775)</f>
        <v>11733371.59</v>
      </c>
      <c r="O775" s="114" t="n"/>
      <c r="P775" s="114" t="n">
        <v>0</v>
      </c>
      <c r="Q775" s="114" t="n"/>
      <c r="R775" s="113" t="n">
        <v>229088.29</v>
      </c>
      <c r="S775" s="113" t="n">
        <v>3490952.36</v>
      </c>
      <c r="T775" s="113" t="n">
        <v>8013330.94</v>
      </c>
      <c r="U775" s="106" t="n">
        <v>10650.4915964548</v>
      </c>
      <c r="V775" s="106" t="n">
        <v>10650.4915964548</v>
      </c>
      <c r="W775" s="110" t="n">
        <v>2024</v>
      </c>
      <c r="X775" s="9" t="e">
        <f aca="false" ca="false" dt2D="false" dtr="false" t="normal">+#REF!-'[9]Приложение №1'!$P1564</f>
        <v>#REF!</v>
      </c>
      <c r="Z775" s="113" t="n">
        <f aca="false" ca="false" dt2D="false" dtr="false" t="normal">SUM(AA775:AO775)</f>
        <v>20557934.95</v>
      </c>
      <c r="AA775" s="106" t="n">
        <v>4354337.08849776</v>
      </c>
      <c r="AB775" s="106" t="n">
        <v>2988403.22921658</v>
      </c>
      <c r="AC775" s="106" t="n">
        <v>1819095.0789144</v>
      </c>
      <c r="AD775" s="106" t="n">
        <v>1641252.41830956</v>
      </c>
      <c r="AE775" s="106" t="n">
        <v>0</v>
      </c>
      <c r="AF775" s="106" t="n"/>
      <c r="AG775" s="106" t="n">
        <v>209478.567984</v>
      </c>
      <c r="AH775" s="106" t="n">
        <v>0</v>
      </c>
      <c r="AI775" s="106" t="n">
        <v>2124154.6930044</v>
      </c>
      <c r="AJ775" s="106" t="n">
        <v>0</v>
      </c>
      <c r="AK775" s="106" t="n">
        <v>0</v>
      </c>
      <c r="AL775" s="106" t="n">
        <v>4849580.8718931</v>
      </c>
      <c r="AM775" s="106" t="n">
        <v>1972729.6575</v>
      </c>
      <c r="AN775" s="114" t="n">
        <v>205579.3495</v>
      </c>
      <c r="AO775" s="115" t="n">
        <v>393323.9951802</v>
      </c>
      <c r="AP775" s="112" t="n">
        <f aca="false" ca="false" dt2D="false" dtr="false" t="normal">+N775-'Приложение №2'!E776</f>
        <v>877324.3000000007</v>
      </c>
      <c r="AQ775" s="1" t="n">
        <v>1032655.91</v>
      </c>
      <c r="AR775" s="3" t="n">
        <f aca="false" ca="false" dt2D="false" dtr="false" t="normal">+(K775*13.29+L775*22.52)*12*0.85</f>
        <v>266387.9124</v>
      </c>
      <c r="AS775" s="3" t="n">
        <f aca="false" ca="false" dt2D="false" dtr="false" t="normal">+(K775*13.29+L775*22.52)*12*30</f>
        <v>9401926.32</v>
      </c>
      <c r="AT775" s="9" t="n">
        <f aca="false" ca="false" dt2D="false" dtr="false" t="normal">+S775-AS775</f>
        <v>-5910973.960000001</v>
      </c>
      <c r="AU775" s="9" t="e">
        <f aca="false" ca="false" dt2D="false" dtr="false" t="normal">+P775-'[5]Приложение №1'!$P767</f>
        <v>#REF!</v>
      </c>
      <c r="AV775" s="9" t="e">
        <f aca="false" ca="false" dt2D="false" dtr="false" t="normal">+Q775-'[5]Приложение №1'!$Q767</f>
        <v>#REF!</v>
      </c>
      <c r="AW775" s="113" t="n">
        <f aca="false" ca="true" dt2D="false" dtr="false" t="normal">SUBTOTAL(9, AX775:BL775)</f>
        <v>20055940.725284</v>
      </c>
      <c r="AX775" s="106" t="n">
        <v>4698966.264804</v>
      </c>
      <c r="AY775" s="106" t="n">
        <v>3271249.54779</v>
      </c>
      <c r="AZ775" s="106" t="n">
        <v>1989640.022412</v>
      </c>
      <c r="BA775" s="106" t="n">
        <v>1832647.696614</v>
      </c>
      <c r="BB775" s="106" t="n">
        <v>0</v>
      </c>
      <c r="BC775" s="106" t="n"/>
      <c r="BD775" s="106" t="n">
        <v>209478.567984</v>
      </c>
      <c r="BE775" s="106" t="n">
        <v>0</v>
      </c>
      <c r="BF775" s="106" t="n">
        <v>2326355.17</v>
      </c>
      <c r="BG775" s="106" t="n">
        <v>0</v>
      </c>
      <c r="BH775" s="106" t="n">
        <v>0</v>
      </c>
      <c r="BI775" s="106" t="n">
        <v>5299064.276688</v>
      </c>
      <c r="BJ775" s="106" t="n"/>
      <c r="BK775" s="114" t="n"/>
      <c r="BL775" s="187" t="n">
        <v>428539.178992</v>
      </c>
      <c r="BM775" s="113" t="n">
        <f aca="false" ca="true" dt2D="false" dtr="false" t="normal">SUBTOTAL(9, BN775:CB775)</f>
        <v>17486564.368596</v>
      </c>
      <c r="BN775" s="106" t="n">
        <v>4698966.264804</v>
      </c>
      <c r="BO775" s="106" t="n">
        <v>3271249.54779</v>
      </c>
      <c r="BP775" s="106" t="n">
        <v>1989640.022412</v>
      </c>
      <c r="BQ775" s="106" t="n">
        <v>1832647.696614</v>
      </c>
      <c r="BR775" s="106" t="n">
        <v>0</v>
      </c>
      <c r="BS775" s="106" t="n"/>
      <c r="BT775" s="106" t="n">
        <v>209478.567984</v>
      </c>
      <c r="BU775" s="106" t="n">
        <v>0</v>
      </c>
      <c r="BV775" s="106" t="n">
        <v>2326355.17</v>
      </c>
      <c r="BW775" s="106" t="n">
        <v>0</v>
      </c>
      <c r="BX775" s="106" t="n">
        <v>0</v>
      </c>
      <c r="BY775" s="106" t="n">
        <v>2729687.92</v>
      </c>
      <c r="BZ775" s="106" t="n"/>
      <c r="CA775" s="114" t="n"/>
      <c r="CB775" s="115" t="n">
        <v>428539.178992</v>
      </c>
      <c r="CD775" s="116" t="e">
        <f aca="false" ca="false" dt2D="false" dtr="false" t="normal">+CD774+1</f>
        <v>#REF!</v>
      </c>
      <c r="CE775" s="117" t="e">
        <f aca="false" ca="false" dt2D="false" dtr="false" t="normal">+CE774+1</f>
        <v>#REF!</v>
      </c>
      <c r="CF775" s="104" t="s">
        <v>227</v>
      </c>
      <c r="CG775" s="117" t="s">
        <v>425</v>
      </c>
      <c r="CH775" s="108" t="n">
        <f aca="false" ca="true" dt2D="false" dtr="false" t="normal">SUBTOTAL(9, CI775:CW775)</f>
        <v>12161910.77</v>
      </c>
      <c r="CI775" s="106" t="n">
        <v>4698966.26</v>
      </c>
      <c r="CJ775" s="114" t="n">
        <v>3271249.55</v>
      </c>
      <c r="CK775" s="114" t="n">
        <v>1989640.02</v>
      </c>
      <c r="CL775" s="114" t="n">
        <v>1773515.76</v>
      </c>
      <c r="CM775" s="114" t="n">
        <v>0</v>
      </c>
      <c r="CN775" s="114" t="n"/>
      <c r="CO775" s="106" t="n"/>
      <c r="CP775" s="114" t="n">
        <v>0</v>
      </c>
      <c r="CQ775" s="114" t="n"/>
      <c r="CR775" s="114" t="n">
        <v>0</v>
      </c>
      <c r="CS775" s="114" t="n">
        <v>0</v>
      </c>
      <c r="CT775" s="114" t="n"/>
      <c r="CU775" s="114" t="n"/>
      <c r="CV775" s="114" t="n"/>
      <c r="CW775" s="115" t="n">
        <v>428539.18</v>
      </c>
      <c r="CX775" s="3" t="n">
        <f aca="false" ca="false" dt2D="false" dtr="false" t="normal">+N775-CH775</f>
        <v>-428539.1799999997</v>
      </c>
      <c r="CZ775" s="117" t="s">
        <v>425</v>
      </c>
      <c r="DA775" s="113" t="n">
        <f aca="false" ca="true" dt2D="false" dtr="false" t="normal">SUBTOTAL(9, DB775:DP775)</f>
        <v>11733371.59</v>
      </c>
      <c r="DB775" s="106" t="n">
        <v>4698966.26</v>
      </c>
      <c r="DC775" s="114" t="n">
        <v>3271249.55</v>
      </c>
      <c r="DD775" s="114" t="n">
        <v>1989640.02</v>
      </c>
      <c r="DE775" s="114" t="n">
        <v>1773515.76</v>
      </c>
      <c r="DF775" s="114" t="n">
        <v>0</v>
      </c>
      <c r="DG775" s="114" t="n"/>
      <c r="DH775" s="106" t="n"/>
      <c r="DI775" s="114" t="n">
        <v>0</v>
      </c>
      <c r="DJ775" s="114" t="n"/>
      <c r="DK775" s="114" t="n">
        <v>0</v>
      </c>
      <c r="DL775" s="114" t="n">
        <v>0</v>
      </c>
      <c r="DM775" s="114" t="n"/>
      <c r="DN775" s="114" t="n"/>
      <c r="DO775" s="114" t="n"/>
      <c r="DP775" s="240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</row>
    <row customFormat="true" hidden="false" ht="15" outlineLevel="0" r="776" s="1">
      <c r="A776" s="183" t="n">
        <f aca="false" ca="false" dt2D="false" dtr="false" t="normal">+A775+1</f>
        <v>754</v>
      </c>
      <c r="B776" s="117" t="n">
        <f aca="false" ca="false" dt2D="false" dtr="false" t="normal">+B775+1</f>
        <v>294</v>
      </c>
      <c r="C776" s="117" t="s">
        <v>227</v>
      </c>
      <c r="D776" s="117" t="s">
        <v>719</v>
      </c>
      <c r="E776" s="201" t="n">
        <v>1968</v>
      </c>
      <c r="F776" s="201" t="n">
        <v>2013</v>
      </c>
      <c r="G776" s="201" t="s">
        <v>68</v>
      </c>
      <c r="H776" s="201" t="n">
        <v>4</v>
      </c>
      <c r="I776" s="201" t="n">
        <v>2</v>
      </c>
      <c r="J776" s="114" t="n">
        <v>1377</v>
      </c>
      <c r="K776" s="114" t="n">
        <v>1273</v>
      </c>
      <c r="L776" s="114" t="n">
        <v>0</v>
      </c>
      <c r="M776" s="202" t="n">
        <v>50</v>
      </c>
      <c r="N776" s="108" t="n">
        <f aca="false" ca="false" dt2D="false" dtr="false" t="normal">SUM(P776:T776)</f>
        <v>10856047.29</v>
      </c>
      <c r="O776" s="114" t="n"/>
      <c r="P776" s="113" t="n">
        <v>1051075.22</v>
      </c>
      <c r="Q776" s="114" t="n"/>
      <c r="R776" s="113" t="n">
        <v>136338.3</v>
      </c>
      <c r="S776" s="113" t="n">
        <v>4811940</v>
      </c>
      <c r="T776" s="113" t="n">
        <v>4856693.77</v>
      </c>
      <c r="U776" s="114" t="n">
        <v>10383.3600175051</v>
      </c>
      <c r="V776" s="114" t="n">
        <v>1401.283020064</v>
      </c>
      <c r="W776" s="110" t="n">
        <v>2024</v>
      </c>
      <c r="X776" s="9" t="e">
        <f aca="false" ca="false" dt2D="false" dtr="false" t="normal">+#REF!-'[9]Приложение №1'!$P1854</f>
        <v>#REF!</v>
      </c>
      <c r="Z776" s="113" t="n">
        <f aca="false" ca="false" dt2D="false" dtr="false" t="normal">SUM(AA776:AO776)</f>
        <v>16166826.229999997</v>
      </c>
      <c r="AA776" s="106" t="n">
        <v>3641709.08090808</v>
      </c>
      <c r="AB776" s="106" t="n">
        <v>1335424.4489922</v>
      </c>
      <c r="AC776" s="106" t="n">
        <v>1395205.17254454</v>
      </c>
      <c r="AD776" s="106" t="n">
        <v>873503.12617344</v>
      </c>
      <c r="AE776" s="106" t="n">
        <v>0</v>
      </c>
      <c r="AF776" s="106" t="n"/>
      <c r="AG776" s="106" t="n">
        <v>120223.04998956</v>
      </c>
      <c r="AH776" s="106" t="n">
        <v>0</v>
      </c>
      <c r="AI776" s="106" t="n">
        <v>6851229.2787582</v>
      </c>
      <c r="AJ776" s="106" t="n">
        <v>0</v>
      </c>
      <c r="AK776" s="106" t="n">
        <v>0</v>
      </c>
      <c r="AL776" s="106" t="n">
        <v>0</v>
      </c>
      <c r="AM776" s="106" t="n">
        <v>1476960.382</v>
      </c>
      <c r="AN776" s="114" t="n">
        <v>161668.2623</v>
      </c>
      <c r="AO776" s="115" t="n">
        <v>310903.42833398</v>
      </c>
      <c r="AP776" s="112" t="n">
        <f aca="false" ca="false" dt2D="false" dtr="false" t="normal">+N776-'Приложение №2'!E776</f>
        <v>0</v>
      </c>
      <c r="AQ776" s="9" t="n">
        <f aca="false" ca="false" dt2D="false" dtr="false" t="normal">705454.35</f>
        <v>705454.35</v>
      </c>
      <c r="AR776" s="3" t="n">
        <f aca="false" ca="false" dt2D="false" dtr="false" t="normal">+(K776*10.5+L776*21)*12*0.85</f>
        <v>136338.3</v>
      </c>
      <c r="AS776" s="3" t="n">
        <f aca="false" ca="false" dt2D="false" dtr="false" t="normal">+(K776*10.5+L776*21)*12*30</f>
        <v>4811940</v>
      </c>
      <c r="AT776" s="9" t="n">
        <f aca="false" ca="false" dt2D="false" dtr="false" t="normal">+S776-AS776</f>
        <v>0</v>
      </c>
      <c r="AU776" s="9" t="e">
        <f aca="false" ca="false" dt2D="false" dtr="false" t="normal">+P776-'[5]Приложение №1'!$P681</f>
        <v>#REF!</v>
      </c>
      <c r="AV776" s="9" t="e">
        <f aca="false" ca="false" dt2D="false" dtr="false" t="normal">+Q776-'[5]Приложение №1'!$Q681</f>
        <v>#REF!</v>
      </c>
      <c r="AW776" s="186" t="n">
        <f aca="false" ca="true" dt2D="false" dtr="false" t="normal">SUBTOTAL(9, AX776:BL776)</f>
        <v>13218017.302283999</v>
      </c>
      <c r="AX776" s="106" t="n">
        <v>3950676.966222</v>
      </c>
      <c r="AY776" s="106" t="n"/>
      <c r="AZ776" s="106" t="n">
        <v>1538875.675722</v>
      </c>
      <c r="BA776" s="106" t="n"/>
      <c r="BB776" s="106" t="n">
        <v>0</v>
      </c>
      <c r="BC776" s="106" t="n"/>
      <c r="BD776" s="106" t="n">
        <v>120223.04998956</v>
      </c>
      <c r="BE776" s="106" t="n">
        <v>0</v>
      </c>
      <c r="BF776" s="106" t="n">
        <v>7521830.677368</v>
      </c>
      <c r="BG776" s="106" t="n">
        <v>0</v>
      </c>
      <c r="BH776" s="106" t="n">
        <v>0</v>
      </c>
      <c r="BI776" s="106" t="n">
        <v>0</v>
      </c>
      <c r="BJ776" s="106" t="n"/>
      <c r="BK776" s="114" t="n"/>
      <c r="BL776" s="115" t="n">
        <v>86410.93298244</v>
      </c>
      <c r="BM776" s="186" t="n">
        <f aca="false" ca="true" dt2D="false" dtr="false" t="normal">SUBTOTAL(9, BN776:CB776)</f>
        <v>13218017.302283999</v>
      </c>
      <c r="BN776" s="106" t="n">
        <v>3950676.966222</v>
      </c>
      <c r="BO776" s="106" t="n"/>
      <c r="BP776" s="106" t="n">
        <v>1538875.675722</v>
      </c>
      <c r="BQ776" s="106" t="n"/>
      <c r="BR776" s="106" t="n">
        <v>0</v>
      </c>
      <c r="BS776" s="106" t="n"/>
      <c r="BT776" s="106" t="n">
        <v>120223.04998956</v>
      </c>
      <c r="BU776" s="106" t="n">
        <v>0</v>
      </c>
      <c r="BV776" s="106" t="n">
        <v>7521830.677368</v>
      </c>
      <c r="BW776" s="106" t="n">
        <v>0</v>
      </c>
      <c r="BX776" s="106" t="n">
        <v>0</v>
      </c>
      <c r="BY776" s="106" t="n">
        <v>0</v>
      </c>
      <c r="BZ776" s="106" t="n"/>
      <c r="CA776" s="114" t="n"/>
      <c r="CB776" s="115" t="n">
        <v>86410.93298244</v>
      </c>
      <c r="CD776" s="116" t="e">
        <f aca="false" ca="false" dt2D="false" dtr="false" t="normal">+CD775+1</f>
        <v>#REF!</v>
      </c>
      <c r="CE776" s="117" t="e">
        <f aca="false" ca="false" dt2D="false" dtr="false" t="normal">+CE775+1</f>
        <v>#REF!</v>
      </c>
      <c r="CF776" s="104" t="s">
        <v>227</v>
      </c>
      <c r="CG776" s="104" t="s">
        <v>719</v>
      </c>
      <c r="CH776" s="232" t="n">
        <f aca="false" ca="true" dt2D="false" dtr="false" t="normal">SUBTOTAL(9, CI776:CW776)</f>
        <v>10942458.219999999</v>
      </c>
      <c r="CI776" s="192" t="n">
        <v>4395229.91</v>
      </c>
      <c r="CJ776" s="114" t="n"/>
      <c r="CK776" s="243" t="n">
        <v>1367727.47</v>
      </c>
      <c r="CL776" s="114" t="n"/>
      <c r="CM776" s="114" t="n">
        <v>0</v>
      </c>
      <c r="CN776" s="114" t="n"/>
      <c r="CO776" s="106" t="n"/>
      <c r="CP776" s="114" t="n">
        <v>0</v>
      </c>
      <c r="CQ776" s="243" t="n">
        <v>5093089.91</v>
      </c>
      <c r="CR776" s="114" t="n">
        <v>0</v>
      </c>
      <c r="CS776" s="114" t="n">
        <v>0</v>
      </c>
      <c r="CT776" s="114" t="n">
        <v>0</v>
      </c>
      <c r="CU776" s="114" t="n"/>
      <c r="CV776" s="114" t="n"/>
      <c r="CW776" s="115" t="n">
        <v>86410.93</v>
      </c>
      <c r="CX776" s="3" t="n">
        <f aca="false" ca="false" dt2D="false" dtr="false" t="normal">+N776-CH776</f>
        <v>-86410.9299999997</v>
      </c>
      <c r="CZ776" s="104" t="s">
        <v>719</v>
      </c>
      <c r="DA776" s="186" t="n">
        <f aca="false" ca="true" dt2D="false" dtr="false" t="normal">SUBTOTAL(9, DB776:DP776)</f>
        <v>10856047.29</v>
      </c>
      <c r="DB776" s="192" t="n">
        <v>4395229.91</v>
      </c>
      <c r="DC776" s="114" t="n"/>
      <c r="DD776" s="243" t="n">
        <v>1367727.47</v>
      </c>
      <c r="DE776" s="114" t="n"/>
      <c r="DF776" s="114" t="n">
        <v>0</v>
      </c>
      <c r="DG776" s="114" t="n"/>
      <c r="DH776" s="106" t="n"/>
      <c r="DI776" s="114" t="n">
        <v>0</v>
      </c>
      <c r="DJ776" s="243" t="n">
        <v>5093089.91</v>
      </c>
      <c r="DK776" s="114" t="n">
        <v>0</v>
      </c>
      <c r="DL776" s="114" t="n">
        <v>0</v>
      </c>
      <c r="DM776" s="114" t="n">
        <v>0</v>
      </c>
      <c r="DN776" s="114" t="n"/>
      <c r="DO776" s="114" t="n"/>
      <c r="DP776" s="240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</row>
    <row customFormat="true" hidden="false" ht="15" outlineLevel="0" r="777" s="1">
      <c r="A777" s="183" t="n">
        <f aca="false" ca="false" dt2D="false" dtr="false" t="normal">+A776+1</f>
        <v>755</v>
      </c>
      <c r="B777" s="117" t="n">
        <f aca="false" ca="false" dt2D="false" dtr="false" t="normal">+B776+1</f>
        <v>295</v>
      </c>
      <c r="C777" s="117" t="s">
        <v>227</v>
      </c>
      <c r="D777" s="117" t="s">
        <v>720</v>
      </c>
      <c r="E777" s="201" t="n">
        <v>1985</v>
      </c>
      <c r="F777" s="201" t="n">
        <v>2015</v>
      </c>
      <c r="G777" s="201" t="s">
        <v>68</v>
      </c>
      <c r="H777" s="201" t="n">
        <v>9</v>
      </c>
      <c r="I777" s="201" t="n">
        <v>1</v>
      </c>
      <c r="J777" s="114" t="n">
        <v>2289.2</v>
      </c>
      <c r="K777" s="114" t="n">
        <v>1890</v>
      </c>
      <c r="L777" s="114" t="n">
        <v>116.7</v>
      </c>
      <c r="M777" s="202" t="n">
        <v>81</v>
      </c>
      <c r="N777" s="108" t="n">
        <f aca="false" ca="false" dt2D="false" dtr="false" t="normal">SUM(P777:T777)</f>
        <v>17030124.549999997</v>
      </c>
      <c r="O777" s="114" t="n"/>
      <c r="P777" s="113" t="n">
        <v>3171737.67</v>
      </c>
      <c r="Q777" s="114" t="n"/>
      <c r="R777" s="113" t="n">
        <v>1581149.05</v>
      </c>
      <c r="S777" s="113" t="n">
        <v>9773929.61</v>
      </c>
      <c r="T777" s="113" t="n">
        <v>2503308.22</v>
      </c>
      <c r="U777" s="114" t="n">
        <v>10637.2933701032</v>
      </c>
      <c r="V777" s="114" t="n">
        <v>10637.2933701032</v>
      </c>
      <c r="W777" s="110" t="n">
        <v>2024</v>
      </c>
      <c r="X777" s="9" t="e">
        <f aca="false" ca="false" dt2D="false" dtr="false" t="normal">+#REF!-'[9]Приложение №1'!$P1196</f>
        <v>#REF!</v>
      </c>
      <c r="Z777" s="113" t="n">
        <f aca="false" ca="false" dt2D="false" dtr="false" t="normal">SUM(AA777:AO777)</f>
        <v>21892071.77</v>
      </c>
      <c r="AA777" s="106" t="n">
        <v>4636918.06858644</v>
      </c>
      <c r="AB777" s="106" t="n">
        <v>3182339.96734206</v>
      </c>
      <c r="AC777" s="106" t="n">
        <v>1937147.87691936</v>
      </c>
      <c r="AD777" s="106" t="n">
        <v>1747763.85706608</v>
      </c>
      <c r="AE777" s="106" t="n">
        <v>0</v>
      </c>
      <c r="AF777" s="106" t="n"/>
      <c r="AG777" s="106" t="n">
        <v>223072.9816896</v>
      </c>
      <c r="AH777" s="106" t="n">
        <v>0</v>
      </c>
      <c r="AI777" s="106" t="n">
        <v>2262004.7709924</v>
      </c>
      <c r="AJ777" s="106" t="n">
        <v>0</v>
      </c>
      <c r="AK777" s="106" t="n">
        <v>0</v>
      </c>
      <c r="AL777" s="106" t="n">
        <v>5164301.41493364</v>
      </c>
      <c r="AM777" s="106" t="n">
        <v>2100752.792</v>
      </c>
      <c r="AN777" s="114" t="n">
        <v>218920.7177</v>
      </c>
      <c r="AO777" s="115" t="n">
        <v>418849.32277042</v>
      </c>
      <c r="AP777" s="112" t="n">
        <f aca="false" ca="false" dt2D="false" dtr="false" t="normal">+N777-'Приложение №2'!E777</f>
        <v>0</v>
      </c>
      <c r="AQ777" s="1" t="n">
        <v>1298137.96</v>
      </c>
      <c r="AR777" s="3" t="n">
        <f aca="false" ca="false" dt2D="false" dtr="false" t="normal">+(K777*13.29+L777*22.52)*12*0.85</f>
        <v>283011.0768</v>
      </c>
      <c r="AS777" s="3" t="n">
        <f aca="false" ca="false" dt2D="false" dtr="false" t="normal">+(K777*13.29+L777*22.52)*12*30</f>
        <v>9988626.24</v>
      </c>
      <c r="AT777" s="9" t="n">
        <f aca="false" ca="false" dt2D="false" dtr="false" t="normal">+S777-AS777</f>
        <v>-214696.63000000082</v>
      </c>
      <c r="AU777" s="9" t="e">
        <f aca="false" ca="false" dt2D="false" dtr="false" t="normal">+P777-'[5]Приложение №1'!$P398</f>
        <v>#REF!</v>
      </c>
      <c r="AV777" s="9" t="e">
        <f aca="false" ca="false" dt2D="false" dtr="false" t="normal">+Q777-'[5]Приложение №1'!$Q398</f>
        <v>#REF!</v>
      </c>
      <c r="AW777" s="113" t="n">
        <f aca="false" ca="true" dt2D="false" dtr="false" t="normal">SUBTOTAL(9, AX777:BL777)</f>
        <v>21345856.605786</v>
      </c>
      <c r="AX777" s="106" t="n">
        <v>5008921.687476</v>
      </c>
      <c r="AY777" s="106" t="n">
        <v>3483953.111646</v>
      </c>
      <c r="AZ777" s="106" t="n">
        <v>2121517.078296</v>
      </c>
      <c r="BA777" s="106" t="n">
        <v>1954219.38012</v>
      </c>
      <c r="BB777" s="106" t="n">
        <v>0</v>
      </c>
      <c r="BC777" s="106" t="n"/>
      <c r="BD777" s="106" t="n">
        <v>223072.9816896</v>
      </c>
      <c r="BE777" s="106" t="n">
        <v>0</v>
      </c>
      <c r="BF777" s="106" t="n">
        <v>2447118.710064</v>
      </c>
      <c r="BG777" s="106" t="n">
        <v>0</v>
      </c>
      <c r="BH777" s="106" t="n">
        <v>0</v>
      </c>
      <c r="BI777" s="106" t="n">
        <v>5650252.32534</v>
      </c>
      <c r="BJ777" s="106" t="n"/>
      <c r="BK777" s="114" t="n"/>
      <c r="BL777" s="115" t="n">
        <v>456801.3311544</v>
      </c>
      <c r="BM777" s="113" t="n">
        <f aca="false" ca="true" dt2D="false" dtr="false" t="normal">SUBTOTAL(9, BN777:CB777)</f>
        <v>21345856.605786</v>
      </c>
      <c r="BN777" s="106" t="n">
        <v>5008921.687476</v>
      </c>
      <c r="BO777" s="106" t="n">
        <v>3483953.111646</v>
      </c>
      <c r="BP777" s="106" t="n">
        <v>2121517.078296</v>
      </c>
      <c r="BQ777" s="106" t="n">
        <v>1954219.38012</v>
      </c>
      <c r="BR777" s="106" t="n">
        <v>0</v>
      </c>
      <c r="BS777" s="106" t="n"/>
      <c r="BT777" s="106" t="n">
        <v>223072.9816896</v>
      </c>
      <c r="BU777" s="106" t="n">
        <v>0</v>
      </c>
      <c r="BV777" s="106" t="n">
        <v>2447118.710064</v>
      </c>
      <c r="BW777" s="106" t="n">
        <v>0</v>
      </c>
      <c r="BX777" s="106" t="n">
        <v>0</v>
      </c>
      <c r="BY777" s="106" t="n">
        <v>5650252.32534</v>
      </c>
      <c r="BZ777" s="106" t="n"/>
      <c r="CA777" s="114" t="n"/>
      <c r="CB777" s="115" t="n">
        <v>456801.3311544</v>
      </c>
      <c r="CD777" s="116" t="e">
        <f aca="false" ca="false" dt2D="false" dtr="false" t="normal">+CD776+1</f>
        <v>#REF!</v>
      </c>
      <c r="CE777" s="117" t="e">
        <f aca="false" ca="false" dt2D="false" dtr="false" t="normal">+CE776+1</f>
        <v>#REF!</v>
      </c>
      <c r="CF777" s="104" t="s">
        <v>227</v>
      </c>
      <c r="CG777" s="104" t="s">
        <v>720</v>
      </c>
      <c r="CH777" s="108" t="n">
        <f aca="false" ca="true" dt2D="false" dtr="false" t="normal">SUBTOTAL(9, CI777:CW777)</f>
        <v>17486925.879999995</v>
      </c>
      <c r="CI777" s="106" t="n">
        <v>5255348.26</v>
      </c>
      <c r="CJ777" s="114" t="n">
        <v>2576885.76</v>
      </c>
      <c r="CK777" s="114" t="n">
        <v>1123654.06</v>
      </c>
      <c r="CL777" s="114" t="n">
        <v>2148802.02</v>
      </c>
      <c r="CM777" s="114" t="n">
        <v>0</v>
      </c>
      <c r="CN777" s="114" t="n"/>
      <c r="CO777" s="106" t="n"/>
      <c r="CP777" s="114" t="n">
        <v>0</v>
      </c>
      <c r="CQ777" s="114" t="n">
        <v>2915091.37</v>
      </c>
      <c r="CR777" s="114" t="n">
        <v>0</v>
      </c>
      <c r="CS777" s="114" t="n">
        <v>0</v>
      </c>
      <c r="CT777" s="114" t="n">
        <v>3010343.08</v>
      </c>
      <c r="CU777" s="114" t="n"/>
      <c r="CV777" s="114" t="n"/>
      <c r="CW777" s="115" t="n">
        <v>456801.33</v>
      </c>
      <c r="CX777" s="3" t="n">
        <f aca="false" ca="false" dt2D="false" dtr="false" t="normal">+N777-CH777</f>
        <v>-456801.3299999982</v>
      </c>
      <c r="CZ777" s="104" t="s">
        <v>720</v>
      </c>
      <c r="DA777" s="113" t="n">
        <f aca="false" ca="true" dt2D="false" dtr="false" t="normal">SUBTOTAL(9, DB777:DP777)</f>
        <v>17030124.549999997</v>
      </c>
      <c r="DB777" s="106" t="n">
        <v>5255348.26</v>
      </c>
      <c r="DC777" s="114" t="n">
        <v>2576885.76</v>
      </c>
      <c r="DD777" s="114" t="n">
        <v>1123654.06</v>
      </c>
      <c r="DE777" s="114" t="n">
        <v>2148802.02</v>
      </c>
      <c r="DF777" s="114" t="n">
        <v>0</v>
      </c>
      <c r="DG777" s="114" t="n"/>
      <c r="DH777" s="106" t="n"/>
      <c r="DI777" s="114" t="n">
        <v>0</v>
      </c>
      <c r="DJ777" s="114" t="n">
        <v>2915091.37</v>
      </c>
      <c r="DK777" s="114" t="n">
        <v>0</v>
      </c>
      <c r="DL777" s="114" t="n">
        <v>0</v>
      </c>
      <c r="DM777" s="114" t="n">
        <v>3010343.08</v>
      </c>
      <c r="DN777" s="114" t="n"/>
      <c r="DO777" s="114" t="n"/>
      <c r="DP777" s="240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</row>
    <row customFormat="true" hidden="false" ht="15" outlineLevel="0" r="778" s="1">
      <c r="A778" s="183" t="n">
        <f aca="false" ca="false" dt2D="false" dtr="false" t="normal">+A777+1</f>
        <v>756</v>
      </c>
      <c r="B778" s="117" t="n">
        <f aca="false" ca="false" dt2D="false" dtr="false" t="normal">+B777+1</f>
        <v>296</v>
      </c>
      <c r="C778" s="117" t="s">
        <v>227</v>
      </c>
      <c r="D778" s="117" t="s">
        <v>721</v>
      </c>
      <c r="E778" s="201" t="n">
        <v>1976</v>
      </c>
      <c r="F778" s="201" t="n">
        <v>2013</v>
      </c>
      <c r="G778" s="201" t="s">
        <v>68</v>
      </c>
      <c r="H778" s="201" t="n">
        <v>4</v>
      </c>
      <c r="I778" s="201" t="n">
        <v>6</v>
      </c>
      <c r="J778" s="114" t="n">
        <v>4690.7</v>
      </c>
      <c r="K778" s="114" t="n">
        <v>4312.1</v>
      </c>
      <c r="L778" s="114" t="n">
        <v>202.5</v>
      </c>
      <c r="M778" s="202" t="n">
        <v>191</v>
      </c>
      <c r="N778" s="108" t="n">
        <f aca="false" ca="false" dt2D="false" dtr="false" t="normal">SUM(P778:T778)</f>
        <v>11400135.709999999</v>
      </c>
      <c r="O778" s="114" t="n"/>
      <c r="P778" s="114" t="n"/>
      <c r="Q778" s="114" t="n"/>
      <c r="R778" s="113" t="n">
        <v>2366806.17</v>
      </c>
      <c r="S778" s="113" t="n">
        <v>9033329.54</v>
      </c>
      <c r="T778" s="114" t="n"/>
      <c r="U778" s="114" t="n">
        <v>2792.89239868427</v>
      </c>
      <c r="V778" s="114" t="n">
        <v>2792.89239868427</v>
      </c>
      <c r="W778" s="110" t="n">
        <v>2024</v>
      </c>
      <c r="X778" s="9" t="e">
        <f aca="false" ca="false" dt2D="false" dtr="false" t="normal">+#REF!-'[9]Приложение №1'!$P502</f>
        <v>#REF!</v>
      </c>
      <c r="Z778" s="113" t="n">
        <f aca="false" ca="false" dt2D="false" dtr="false" t="normal">SUM(AA778:AO778)</f>
        <v>46137074.220000125</v>
      </c>
      <c r="AA778" s="106" t="n">
        <v>12338963.8738057</v>
      </c>
      <c r="AB778" s="106" t="n">
        <v>0</v>
      </c>
      <c r="AC778" s="106" t="n">
        <v>0</v>
      </c>
      <c r="AD778" s="106" t="n">
        <v>2959633.31448288</v>
      </c>
      <c r="AE778" s="106" t="n">
        <v>0</v>
      </c>
      <c r="AF778" s="106" t="n"/>
      <c r="AG778" s="106" t="n">
        <v>0</v>
      </c>
      <c r="AH778" s="106" t="n">
        <v>0</v>
      </c>
      <c r="AI778" s="106" t="n">
        <v>0</v>
      </c>
      <c r="AJ778" s="106" t="n">
        <v>0</v>
      </c>
      <c r="AK778" s="106" t="n">
        <v>12052636.3018921</v>
      </c>
      <c r="AL778" s="106" t="n">
        <v>12999978.8466316</v>
      </c>
      <c r="AM778" s="106" t="n">
        <v>4442091.8522</v>
      </c>
      <c r="AN778" s="114" t="n">
        <v>461370.7422</v>
      </c>
      <c r="AO778" s="115" t="n">
        <v>882399.28878784</v>
      </c>
      <c r="AP778" s="112" t="n">
        <f aca="false" ca="false" dt2D="false" dtr="false" t="normal">+N778-'Приложение №2'!E778</f>
        <v>0</v>
      </c>
      <c r="AQ778" s="1" t="n">
        <v>1885661.97</v>
      </c>
      <c r="AR778" s="3" t="n">
        <f aca="false" ca="false" dt2D="false" dtr="false" t="normal">+(K778*10+L778*20)*12*0.85</f>
        <v>481144.2</v>
      </c>
      <c r="AS778" s="3" t="n">
        <f aca="false" ca="false" dt2D="false" dtr="false" t="normal">+(K778*10+L778*20)*12*30</f>
        <v>16981560</v>
      </c>
      <c r="AT778" s="9" t="n">
        <f aca="false" ca="false" dt2D="false" dtr="false" t="normal">+S778-AS778</f>
        <v>-7948230.460000001</v>
      </c>
      <c r="AU778" s="9" t="e">
        <f aca="false" ca="false" dt2D="false" dtr="false" t="normal">+P778-'[5]Приложение №1'!$P399</f>
        <v>#REF!</v>
      </c>
      <c r="AV778" s="9" t="e">
        <f aca="false" ca="false" dt2D="false" dtr="false" t="normal">+Q778-'[5]Приложение №1'!$Q399</f>
        <v>#REF!</v>
      </c>
      <c r="AW778" s="113" t="n">
        <f aca="false" ca="true" dt2D="false" dtr="false" t="normal">SUBTOTAL(9, AX778:BL778)</f>
        <v>12608792.023100039</v>
      </c>
      <c r="AX778" s="106" t="n">
        <v>12338963.8738057</v>
      </c>
      <c r="AY778" s="106" t="n">
        <v>0</v>
      </c>
      <c r="AZ778" s="106" t="n">
        <v>0</v>
      </c>
      <c r="BA778" s="106" t="n"/>
      <c r="BB778" s="106" t="n">
        <v>0</v>
      </c>
      <c r="BC778" s="106" t="n"/>
      <c r="BD778" s="106" t="n"/>
      <c r="BE778" s="106" t="n">
        <v>0</v>
      </c>
      <c r="BF778" s="106" t="n">
        <v>0</v>
      </c>
      <c r="BG778" s="106" t="n">
        <v>0</v>
      </c>
      <c r="BH778" s="106" t="n"/>
      <c r="BI778" s="106" t="n"/>
      <c r="BJ778" s="106" t="n"/>
      <c r="BK778" s="114" t="n"/>
      <c r="BL778" s="115" t="n">
        <v>269828.14929434</v>
      </c>
      <c r="BM778" s="113" t="n">
        <f aca="false" ca="true" dt2D="false" dtr="false" t="normal">SUBTOTAL(9, BN778:CB778)</f>
        <v>12608792.023100039</v>
      </c>
      <c r="BN778" s="106" t="n">
        <v>12338963.8738057</v>
      </c>
      <c r="BO778" s="106" t="n">
        <v>0</v>
      </c>
      <c r="BP778" s="106" t="n">
        <v>0</v>
      </c>
      <c r="BQ778" s="106" t="n"/>
      <c r="BR778" s="106" t="n">
        <v>0</v>
      </c>
      <c r="BS778" s="106" t="n"/>
      <c r="BT778" s="106" t="n"/>
      <c r="BU778" s="106" t="n">
        <v>0</v>
      </c>
      <c r="BV778" s="106" t="n">
        <v>0</v>
      </c>
      <c r="BW778" s="106" t="n">
        <v>0</v>
      </c>
      <c r="BX778" s="106" t="n"/>
      <c r="BY778" s="106" t="n"/>
      <c r="BZ778" s="106" t="n"/>
      <c r="CA778" s="114" t="n"/>
      <c r="CB778" s="115" t="n">
        <v>269828.14929434</v>
      </c>
      <c r="CD778" s="116" t="e">
        <f aca="false" ca="false" dt2D="false" dtr="false" t="normal">+CD777+1</f>
        <v>#REF!</v>
      </c>
      <c r="CE778" s="117" t="e">
        <f aca="false" ca="false" dt2D="false" dtr="false" t="normal">+CE777+1</f>
        <v>#REF!</v>
      </c>
      <c r="CF778" s="104" t="s">
        <v>227</v>
      </c>
      <c r="CG778" s="104" t="s">
        <v>721</v>
      </c>
      <c r="CH778" s="108" t="n">
        <f aca="false" ca="true" dt2D="false" dtr="false" t="normal">SUBTOTAL(9, CI778:CW778)</f>
        <v>11621324.08</v>
      </c>
      <c r="CI778" s="192" t="n">
        <v>11351495.93</v>
      </c>
      <c r="CJ778" s="114" t="n">
        <v>0</v>
      </c>
      <c r="CK778" s="114" t="n">
        <v>0</v>
      </c>
      <c r="CL778" s="114" t="n"/>
      <c r="CM778" s="114" t="n">
        <v>0</v>
      </c>
      <c r="CN778" s="114" t="n"/>
      <c r="CO778" s="106" t="n"/>
      <c r="CP778" s="114" t="n">
        <v>0</v>
      </c>
      <c r="CQ778" s="114" t="n">
        <v>0</v>
      </c>
      <c r="CR778" s="114" t="n">
        <v>0</v>
      </c>
      <c r="CS778" s="114" t="n"/>
      <c r="CT778" s="114" t="n"/>
      <c r="CU778" s="114" t="n"/>
      <c r="CV778" s="114" t="n"/>
      <c r="CW778" s="115" t="n">
        <v>269828.15</v>
      </c>
      <c r="CX778" s="3" t="n">
        <f aca="false" ca="false" dt2D="false" dtr="false" t="normal">+N778-CH778</f>
        <v>-221188.37000000104</v>
      </c>
      <c r="CZ778" s="104" t="s">
        <v>721</v>
      </c>
      <c r="DA778" s="113" t="n">
        <f aca="false" ca="true" dt2D="false" dtr="false" t="normal">SUBTOTAL(9, DB778:DP778)</f>
        <v>11400135.708999999</v>
      </c>
      <c r="DB778" s="192" t="n">
        <v>11351495.93</v>
      </c>
      <c r="DC778" s="114" t="n">
        <v>0</v>
      </c>
      <c r="DD778" s="114" t="n">
        <v>0</v>
      </c>
      <c r="DE778" s="114" t="n"/>
      <c r="DF778" s="114" t="n">
        <v>0</v>
      </c>
      <c r="DG778" s="114" t="n"/>
      <c r="DH778" s="106" t="n"/>
      <c r="DI778" s="114" t="n">
        <v>0</v>
      </c>
      <c r="DJ778" s="114" t="n">
        <v>0</v>
      </c>
      <c r="DK778" s="114" t="n">
        <v>0</v>
      </c>
      <c r="DL778" s="114" t="n"/>
      <c r="DM778" s="114" t="n"/>
      <c r="DN778" s="114" t="n"/>
      <c r="DO778" s="114" t="n"/>
      <c r="DP778" s="115" t="n">
        <f aca="false" ca="false" dt2D="false" dtr="false" t="normal">42295.46*1.15</f>
        <v>48639.778999999995</v>
      </c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</row>
    <row customFormat="true" hidden="false" ht="15" outlineLevel="0" r="779" s="1">
      <c r="A779" s="183" t="n">
        <f aca="false" ca="false" dt2D="false" dtr="false" t="normal">+A778+1</f>
        <v>757</v>
      </c>
      <c r="B779" s="117" t="n">
        <f aca="false" ca="false" dt2D="false" dtr="false" t="normal">+B778+1</f>
        <v>297</v>
      </c>
      <c r="C779" s="117" t="s">
        <v>227</v>
      </c>
      <c r="D779" s="117" t="s">
        <v>722</v>
      </c>
      <c r="E779" s="201" t="n">
        <v>1992</v>
      </c>
      <c r="F779" s="201" t="n">
        <v>2016</v>
      </c>
      <c r="G779" s="201" t="s">
        <v>68</v>
      </c>
      <c r="H779" s="201" t="n">
        <v>9</v>
      </c>
      <c r="I779" s="201" t="n">
        <v>3</v>
      </c>
      <c r="J779" s="114" t="n">
        <v>6894.8</v>
      </c>
      <c r="K779" s="114" t="n">
        <v>6109.5</v>
      </c>
      <c r="L779" s="114" t="n">
        <v>0</v>
      </c>
      <c r="M779" s="202" t="n">
        <v>249</v>
      </c>
      <c r="N779" s="108" t="n">
        <f aca="false" ca="false" dt2D="false" dtr="false" t="normal">SUM(P779:T779)</f>
        <v>41271781.55</v>
      </c>
      <c r="O779" s="114" t="n"/>
      <c r="P779" s="113" t="n">
        <v>366427.43</v>
      </c>
      <c r="Q779" s="114" t="n">
        <v>0</v>
      </c>
      <c r="R779" s="113" t="n">
        <v>4951330.61</v>
      </c>
      <c r="S779" s="113" t="n">
        <v>22581209.58</v>
      </c>
      <c r="T779" s="113" t="n">
        <v>13372813.93</v>
      </c>
      <c r="U779" s="114" t="n">
        <v>8727.63742566531</v>
      </c>
      <c r="V779" s="114" t="n">
        <v>1404.283020064</v>
      </c>
      <c r="W779" s="110" t="n">
        <v>2024</v>
      </c>
      <c r="X779" s="9" t="e">
        <f aca="false" ca="false" dt2D="false" dtr="false" t="normal">+#REF!-'[9]Приложение №1'!$P828</f>
        <v>#REF!</v>
      </c>
      <c r="Z779" s="113" t="n">
        <f aca="false" ca="false" dt2D="false" dtr="false" t="normal">SUM(AA779:AO779)</f>
        <v>57606078.69</v>
      </c>
      <c r="AA779" s="106" t="n">
        <v>13823112.4839116</v>
      </c>
      <c r="AB779" s="106" t="n">
        <v>9486870.93912264</v>
      </c>
      <c r="AC779" s="106" t="n">
        <v>5774829.87425736</v>
      </c>
      <c r="AD779" s="106" t="n">
        <v>5210257.34599776</v>
      </c>
      <c r="AE779" s="106" t="n">
        <v>0</v>
      </c>
      <c r="AF779" s="106" t="n"/>
      <c r="AG779" s="106" t="n">
        <v>665002.6743696</v>
      </c>
      <c r="AH779" s="106" t="n">
        <v>0</v>
      </c>
      <c r="AI779" s="106" t="n">
        <v>0</v>
      </c>
      <c r="AJ779" s="106" t="n">
        <v>0</v>
      </c>
      <c r="AK779" s="106" t="n">
        <v>0</v>
      </c>
      <c r="AL779" s="106" t="n">
        <v>15395294.5226317</v>
      </c>
      <c r="AM779" s="106" t="n">
        <v>5573480.155</v>
      </c>
      <c r="AN779" s="114" t="n">
        <v>576060.7869</v>
      </c>
      <c r="AO779" s="115" t="n">
        <v>1101169.90780934</v>
      </c>
      <c r="AP779" s="112" t="n">
        <f aca="false" ca="false" dt2D="false" dtr="false" t="normal">+N779-'Приложение №2'!E779</f>
        <v>0</v>
      </c>
      <c r="AQ779" s="121" t="n">
        <v>4212609.77</v>
      </c>
      <c r="AR779" s="3" t="n">
        <f aca="false" ca="false" dt2D="false" dtr="false" t="normal">+(K779*13.95+L779*23.65)*12*0.85</f>
        <v>869320.7549999999</v>
      </c>
      <c r="AS779" s="3" t="n">
        <f aca="false" ca="false" dt2D="false" dtr="false" t="normal">+(K779*13.95+L779*23.65)*12*30</f>
        <v>30681908.999999996</v>
      </c>
      <c r="AT779" s="9" t="n">
        <f aca="false" ca="false" dt2D="false" dtr="false" t="normal">+S779-AS779</f>
        <v>-8100699.419999998</v>
      </c>
      <c r="AU779" s="9" t="e">
        <f aca="false" ca="false" dt2D="false" dtr="false" t="normal">+P779-'[5]Приложение №1'!$P684</f>
        <v>#REF!</v>
      </c>
      <c r="AV779" s="9" t="e">
        <f aca="false" ca="false" dt2D="false" dtr="false" t="normal">+Q779-'[5]Приложение №1'!$Q684</f>
        <v>#REF!</v>
      </c>
      <c r="AW779" s="186" t="n">
        <f aca="false" ca="true" dt2D="false" dtr="false" t="normal">SUBTOTAL(9, AX779:BL779)</f>
        <v>53321500.85210224</v>
      </c>
      <c r="AX779" s="106" t="n">
        <v>13823112.4839116</v>
      </c>
      <c r="AY779" s="106" t="n">
        <v>9486870.93912264</v>
      </c>
      <c r="AZ779" s="106" t="n">
        <v>5774829.87425736</v>
      </c>
      <c r="BA779" s="106" t="n">
        <v>7075220.45</v>
      </c>
      <c r="BB779" s="106" t="n">
        <v>0</v>
      </c>
      <c r="BC779" s="106" t="n"/>
      <c r="BD779" s="106" t="n">
        <v>665002.6743696</v>
      </c>
      <c r="BE779" s="106" t="n">
        <v>0</v>
      </c>
      <c r="BF779" s="106" t="n">
        <v>0</v>
      </c>
      <c r="BG779" s="106" t="n">
        <v>0</v>
      </c>
      <c r="BH779" s="106" t="n">
        <v>0</v>
      </c>
      <c r="BI779" s="106" t="n">
        <v>15395294.5226317</v>
      </c>
      <c r="BJ779" s="106" t="n"/>
      <c r="BK779" s="114" t="n"/>
      <c r="BL779" s="115" t="n">
        <v>1101169.90780934</v>
      </c>
      <c r="BM779" s="186" t="n">
        <f aca="false" ca="true" dt2D="false" dtr="false" t="normal">SUBTOTAL(9, BN779:CB779)</f>
        <v>53321500.85210224</v>
      </c>
      <c r="BN779" s="106" t="n">
        <v>13823112.4839116</v>
      </c>
      <c r="BO779" s="106" t="n">
        <v>9486870.93912264</v>
      </c>
      <c r="BP779" s="106" t="n">
        <v>5774829.87425736</v>
      </c>
      <c r="BQ779" s="106" t="n">
        <v>7075220.45</v>
      </c>
      <c r="BR779" s="106" t="n">
        <v>0</v>
      </c>
      <c r="BS779" s="106" t="n"/>
      <c r="BT779" s="106" t="n">
        <v>665002.6743696</v>
      </c>
      <c r="BU779" s="106" t="n">
        <v>0</v>
      </c>
      <c r="BV779" s="106" t="n">
        <v>0</v>
      </c>
      <c r="BW779" s="106" t="n">
        <v>0</v>
      </c>
      <c r="BX779" s="106" t="n">
        <v>0</v>
      </c>
      <c r="BY779" s="106" t="n">
        <v>15395294.5226317</v>
      </c>
      <c r="BZ779" s="106" t="n"/>
      <c r="CA779" s="114" t="n"/>
      <c r="CB779" s="115" t="n">
        <v>1101169.90780934</v>
      </c>
      <c r="CD779" s="116" t="e">
        <f aca="false" ca="false" dt2D="false" dtr="false" t="normal">+CD778+1</f>
        <v>#REF!</v>
      </c>
      <c r="CE779" s="117" t="e">
        <f aca="false" ca="false" dt2D="false" dtr="false" t="normal">+CE778+1</f>
        <v>#REF!</v>
      </c>
      <c r="CF779" s="104" t="s">
        <v>227</v>
      </c>
      <c r="CG779" s="104" t="s">
        <v>722</v>
      </c>
      <c r="CH779" s="232" t="n">
        <f aca="false" ca="true" dt2D="false" dtr="false" t="normal">SUBTOTAL(9, CI779:CW779)</f>
        <v>42372951.45999999</v>
      </c>
      <c r="CI779" s="106" t="n">
        <v>12794678.89</v>
      </c>
      <c r="CJ779" s="114" t="n">
        <v>12632890.62</v>
      </c>
      <c r="CK779" s="114" t="n">
        <v>6088266.41</v>
      </c>
      <c r="CL779" s="114" t="n">
        <v>7075220.45</v>
      </c>
      <c r="CM779" s="114" t="n">
        <v>0</v>
      </c>
      <c r="CN779" s="114" t="n"/>
      <c r="CO779" s="106" t="n"/>
      <c r="CP779" s="114" t="n">
        <v>0</v>
      </c>
      <c r="CQ779" s="114" t="n">
        <v>0</v>
      </c>
      <c r="CR779" s="114" t="n">
        <v>0</v>
      </c>
      <c r="CS779" s="114" t="n">
        <v>0</v>
      </c>
      <c r="CT779" s="114" t="n">
        <v>2680725.18</v>
      </c>
      <c r="CU779" s="114" t="n"/>
      <c r="CV779" s="114" t="n"/>
      <c r="CW779" s="115" t="n">
        <v>1101169.91</v>
      </c>
      <c r="CX779" s="3" t="n">
        <f aca="false" ca="false" dt2D="false" dtr="false" t="normal">+N779-CH779</f>
        <v>-1101169.9099999964</v>
      </c>
      <c r="CZ779" s="104" t="s">
        <v>722</v>
      </c>
      <c r="DA779" s="186" t="n">
        <f aca="false" ca="true" dt2D="false" dtr="false" t="normal">SUBTOTAL(9, DB779:DP779)</f>
        <v>41271781.55</v>
      </c>
      <c r="DB779" s="106" t="n">
        <v>12794678.89</v>
      </c>
      <c r="DC779" s="114" t="n">
        <v>12632890.62</v>
      </c>
      <c r="DD779" s="114" t="n">
        <v>6088266.41</v>
      </c>
      <c r="DE779" s="114" t="n">
        <v>7075220.45</v>
      </c>
      <c r="DF779" s="114" t="n">
        <v>0</v>
      </c>
      <c r="DG779" s="114" t="n"/>
      <c r="DH779" s="106" t="n"/>
      <c r="DI779" s="114" t="n">
        <v>0</v>
      </c>
      <c r="DJ779" s="114" t="n">
        <v>0</v>
      </c>
      <c r="DK779" s="114" t="n">
        <v>0</v>
      </c>
      <c r="DL779" s="114" t="n">
        <v>0</v>
      </c>
      <c r="DM779" s="114" t="n">
        <v>2680725.18</v>
      </c>
      <c r="DN779" s="114" t="n"/>
      <c r="DO779" s="114" t="n"/>
      <c r="DP779" s="240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</row>
    <row customFormat="true" hidden="false" ht="15" outlineLevel="0" r="780" s="1">
      <c r="A780" s="183" t="n">
        <f aca="false" ca="false" dt2D="false" dtr="false" t="normal">+A779+1</f>
        <v>758</v>
      </c>
      <c r="B780" s="117" t="n">
        <f aca="false" ca="false" dt2D="false" dtr="false" t="normal">+B779+1</f>
        <v>298</v>
      </c>
      <c r="C780" s="104" t="s">
        <v>227</v>
      </c>
      <c r="D780" s="104" t="s">
        <v>723</v>
      </c>
      <c r="E780" s="105" t="n">
        <v>1990</v>
      </c>
      <c r="F780" s="105" t="n">
        <v>2015</v>
      </c>
      <c r="G780" s="105" t="s">
        <v>68</v>
      </c>
      <c r="H780" s="105" t="n">
        <v>9</v>
      </c>
      <c r="I780" s="105" t="n">
        <v>4</v>
      </c>
      <c r="J780" s="106" t="n">
        <v>9225.6</v>
      </c>
      <c r="K780" s="106" t="n">
        <v>8138.5</v>
      </c>
      <c r="L780" s="106" t="n">
        <v>48</v>
      </c>
      <c r="M780" s="107" t="n">
        <v>380</v>
      </c>
      <c r="N780" s="108" t="n">
        <f aca="false" ca="false" dt2D="false" dtr="false" t="normal">SUM(P780:T780)</f>
        <v>23883812.78</v>
      </c>
      <c r="O780" s="106" t="n"/>
      <c r="P780" s="114" t="n"/>
      <c r="Q780" s="114" t="n"/>
      <c r="R780" s="113" t="n">
        <v>5532618.59</v>
      </c>
      <c r="S780" s="113" t="n">
        <v>18351194.19</v>
      </c>
      <c r="T780" s="114" t="n">
        <v>0</v>
      </c>
      <c r="U780" s="106" t="n">
        <v>3078.34406927522</v>
      </c>
      <c r="V780" s="106" t="n">
        <v>3078.34406927522</v>
      </c>
      <c r="W780" s="110" t="n">
        <v>2024</v>
      </c>
      <c r="X780" s="9" t="e">
        <f aca="false" ca="false" dt2D="false" dtr="false" t="normal">+#REF!-'[9]Приложение №1'!$P1449</f>
        <v>#REF!</v>
      </c>
      <c r="Z780" s="113" t="n">
        <f aca="false" ca="false" dt2D="false" dtr="false" t="normal">SUM(AA780:AO780)</f>
        <v>88860936.86999993</v>
      </c>
      <c r="AA780" s="106" t="n">
        <v>18821465.9713189</v>
      </c>
      <c r="AB780" s="106" t="n">
        <v>12917265.8345829</v>
      </c>
      <c r="AC780" s="106" t="n">
        <v>7862973.26941056</v>
      </c>
      <c r="AD780" s="106" t="n">
        <v>7094254.74071496</v>
      </c>
      <c r="AE780" s="106" t="n">
        <v>0</v>
      </c>
      <c r="AF780" s="106" t="n"/>
      <c r="AG780" s="106" t="n">
        <v>905463.6009216</v>
      </c>
      <c r="AH780" s="106" t="n">
        <v>0</v>
      </c>
      <c r="AI780" s="106" t="n">
        <v>9181582.5123036</v>
      </c>
      <c r="AJ780" s="106" t="n">
        <v>0</v>
      </c>
      <c r="AK780" s="106" t="n">
        <v>0</v>
      </c>
      <c r="AL780" s="106" t="n">
        <v>20962139.4755774</v>
      </c>
      <c r="AM780" s="106" t="n">
        <v>8527053.227</v>
      </c>
      <c r="AN780" s="114" t="n">
        <v>888609.3687</v>
      </c>
      <c r="AO780" s="115" t="n">
        <v>1700128.86947002</v>
      </c>
      <c r="AP780" s="112" t="n">
        <f aca="false" ca="false" dt2D="false" dtr="false" t="normal">+N780-'Приложение №2'!E780</f>
        <v>0</v>
      </c>
      <c r="AQ780" s="9" t="n">
        <f aca="false" ca="false" dt2D="false" dtr="false" t="normal">4418354.01</f>
        <v>4418354.01</v>
      </c>
      <c r="AR780" s="3" t="n">
        <f aca="false" ca="false" dt2D="false" dtr="false" t="normal">+(K780*13.29+L780*22.52)*12*0.85</f>
        <v>1114264.575</v>
      </c>
      <c r="AS780" s="3" t="n">
        <f aca="false" ca="false" dt2D="false" dtr="false" t="normal">+(K780*13.29+L780*22.52)*12*30</f>
        <v>39326985</v>
      </c>
      <c r="AT780" s="9" t="n">
        <f aca="false" ca="false" dt2D="false" dtr="false" t="normal">+S780-AS780</f>
        <v>-20975790.81</v>
      </c>
      <c r="AU780" s="9" t="e">
        <f aca="false" ca="false" dt2D="false" dtr="false" t="normal">+P780-'[5]Приложение №1'!$P404</f>
        <v>#REF!</v>
      </c>
      <c r="AV780" s="9" t="e">
        <f aca="false" ca="false" dt2D="false" dtr="false" t="normal">+Q780-'[5]Приложение №1'!$Q404</f>
        <v>#REF!</v>
      </c>
      <c r="AW780" s="113" t="n">
        <f aca="false" ca="true" dt2D="false" dtr="false" t="normal">SUBTOTAL(9, AX780:BL780)</f>
        <v>25200863.72312158</v>
      </c>
      <c r="AX780" s="106" t="n">
        <v>18821465.9713189</v>
      </c>
      <c r="AY780" s="106" t="n">
        <v>5062346.81</v>
      </c>
      <c r="AZ780" s="106" t="n"/>
      <c r="BA780" s="106" t="n"/>
      <c r="BB780" s="106" t="n"/>
      <c r="BC780" s="106" t="n"/>
      <c r="BD780" s="106" t="n">
        <v>905463.6009216</v>
      </c>
      <c r="BE780" s="106" t="n">
        <v>0</v>
      </c>
      <c r="BF780" s="106" t="n"/>
      <c r="BG780" s="106" t="n">
        <v>0</v>
      </c>
      <c r="BH780" s="106" t="n">
        <v>0</v>
      </c>
      <c r="BI780" s="106" t="n"/>
      <c r="BJ780" s="106" t="n"/>
      <c r="BK780" s="114" t="n"/>
      <c r="BL780" s="187" t="n">
        <v>411587.34088108</v>
      </c>
      <c r="BM780" s="113" t="n">
        <f aca="false" ca="true" dt2D="false" dtr="false" t="normal">SUBTOTAL(9, BN780:CB780)</f>
        <v>25200863.72312158</v>
      </c>
      <c r="BN780" s="106" t="n">
        <v>18821465.9713189</v>
      </c>
      <c r="BO780" s="106" t="n">
        <v>5062346.81</v>
      </c>
      <c r="BP780" s="106" t="n"/>
      <c r="BQ780" s="106" t="n"/>
      <c r="BR780" s="106" t="n"/>
      <c r="BS780" s="106" t="n"/>
      <c r="BT780" s="106" t="n">
        <v>905463.6009216</v>
      </c>
      <c r="BU780" s="106" t="n">
        <v>0</v>
      </c>
      <c r="BV780" s="106" t="n"/>
      <c r="BW780" s="106" t="n">
        <v>0</v>
      </c>
      <c r="BX780" s="106" t="n">
        <v>0</v>
      </c>
      <c r="BY780" s="106" t="n"/>
      <c r="BZ780" s="106" t="n"/>
      <c r="CA780" s="114" t="n"/>
      <c r="CB780" s="115" t="n">
        <v>411587.34088108</v>
      </c>
      <c r="CD780" s="116" t="e">
        <f aca="false" ca="false" dt2D="false" dtr="false" t="normal">+CD779+1</f>
        <v>#REF!</v>
      </c>
      <c r="CE780" s="117" t="e">
        <f aca="false" ca="false" dt2D="false" dtr="false" t="normal">+CE779+1</f>
        <v>#REF!</v>
      </c>
      <c r="CF780" s="104" t="s">
        <v>227</v>
      </c>
      <c r="CG780" s="117" t="s">
        <v>723</v>
      </c>
      <c r="CH780" s="108" t="n">
        <f aca="false" ca="true" dt2D="false" dtr="false" t="normal">SUBTOTAL(9, CI780:CW780)</f>
        <v>23883812.779999997</v>
      </c>
      <c r="CI780" s="106" t="n">
        <v>18821465.97</v>
      </c>
      <c r="CJ780" s="114" t="n">
        <v>5062346.81</v>
      </c>
      <c r="CK780" s="114" t="n"/>
      <c r="CL780" s="114" t="n"/>
      <c r="CM780" s="114" t="n"/>
      <c r="CN780" s="114" t="n"/>
      <c r="CO780" s="106" t="n"/>
      <c r="CP780" s="114" t="n">
        <v>0</v>
      </c>
      <c r="CQ780" s="114" t="n"/>
      <c r="CR780" s="114" t="n">
        <v>0</v>
      </c>
      <c r="CS780" s="114" t="n">
        <v>0</v>
      </c>
      <c r="CT780" s="114" t="n"/>
      <c r="CU780" s="114" t="n"/>
      <c r="CV780" s="114" t="n"/>
      <c r="CW780" s="115" t="n"/>
      <c r="CX780" s="3" t="n">
        <f aca="false" ca="false" dt2D="false" dtr="false" t="normal">+N780-CH780</f>
        <v>0</v>
      </c>
      <c r="CZ780" s="117" t="s">
        <v>723</v>
      </c>
      <c r="DA780" s="113" t="n">
        <f aca="false" ca="true" dt2D="false" dtr="false" t="normal">SUBTOTAL(9, DB780:DP780)</f>
        <v>23883812.779999997</v>
      </c>
      <c r="DB780" s="106" t="n">
        <v>18821465.97</v>
      </c>
      <c r="DC780" s="114" t="n">
        <v>5062346.81</v>
      </c>
      <c r="DD780" s="114" t="n"/>
      <c r="DE780" s="114" t="n"/>
      <c r="DF780" s="114" t="n"/>
      <c r="DG780" s="114" t="n"/>
      <c r="DH780" s="106" t="n"/>
      <c r="DI780" s="114" t="n">
        <v>0</v>
      </c>
      <c r="DJ780" s="114" t="n"/>
      <c r="DK780" s="114" t="n">
        <v>0</v>
      </c>
      <c r="DL780" s="114" t="n">
        <v>0</v>
      </c>
      <c r="DM780" s="114" t="n"/>
      <c r="DN780" s="114" t="n"/>
      <c r="DO780" s="114" t="n"/>
      <c r="DP780" s="240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</row>
    <row customFormat="true" hidden="false" ht="15" outlineLevel="0" r="781" s="1">
      <c r="A781" s="183" t="n">
        <f aca="false" ca="false" dt2D="false" dtr="false" t="normal">+A780+1</f>
        <v>759</v>
      </c>
      <c r="B781" s="117" t="n">
        <f aca="false" ca="false" dt2D="false" dtr="false" t="normal">+B780+1</f>
        <v>299</v>
      </c>
      <c r="C781" s="117" t="s">
        <v>227</v>
      </c>
      <c r="D781" s="117" t="s">
        <v>426</v>
      </c>
      <c r="E781" s="105" t="n">
        <v>1991</v>
      </c>
      <c r="F781" s="105" t="n">
        <v>2015</v>
      </c>
      <c r="G781" s="105" t="s">
        <v>68</v>
      </c>
      <c r="H781" s="105" t="n">
        <v>9</v>
      </c>
      <c r="I781" s="105" t="n">
        <v>3</v>
      </c>
      <c r="J781" s="106" t="n">
        <v>6893.1</v>
      </c>
      <c r="K781" s="106" t="n">
        <v>6102.4</v>
      </c>
      <c r="L781" s="106" t="n">
        <v>65.5</v>
      </c>
      <c r="M781" s="107" t="n">
        <v>255</v>
      </c>
      <c r="N781" s="108" t="n">
        <f aca="false" ca="false" dt2D="false" dtr="false" t="normal">SUM(P781:T781)</f>
        <v>5320168.09</v>
      </c>
      <c r="O781" s="114" t="n"/>
      <c r="P781" s="113" t="n">
        <v>1170436.98</v>
      </c>
      <c r="Q781" s="114" t="n"/>
      <c r="R781" s="113" t="n">
        <v>212806.72</v>
      </c>
      <c r="S781" s="114" t="n">
        <v>0</v>
      </c>
      <c r="T781" s="113" t="n">
        <v>3936924.39</v>
      </c>
      <c r="U781" s="106" t="n">
        <v>6681.58481325895</v>
      </c>
      <c r="V781" s="106" t="n">
        <v>6681.58481325895</v>
      </c>
      <c r="W781" s="110" t="n">
        <v>2024</v>
      </c>
      <c r="X781" s="9" t="e">
        <f aca="false" ca="false" dt2D="false" dtr="false" t="normal">+#REF!-'[9]Приложение №1'!$P1822</f>
        <v>#REF!</v>
      </c>
      <c r="Z781" s="113" t="n">
        <f aca="false" ca="false" dt2D="false" dtr="false" t="normal">SUM(AA781:AO781)</f>
        <v>135273087.03</v>
      </c>
      <c r="AA781" s="106" t="n">
        <v>14114712.016718</v>
      </c>
      <c r="AB781" s="106" t="n">
        <v>9686997.14668728</v>
      </c>
      <c r="AC781" s="106" t="n">
        <v>5896650.31475184</v>
      </c>
      <c r="AD781" s="106" t="n">
        <v>5320168.0919898</v>
      </c>
      <c r="AE781" s="106" t="n">
        <v>0</v>
      </c>
      <c r="AF781" s="106" t="n"/>
      <c r="AG781" s="106" t="n">
        <v>679030.9523424</v>
      </c>
      <c r="AH781" s="106" t="n">
        <v>0</v>
      </c>
      <c r="AI781" s="106" t="n">
        <v>6885510.0487488</v>
      </c>
      <c r="AJ781" s="106" t="n">
        <v>0</v>
      </c>
      <c r="AK781" s="106" t="n">
        <v>59777000.1804423</v>
      </c>
      <c r="AL781" s="106" t="n">
        <v>15720059.3339677</v>
      </c>
      <c r="AM781" s="106" t="n">
        <v>13258054.8255</v>
      </c>
      <c r="AN781" s="114" t="n">
        <v>1352730.8703</v>
      </c>
      <c r="AO781" s="115" t="n">
        <v>2582173.24855188</v>
      </c>
      <c r="AP781" s="112" t="n">
        <f aca="false" ca="false" dt2D="false" dtr="false" t="normal">+N781-'Приложение №2'!E782</f>
        <v>-659751.4299999997</v>
      </c>
      <c r="AQ781" s="9" t="n">
        <f aca="false" ca="false" dt2D="false" dtr="false" t="normal">3490024.25</f>
        <v>3490024.25</v>
      </c>
      <c r="AR781" s="3" t="n">
        <f aca="false" ca="false" dt2D="false" dtr="false" t="normal">+(K781*13.29+L781*22.52)*12*0.85</f>
        <v>842274.7511999998</v>
      </c>
      <c r="AS781" s="3" t="n">
        <f aca="false" ca="false" dt2D="false" dtr="false" t="normal">+(K781*13.29+L781*22.52)*12*30</f>
        <v>29727344.159999996</v>
      </c>
      <c r="AT781" s="9" t="n">
        <f aca="false" ca="false" dt2D="false" dtr="false" t="normal">+S781-AS781</f>
        <v>-29727344.159999996</v>
      </c>
      <c r="AU781" s="9" t="e">
        <f aca="false" ca="false" dt2D="false" dtr="false" t="normal">+P781-'[5]Приложение №1'!$P777</f>
        <v>#REF!</v>
      </c>
      <c r="AV781" s="9" t="e">
        <f aca="false" ca="false" dt2D="false" dtr="false" t="normal">+Q781-'[5]Приложение №1'!$Q777</f>
        <v>#REF!</v>
      </c>
      <c r="AW781" s="113" t="n">
        <f aca="false" ca="true" dt2D="false" dtr="false" t="normal">SUBTOTAL(9, AX781:BL781)</f>
        <v>41211346.96969987</v>
      </c>
      <c r="AX781" s="106" t="n">
        <v>14114712.016718</v>
      </c>
      <c r="AY781" s="106" t="n">
        <v>5068716.41</v>
      </c>
      <c r="AZ781" s="106" t="n"/>
      <c r="BA781" s="106" t="n">
        <v>5320168.0919898</v>
      </c>
      <c r="BB781" s="106" t="n"/>
      <c r="BC781" s="106" t="n"/>
      <c r="BD781" s="106" t="n">
        <v>679030.9523424</v>
      </c>
      <c r="BE781" s="106" t="n">
        <v>0</v>
      </c>
      <c r="BF781" s="106" t="n"/>
      <c r="BG781" s="106" t="n">
        <v>0</v>
      </c>
      <c r="BH781" s="106" t="n"/>
      <c r="BI781" s="106" t="n">
        <v>15720059.3339677</v>
      </c>
      <c r="BJ781" s="106" t="n"/>
      <c r="BK781" s="114" t="n"/>
      <c r="BL781" s="187" t="n">
        <v>308660.16468196</v>
      </c>
      <c r="BM781" s="113" t="n">
        <f aca="false" ca="true" dt2D="false" dtr="false" t="normal">SUBTOTAL(9, BN781:CB781)</f>
        <v>41211346.96969987</v>
      </c>
      <c r="BN781" s="106" t="n">
        <v>14114712.016718</v>
      </c>
      <c r="BO781" s="106" t="n">
        <v>5068716.41</v>
      </c>
      <c r="BP781" s="106" t="n"/>
      <c r="BQ781" s="106" t="n">
        <v>5320168.0919898</v>
      </c>
      <c r="BR781" s="106" t="n"/>
      <c r="BS781" s="106" t="n"/>
      <c r="BT781" s="106" t="n">
        <v>679030.9523424</v>
      </c>
      <c r="BU781" s="106" t="n">
        <v>0</v>
      </c>
      <c r="BV781" s="106" t="n"/>
      <c r="BW781" s="106" t="n">
        <v>0</v>
      </c>
      <c r="BX781" s="106" t="n"/>
      <c r="BY781" s="106" t="n">
        <v>15720059.3339677</v>
      </c>
      <c r="BZ781" s="106" t="n"/>
      <c r="CA781" s="114" t="n"/>
      <c r="CB781" s="115" t="n">
        <v>308660.16468196</v>
      </c>
      <c r="CD781" s="116" t="e">
        <f aca="false" ca="false" dt2D="false" dtr="false" t="normal">+CD780+1</f>
        <v>#REF!</v>
      </c>
      <c r="CE781" s="117" t="e">
        <f aca="false" ca="false" dt2D="false" dtr="false" t="normal">+CE780+1</f>
        <v>#REF!</v>
      </c>
      <c r="CF781" s="104" t="s">
        <v>227</v>
      </c>
      <c r="CG781" s="117" t="s">
        <v>426</v>
      </c>
      <c r="CH781" s="108" t="n">
        <f aca="false" ca="true" dt2D="false" dtr="false" t="normal">SUBTOTAL(9, CI781:CW781)</f>
        <v>5628828.25</v>
      </c>
      <c r="CI781" s="106" t="n"/>
      <c r="CJ781" s="114" t="n"/>
      <c r="CK781" s="114" t="n"/>
      <c r="CL781" s="114" t="n">
        <v>5320168.09</v>
      </c>
      <c r="CM781" s="114" t="n"/>
      <c r="CN781" s="114" t="n"/>
      <c r="CO781" s="106" t="n"/>
      <c r="CP781" s="114" t="n">
        <v>0</v>
      </c>
      <c r="CQ781" s="114" t="n"/>
      <c r="CR781" s="114" t="n">
        <v>0</v>
      </c>
      <c r="CS781" s="114" t="n"/>
      <c r="CT781" s="114" t="n"/>
      <c r="CU781" s="114" t="n"/>
      <c r="CV781" s="114" t="n"/>
      <c r="CW781" s="115" t="n">
        <v>308660.16</v>
      </c>
      <c r="CX781" s="3" t="n">
        <f aca="false" ca="false" dt2D="false" dtr="false" t="normal">+N781-CH781</f>
        <v>-308660.16000000015</v>
      </c>
      <c r="CZ781" s="117" t="s">
        <v>426</v>
      </c>
      <c r="DA781" s="113" t="n">
        <f aca="false" ca="true" dt2D="false" dtr="false" t="normal">SUBTOTAL(9, DB781:DP781)</f>
        <v>5320168.09</v>
      </c>
      <c r="DB781" s="106" t="n"/>
      <c r="DC781" s="114" t="n"/>
      <c r="DD781" s="114" t="n"/>
      <c r="DE781" s="114" t="n">
        <v>5320168.09</v>
      </c>
      <c r="DF781" s="114" t="n"/>
      <c r="DG781" s="114" t="n"/>
      <c r="DH781" s="106" t="n"/>
      <c r="DI781" s="114" t="n">
        <v>0</v>
      </c>
      <c r="DJ781" s="114" t="n"/>
      <c r="DK781" s="114" t="n">
        <v>0</v>
      </c>
      <c r="DL781" s="114" t="n"/>
      <c r="DM781" s="114" t="n"/>
      <c r="DN781" s="114" t="n"/>
      <c r="DO781" s="114" t="n"/>
      <c r="DP781" s="240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</row>
    <row customFormat="true" hidden="false" ht="15" outlineLevel="0" r="782" s="1">
      <c r="A782" s="183" t="n">
        <f aca="false" ca="false" dt2D="false" dtr="false" t="normal">+A781+1</f>
        <v>760</v>
      </c>
      <c r="B782" s="117" t="n">
        <f aca="false" ca="false" dt2D="false" dtr="false" t="normal">+B781+1</f>
        <v>300</v>
      </c>
      <c r="C782" s="117" t="s">
        <v>227</v>
      </c>
      <c r="D782" s="117" t="s">
        <v>724</v>
      </c>
      <c r="E782" s="201" t="n">
        <v>1989</v>
      </c>
      <c r="F782" s="201" t="n">
        <v>2015</v>
      </c>
      <c r="G782" s="201" t="s">
        <v>68</v>
      </c>
      <c r="H782" s="201" t="n">
        <v>9</v>
      </c>
      <c r="I782" s="201" t="n">
        <v>1</v>
      </c>
      <c r="J782" s="114" t="n">
        <v>2263.8</v>
      </c>
      <c r="K782" s="114" t="n">
        <v>1890.48</v>
      </c>
      <c r="L782" s="114" t="n">
        <v>120.7</v>
      </c>
      <c r="M782" s="202" t="n">
        <v>89</v>
      </c>
      <c r="N782" s="108" t="n">
        <f aca="false" ca="false" dt2D="false" dtr="false" t="normal">SUM(P782:T782)</f>
        <v>5979919.52</v>
      </c>
      <c r="O782" s="114" t="n"/>
      <c r="P782" s="114" t="n"/>
      <c r="Q782" s="114" t="n"/>
      <c r="R782" s="113" t="n">
        <v>1251783.14</v>
      </c>
      <c r="S782" s="113" t="n">
        <v>3755349.42</v>
      </c>
      <c r="T782" s="113" t="n">
        <v>972786.96</v>
      </c>
      <c r="U782" s="114" t="n">
        <v>2655.32448662139</v>
      </c>
      <c r="V782" s="114" t="n">
        <v>2655.32448662139</v>
      </c>
      <c r="W782" s="110" t="n">
        <v>2024</v>
      </c>
      <c r="X782" s="9" t="e">
        <f aca="false" ca="false" dt2D="false" dtr="false" t="normal">+#REF!-'[9]Приложение №1'!$P1448</f>
        <v>#REF!</v>
      </c>
      <c r="Z782" s="113" t="n">
        <f aca="false" ca="false" dt2D="false" dtr="false" t="normal">SUM(AA782:AO782)</f>
        <v>9119250.52</v>
      </c>
      <c r="AA782" s="106" t="n">
        <v>4650099.0199755</v>
      </c>
      <c r="AB782" s="106" t="n">
        <v>3191386.11364398</v>
      </c>
      <c r="AC782" s="106" t="n">
        <v>0</v>
      </c>
      <c r="AD782" s="106" t="n">
        <v>0</v>
      </c>
      <c r="AE782" s="106" t="n">
        <v>0</v>
      </c>
      <c r="AF782" s="106" t="n"/>
      <c r="AG782" s="106" t="n">
        <v>223707.0910032</v>
      </c>
      <c r="AH782" s="106" t="n">
        <v>0</v>
      </c>
      <c r="AI782" s="106" t="n">
        <v>0</v>
      </c>
      <c r="AJ782" s="106" t="n">
        <v>0</v>
      </c>
      <c r="AK782" s="106" t="n">
        <v>0</v>
      </c>
      <c r="AL782" s="106" t="n">
        <v>0</v>
      </c>
      <c r="AM782" s="106" t="n">
        <v>786496.371</v>
      </c>
      <c r="AN782" s="114" t="n">
        <v>91192.5052</v>
      </c>
      <c r="AO782" s="115" t="n">
        <v>176369.41917732</v>
      </c>
      <c r="AP782" s="112" t="n">
        <f aca="false" ca="false" dt2D="false" dtr="false" t="normal">+N782-'Приложение №2'!E782</f>
        <v>0</v>
      </c>
      <c r="AQ782" s="1" t="n">
        <v>1031474.39</v>
      </c>
      <c r="AR782" s="3" t="n">
        <f aca="false" ca="false" dt2D="false" dtr="false" t="normal">+(K782*13.29+L782*22.52)*12*0.85</f>
        <v>283994.96064</v>
      </c>
      <c r="AS782" s="3" t="n">
        <f aca="false" ca="false" dt2D="false" dtr="false" t="normal">+(K782*13.29+L782*22.52)*12*30</f>
        <v>10023351.552000001</v>
      </c>
      <c r="AT782" s="9" t="n">
        <f aca="false" ca="false" dt2D="false" dtr="false" t="normal">+S782-AS782</f>
        <v>-6268002.132000001</v>
      </c>
      <c r="AU782" s="9" t="e">
        <f aca="false" ca="false" dt2D="false" dtr="false" t="normal">+P782-'[5]Приложение №1'!$P403</f>
        <v>#REF!</v>
      </c>
      <c r="AV782" s="9" t="e">
        <f aca="false" ca="false" dt2D="false" dtr="false" t="normal">+Q782-'[5]Приложение №1'!$Q403</f>
        <v>#REF!</v>
      </c>
      <c r="AW782" s="113" t="n">
        <f aca="false" ca="true" dt2D="false" dtr="false" t="normal">SUBTOTAL(9, AX782:BL782)</f>
        <v>5340335.501003199</v>
      </c>
      <c r="AX782" s="106" t="n">
        <v>5007132.562026</v>
      </c>
      <c r="AY782" s="106" t="n"/>
      <c r="AZ782" s="106" t="n"/>
      <c r="BA782" s="106" t="n"/>
      <c r="BB782" s="106" t="n"/>
      <c r="BC782" s="106" t="n"/>
      <c r="BD782" s="106" t="n">
        <v>223707.0910032</v>
      </c>
      <c r="BE782" s="106" t="n">
        <v>0</v>
      </c>
      <c r="BF782" s="106" t="n">
        <v>0</v>
      </c>
      <c r="BG782" s="106" t="n">
        <v>0</v>
      </c>
      <c r="BH782" s="106" t="n">
        <v>0</v>
      </c>
      <c r="BI782" s="106" t="n"/>
      <c r="BJ782" s="106" t="n"/>
      <c r="BK782" s="114" t="n"/>
      <c r="BL782" s="115" t="n">
        <v>109495.847974</v>
      </c>
      <c r="BM782" s="113" t="n">
        <f aca="false" ca="true" dt2D="false" dtr="false" t="normal">SUBTOTAL(9, BN782:CB782)</f>
        <v>5340335.501003199</v>
      </c>
      <c r="BN782" s="106" t="n">
        <v>5007132.562026</v>
      </c>
      <c r="BO782" s="106" t="n"/>
      <c r="BP782" s="106" t="n"/>
      <c r="BQ782" s="106" t="n"/>
      <c r="BR782" s="106" t="n"/>
      <c r="BS782" s="106" t="n"/>
      <c r="BT782" s="106" t="n">
        <v>223707.0910032</v>
      </c>
      <c r="BU782" s="106" t="n">
        <v>0</v>
      </c>
      <c r="BV782" s="106" t="n">
        <v>0</v>
      </c>
      <c r="BW782" s="106" t="n">
        <v>0</v>
      </c>
      <c r="BX782" s="106" t="n">
        <v>0</v>
      </c>
      <c r="BY782" s="106" t="n"/>
      <c r="BZ782" s="106" t="n"/>
      <c r="CA782" s="114" t="n"/>
      <c r="CB782" s="115" t="n">
        <v>109495.847974</v>
      </c>
      <c r="CD782" s="116" t="e">
        <f aca="false" ca="false" dt2D="false" dtr="false" t="normal">+CD781+1</f>
        <v>#REF!</v>
      </c>
      <c r="CE782" s="117" t="e">
        <f aca="false" ca="false" dt2D="false" dtr="false" t="normal">+CE781+1</f>
        <v>#REF!</v>
      </c>
      <c r="CF782" s="104" t="s">
        <v>227</v>
      </c>
      <c r="CG782" s="104" t="s">
        <v>724</v>
      </c>
      <c r="CH782" s="108" t="n">
        <f aca="false" ca="true" dt2D="false" dtr="false" t="normal">SUBTOTAL(9, CI782:CW782)</f>
        <v>6089415.369999999</v>
      </c>
      <c r="CI782" s="192" t="n">
        <v>5979919.52</v>
      </c>
      <c r="CJ782" s="114" t="n"/>
      <c r="CK782" s="114" t="n"/>
      <c r="CL782" s="114" t="n"/>
      <c r="CM782" s="114" t="n"/>
      <c r="CN782" s="114" t="n"/>
      <c r="CO782" s="106" t="n"/>
      <c r="CP782" s="114" t="n">
        <v>0</v>
      </c>
      <c r="CQ782" s="114" t="n">
        <v>0</v>
      </c>
      <c r="CR782" s="114" t="n">
        <v>0</v>
      </c>
      <c r="CS782" s="114" t="n">
        <v>0</v>
      </c>
      <c r="CT782" s="114" t="n"/>
      <c r="CU782" s="114" t="n"/>
      <c r="CV782" s="114" t="n"/>
      <c r="CW782" s="115" t="n">
        <v>109495.85</v>
      </c>
      <c r="CX782" s="3" t="n">
        <f aca="false" ca="false" dt2D="false" dtr="false" t="normal">+N782-CH782</f>
        <v>-109495.84999999963</v>
      </c>
      <c r="CZ782" s="104" t="s">
        <v>724</v>
      </c>
      <c r="DA782" s="113" t="n">
        <f aca="false" ca="true" dt2D="false" dtr="false" t="normal">SUBTOTAL(9, DB782:DP782)</f>
        <v>5979919.52</v>
      </c>
      <c r="DB782" s="192" t="n">
        <v>5979919.52</v>
      </c>
      <c r="DC782" s="114" t="n"/>
      <c r="DD782" s="114" t="n"/>
      <c r="DE782" s="114" t="n"/>
      <c r="DF782" s="114" t="n"/>
      <c r="DG782" s="114" t="n"/>
      <c r="DH782" s="106" t="n"/>
      <c r="DI782" s="114" t="n">
        <v>0</v>
      </c>
      <c r="DJ782" s="114" t="n">
        <v>0</v>
      </c>
      <c r="DK782" s="114" t="n">
        <v>0</v>
      </c>
      <c r="DL782" s="114" t="n">
        <v>0</v>
      </c>
      <c r="DM782" s="114" t="n"/>
      <c r="DN782" s="114" t="n"/>
      <c r="DO782" s="114" t="n"/>
      <c r="DP782" s="240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</row>
    <row customFormat="true" hidden="false" ht="15" outlineLevel="0" r="783" s="1">
      <c r="A783" s="183" t="n">
        <f aca="false" ca="false" dt2D="false" dtr="false" t="normal">+A782+1</f>
        <v>761</v>
      </c>
      <c r="B783" s="117" t="n">
        <f aca="false" ca="false" dt2D="false" dtr="false" t="normal">+B782+1</f>
        <v>301</v>
      </c>
      <c r="C783" s="117" t="s">
        <v>227</v>
      </c>
      <c r="D783" s="117" t="s">
        <v>725</v>
      </c>
      <c r="E783" s="201" t="n">
        <v>1991</v>
      </c>
      <c r="F783" s="201" t="n">
        <v>2012</v>
      </c>
      <c r="G783" s="201" t="s">
        <v>68</v>
      </c>
      <c r="H783" s="201" t="n">
        <v>9</v>
      </c>
      <c r="I783" s="201" t="n">
        <v>1</v>
      </c>
      <c r="J783" s="114" t="n">
        <v>2282.58</v>
      </c>
      <c r="K783" s="114" t="n">
        <v>1973.3</v>
      </c>
      <c r="L783" s="114" t="n">
        <v>54.5</v>
      </c>
      <c r="M783" s="202" t="n">
        <v>71</v>
      </c>
      <c r="N783" s="108" t="n">
        <f aca="false" ca="false" dt2D="false" dtr="false" t="normal">SUM(P783:T783)</f>
        <v>4688828.09</v>
      </c>
      <c r="O783" s="114" t="n"/>
      <c r="P783" s="114" t="n"/>
      <c r="Q783" s="114" t="n"/>
      <c r="R783" s="113" t="n">
        <v>1531965.09</v>
      </c>
      <c r="S783" s="113" t="n">
        <v>3156863</v>
      </c>
      <c r="T783" s="113" t="n"/>
      <c r="U783" s="114" t="n">
        <v>2913.83292955151</v>
      </c>
      <c r="V783" s="114" t="n">
        <v>1408.283020064</v>
      </c>
      <c r="W783" s="110" t="n">
        <v>2024</v>
      </c>
      <c r="X783" s="9" t="e">
        <f aca="false" ca="false" dt2D="false" dtr="false" t="normal">+#REF!-'[9]Приложение №1'!$P1859</f>
        <v>#REF!</v>
      </c>
      <c r="Z783" s="113" t="n">
        <f aca="false" ca="false" dt2D="false" dtr="false" t="normal">SUM(AA783:AO783)</f>
        <v>11449528.669999998</v>
      </c>
      <c r="AA783" s="106" t="n">
        <v>4690983.07754076</v>
      </c>
      <c r="AB783" s="106" t="n">
        <v>3219445.04641326</v>
      </c>
      <c r="AC783" s="106" t="n">
        <v>1959734.41409676</v>
      </c>
      <c r="AD783" s="106" t="n">
        <v>0</v>
      </c>
      <c r="AE783" s="106" t="n">
        <v>0</v>
      </c>
      <c r="AF783" s="106" t="n"/>
      <c r="AG783" s="106" t="n">
        <v>225673.94234784</v>
      </c>
      <c r="AH783" s="106" t="n">
        <v>0</v>
      </c>
      <c r="AI783" s="106" t="n">
        <v>0</v>
      </c>
      <c r="AJ783" s="106" t="n">
        <v>0</v>
      </c>
      <c r="AK783" s="106" t="n">
        <v>0</v>
      </c>
      <c r="AL783" s="106" t="n">
        <v>0</v>
      </c>
      <c r="AM783" s="106" t="n">
        <v>1018421.4066</v>
      </c>
      <c r="AN783" s="114" t="n">
        <v>114495.2867</v>
      </c>
      <c r="AO783" s="115" t="n">
        <v>220775.49630138</v>
      </c>
      <c r="AP783" s="112" t="n">
        <f aca="false" ca="false" dt2D="false" dtr="false" t="normal">+N783-'Приложение №2'!E783</f>
        <v>0</v>
      </c>
      <c r="AQ783" s="9" t="n">
        <f aca="false" ca="false" dt2D="false" dtr="false" t="normal">1276764.74</f>
        <v>1276764.74</v>
      </c>
      <c r="AR783" s="3" t="n">
        <f aca="false" ca="false" dt2D="false" dtr="false" t="normal">+(K783*13.95+L783*23.65)*12*0.85</f>
        <v>293927.89199999993</v>
      </c>
      <c r="AS783" s="3" t="n">
        <f aca="false" ca="false" dt2D="false" dtr="false" t="normal">+(K783*13.95+L783*23.65)*12*30</f>
        <v>10373925.6</v>
      </c>
      <c r="AT783" s="9" t="n">
        <f aca="false" ca="false" dt2D="false" dtr="false" t="normal">+S783-AS783</f>
        <v>-7217062.6</v>
      </c>
      <c r="AU783" s="9" t="e">
        <f aca="false" ca="false" dt2D="false" dtr="false" t="normal">+P783-'[5]Приложение №1'!$P688</f>
        <v>#REF!</v>
      </c>
      <c r="AV783" s="9" t="e">
        <f aca="false" ca="false" dt2D="false" dtr="false" t="normal">+Q783-'[5]Приложение №1'!$Q688</f>
        <v>#REF!</v>
      </c>
      <c r="AW783" s="186" t="n">
        <f aca="false" ca="true" dt2D="false" dtr="false" t="normal">SUBTOTAL(9, AX783:BL783)</f>
        <v>5749866.5198840005</v>
      </c>
      <c r="AX783" s="106" t="n"/>
      <c r="AY783" s="106" t="n">
        <v>3526312.87932</v>
      </c>
      <c r="AZ783" s="106" t="n">
        <v>2147628.200928</v>
      </c>
      <c r="BA783" s="106" t="n">
        <v>0</v>
      </c>
      <c r="BB783" s="106" t="n">
        <v>0</v>
      </c>
      <c r="BC783" s="106" t="n"/>
      <c r="BD783" s="106" t="n"/>
      <c r="BE783" s="106" t="n">
        <v>0</v>
      </c>
      <c r="BF783" s="106" t="n">
        <v>0</v>
      </c>
      <c r="BG783" s="106" t="n">
        <v>0</v>
      </c>
      <c r="BH783" s="106" t="n">
        <v>0</v>
      </c>
      <c r="BI783" s="106" t="n">
        <v>0</v>
      </c>
      <c r="BJ783" s="106" t="n"/>
      <c r="BK783" s="114" t="n"/>
      <c r="BL783" s="115" t="n">
        <v>75925.439636</v>
      </c>
      <c r="BM783" s="186" t="n">
        <f aca="false" ca="true" dt2D="false" dtr="false" t="normal">SUBTOTAL(9, BN783:CB783)</f>
        <v>5749866.5198840005</v>
      </c>
      <c r="BN783" s="106" t="n"/>
      <c r="BO783" s="106" t="n">
        <v>3526312.87932</v>
      </c>
      <c r="BP783" s="106" t="n">
        <v>2147628.200928</v>
      </c>
      <c r="BQ783" s="106" t="n">
        <v>0</v>
      </c>
      <c r="BR783" s="106" t="n">
        <v>0</v>
      </c>
      <c r="BS783" s="106" t="n"/>
      <c r="BT783" s="106" t="n"/>
      <c r="BU783" s="106" t="n">
        <v>0</v>
      </c>
      <c r="BV783" s="106" t="n">
        <v>0</v>
      </c>
      <c r="BW783" s="106" t="n">
        <v>0</v>
      </c>
      <c r="BX783" s="106" t="n">
        <v>0</v>
      </c>
      <c r="BY783" s="106" t="n">
        <v>0</v>
      </c>
      <c r="BZ783" s="106" t="n"/>
      <c r="CA783" s="114" t="n"/>
      <c r="CB783" s="115" t="n">
        <v>75925.439636</v>
      </c>
      <c r="CD783" s="116" t="e">
        <f aca="false" ca="false" dt2D="false" dtr="false" t="normal">+CD782+1</f>
        <v>#REF!</v>
      </c>
      <c r="CE783" s="117" t="e">
        <f aca="false" ca="false" dt2D="false" dtr="false" t="normal">+CE782+1</f>
        <v>#REF!</v>
      </c>
      <c r="CF783" s="104" t="s">
        <v>227</v>
      </c>
      <c r="CG783" s="104" t="s">
        <v>725</v>
      </c>
      <c r="CH783" s="232" t="n">
        <f aca="false" ca="true" dt2D="false" dtr="false" t="normal">SUBTOTAL(9, CI783:CW783)</f>
        <v>4764753.53</v>
      </c>
      <c r="CI783" s="106" t="n"/>
      <c r="CJ783" s="114" t="n">
        <v>3193475.51</v>
      </c>
      <c r="CK783" s="114" t="n">
        <v>1495352.58</v>
      </c>
      <c r="CL783" s="114" t="n">
        <v>0</v>
      </c>
      <c r="CM783" s="114" t="n">
        <v>0</v>
      </c>
      <c r="CN783" s="114" t="n"/>
      <c r="CO783" s="106" t="n"/>
      <c r="CP783" s="114" t="n">
        <v>0</v>
      </c>
      <c r="CQ783" s="114" t="n">
        <v>0</v>
      </c>
      <c r="CR783" s="114" t="n">
        <v>0</v>
      </c>
      <c r="CS783" s="114" t="n">
        <v>0</v>
      </c>
      <c r="CT783" s="114" t="n">
        <v>0</v>
      </c>
      <c r="CU783" s="114" t="n"/>
      <c r="CV783" s="114" t="n"/>
      <c r="CW783" s="115" t="n">
        <v>75925.44</v>
      </c>
      <c r="CX783" s="3" t="n">
        <f aca="false" ca="false" dt2D="false" dtr="false" t="normal">+N783-CH783</f>
        <v>-75925.44000000041</v>
      </c>
      <c r="CZ783" s="104" t="s">
        <v>725</v>
      </c>
      <c r="DA783" s="186" t="n">
        <f aca="false" ca="true" dt2D="false" dtr="false" t="normal">SUBTOTAL(9, DB783:DP783)</f>
        <v>4688828.09</v>
      </c>
      <c r="DB783" s="106" t="n"/>
      <c r="DC783" s="114" t="n">
        <v>3193475.51</v>
      </c>
      <c r="DD783" s="114" t="n">
        <v>1495352.58</v>
      </c>
      <c r="DE783" s="114" t="n">
        <v>0</v>
      </c>
      <c r="DF783" s="114" t="n">
        <v>0</v>
      </c>
      <c r="DG783" s="114" t="n"/>
      <c r="DH783" s="106" t="n"/>
      <c r="DI783" s="114" t="n">
        <v>0</v>
      </c>
      <c r="DJ783" s="114" t="n">
        <v>0</v>
      </c>
      <c r="DK783" s="114" t="n">
        <v>0</v>
      </c>
      <c r="DL783" s="114" t="n">
        <v>0</v>
      </c>
      <c r="DM783" s="114" t="n">
        <v>0</v>
      </c>
      <c r="DN783" s="114" t="n"/>
      <c r="DO783" s="114" t="n"/>
      <c r="DP783" s="240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</row>
    <row customFormat="true" hidden="false" ht="15" outlineLevel="0" r="784" s="1">
      <c r="A784" s="183" t="n">
        <f aca="false" ca="false" dt2D="false" dtr="false" t="normal">+A783+1</f>
        <v>762</v>
      </c>
      <c r="B784" s="117" t="n">
        <f aca="false" ca="false" dt2D="false" dtr="false" t="normal">+B783+1</f>
        <v>302</v>
      </c>
      <c r="C784" s="117" t="s">
        <v>227</v>
      </c>
      <c r="D784" s="117" t="s">
        <v>726</v>
      </c>
      <c r="E784" s="201" t="n">
        <v>1983</v>
      </c>
      <c r="F784" s="201" t="n">
        <v>2015</v>
      </c>
      <c r="G784" s="201" t="s">
        <v>68</v>
      </c>
      <c r="H784" s="201" t="n">
        <v>9</v>
      </c>
      <c r="I784" s="201" t="n">
        <v>1</v>
      </c>
      <c r="J784" s="114" t="n">
        <v>5368</v>
      </c>
      <c r="K784" s="114" t="n">
        <v>4278.88</v>
      </c>
      <c r="L784" s="114" t="n">
        <v>61.4</v>
      </c>
      <c r="M784" s="202" t="n">
        <v>194</v>
      </c>
      <c r="N784" s="108" t="n">
        <f aca="false" ca="false" dt2D="false" dtr="false" t="normal">SUM(P784:T784)</f>
        <v>3883900.51</v>
      </c>
      <c r="O784" s="114" t="n"/>
      <c r="P784" s="114" t="n"/>
      <c r="Q784" s="114" t="n"/>
      <c r="R784" s="113" t="n">
        <v>3600754.11</v>
      </c>
      <c r="S784" s="113" t="n">
        <v>283146.4</v>
      </c>
      <c r="T784" s="113" t="n"/>
      <c r="U784" s="114" t="n">
        <v>1015.24716608084</v>
      </c>
      <c r="V784" s="114" t="n">
        <v>1405.283020064</v>
      </c>
      <c r="W784" s="110" t="n">
        <v>2024</v>
      </c>
      <c r="X784" s="9" t="e">
        <f aca="false" ca="false" dt2D="false" dtr="false" t="normal">+#REF!-'[9]Приложение №1'!$P832</f>
        <v>#REF!</v>
      </c>
      <c r="Z784" s="113" t="n">
        <f aca="false" ca="false" dt2D="false" dtr="false" t="normal">SUM(AA784:AO784)</f>
        <v>4881034.6</v>
      </c>
      <c r="AA784" s="106" t="n">
        <v>0</v>
      </c>
      <c r="AB784" s="106" t="n">
        <v>0</v>
      </c>
      <c r="AC784" s="106" t="n">
        <v>4251156.6090084</v>
      </c>
      <c r="AD784" s="106" t="n">
        <v>0</v>
      </c>
      <c r="AE784" s="106" t="n">
        <v>0</v>
      </c>
      <c r="AF784" s="106" t="n"/>
      <c r="AG784" s="106" t="n">
        <v>0</v>
      </c>
      <c r="AH784" s="106" t="n">
        <v>0</v>
      </c>
      <c r="AI784" s="106" t="n">
        <v>0</v>
      </c>
      <c r="AJ784" s="106" t="n">
        <v>0</v>
      </c>
      <c r="AK784" s="106" t="n">
        <v>0</v>
      </c>
      <c r="AL784" s="106" t="n">
        <v>0</v>
      </c>
      <c r="AM784" s="106" t="n">
        <v>488103.46</v>
      </c>
      <c r="AN784" s="114" t="n">
        <v>48810.346</v>
      </c>
      <c r="AO784" s="115" t="n">
        <v>92964.1849916</v>
      </c>
      <c r="AP784" s="112" t="n">
        <f aca="false" ca="false" dt2D="false" dtr="false" t="normal">+N784-'Приложение №2'!E784</f>
        <v>0</v>
      </c>
      <c r="AQ784" s="121" t="n">
        <v>3070064.93</v>
      </c>
      <c r="AR784" s="3" t="n">
        <f aca="false" ca="false" dt2D="false" dtr="false" t="normal">+(K784*13.95+L784*23.65)*12*0.85</f>
        <v>623653.3572</v>
      </c>
      <c r="AS784" s="3" t="n">
        <f aca="false" ca="false" dt2D="false" dtr="false" t="normal">+(K784*13.95+L784*23.65)*12*30</f>
        <v>22011294.959999997</v>
      </c>
      <c r="AT784" s="9" t="n">
        <f aca="false" ca="false" dt2D="false" dtr="false" t="normal">+S784-AS784</f>
        <v>-21728148.56</v>
      </c>
      <c r="AU784" s="9" t="e">
        <f aca="false" ca="false" dt2D="false" dtr="false" t="normal">+P784-'[5]Приложение №1'!$P685</f>
        <v>#REF!</v>
      </c>
      <c r="AV784" s="9" t="e">
        <f aca="false" ca="false" dt2D="false" dtr="false" t="normal">+Q784-'[5]Приложение №1'!$Q685</f>
        <v>#REF!</v>
      </c>
      <c r="AW784" s="186" t="n">
        <f aca="false" ca="true" dt2D="false" dtr="false" t="normal">SUBTOTAL(9, AX784:BL784)</f>
        <v>4344120.794</v>
      </c>
      <c r="AX784" s="106" t="n">
        <v>0</v>
      </c>
      <c r="AY784" s="106" t="n">
        <v>0</v>
      </c>
      <c r="AZ784" s="106" t="n">
        <v>4251156.6090084</v>
      </c>
      <c r="BA784" s="106" t="n">
        <v>0</v>
      </c>
      <c r="BB784" s="106" t="n">
        <v>0</v>
      </c>
      <c r="BC784" s="106" t="n"/>
      <c r="BD784" s="106" t="n"/>
      <c r="BE784" s="106" t="n">
        <v>0</v>
      </c>
      <c r="BF784" s="106" t="n">
        <v>0</v>
      </c>
      <c r="BG784" s="106" t="n">
        <v>0</v>
      </c>
      <c r="BH784" s="106" t="n">
        <v>0</v>
      </c>
      <c r="BI784" s="106" t="n">
        <v>0</v>
      </c>
      <c r="BJ784" s="106" t="n"/>
      <c r="BK784" s="114" t="n"/>
      <c r="BL784" s="115" t="n">
        <v>92964.1849916</v>
      </c>
      <c r="BM784" s="186" t="n">
        <f aca="false" ca="true" dt2D="false" dtr="false" t="normal">SUBTOTAL(9, BN784:CB784)</f>
        <v>4344120.794</v>
      </c>
      <c r="BN784" s="106" t="n">
        <v>0</v>
      </c>
      <c r="BO784" s="106" t="n">
        <v>0</v>
      </c>
      <c r="BP784" s="106" t="n">
        <v>4251156.6090084</v>
      </c>
      <c r="BQ784" s="106" t="n">
        <v>0</v>
      </c>
      <c r="BR784" s="106" t="n">
        <v>0</v>
      </c>
      <c r="BS784" s="106" t="n"/>
      <c r="BT784" s="106" t="n"/>
      <c r="BU784" s="106" t="n">
        <v>0</v>
      </c>
      <c r="BV784" s="106" t="n">
        <v>0</v>
      </c>
      <c r="BW784" s="106" t="n">
        <v>0</v>
      </c>
      <c r="BX784" s="106" t="n">
        <v>0</v>
      </c>
      <c r="BY784" s="106" t="n">
        <v>0</v>
      </c>
      <c r="BZ784" s="106" t="n"/>
      <c r="CA784" s="114" t="n"/>
      <c r="CB784" s="115" t="n">
        <v>92964.1849916</v>
      </c>
      <c r="CD784" s="116" t="e">
        <f aca="false" ca="false" dt2D="false" dtr="false" t="normal">+CD783+1</f>
        <v>#REF!</v>
      </c>
      <c r="CE784" s="117" t="e">
        <f aca="false" ca="false" dt2D="false" dtr="false" t="normal">+CE783+1</f>
        <v>#REF!</v>
      </c>
      <c r="CF784" s="104" t="s">
        <v>227</v>
      </c>
      <c r="CG784" s="104" t="s">
        <v>726</v>
      </c>
      <c r="CH784" s="232" t="n">
        <f aca="false" ca="true" dt2D="false" dtr="false" t="normal">SUBTOTAL(9, CI784:CW784)</f>
        <v>3976864.69</v>
      </c>
      <c r="CI784" s="106" t="n">
        <v>0</v>
      </c>
      <c r="CJ784" s="114" t="n">
        <v>0</v>
      </c>
      <c r="CK784" s="243" t="n">
        <v>3883900.51</v>
      </c>
      <c r="CL784" s="114" t="n">
        <v>0</v>
      </c>
      <c r="CM784" s="114" t="n">
        <v>0</v>
      </c>
      <c r="CN784" s="114" t="n"/>
      <c r="CO784" s="106" t="n"/>
      <c r="CP784" s="114" t="n">
        <v>0</v>
      </c>
      <c r="CQ784" s="114" t="n">
        <v>0</v>
      </c>
      <c r="CR784" s="114" t="n">
        <v>0</v>
      </c>
      <c r="CS784" s="114" t="n">
        <v>0</v>
      </c>
      <c r="CT784" s="114" t="n">
        <v>0</v>
      </c>
      <c r="CU784" s="114" t="n"/>
      <c r="CV784" s="114" t="n"/>
      <c r="CW784" s="115" t="n">
        <v>92964.18</v>
      </c>
      <c r="CX784" s="3" t="n">
        <f aca="false" ca="false" dt2D="false" dtr="false" t="normal">+N784-CH784</f>
        <v>-92964.18000000017</v>
      </c>
      <c r="CZ784" s="104" t="s">
        <v>726</v>
      </c>
      <c r="DA784" s="186" t="n">
        <f aca="false" ca="true" dt2D="false" dtr="false" t="normal">SUBTOTAL(9, DB784:DP784)</f>
        <v>3883900.51</v>
      </c>
      <c r="DB784" s="106" t="n">
        <v>0</v>
      </c>
      <c r="DC784" s="114" t="n">
        <v>0</v>
      </c>
      <c r="DD784" s="243" t="n">
        <v>3883900.51</v>
      </c>
      <c r="DE784" s="114" t="n">
        <v>0</v>
      </c>
      <c r="DF784" s="114" t="n">
        <v>0</v>
      </c>
      <c r="DG784" s="114" t="n"/>
      <c r="DH784" s="106" t="n"/>
      <c r="DI784" s="114" t="n">
        <v>0</v>
      </c>
      <c r="DJ784" s="114" t="n">
        <v>0</v>
      </c>
      <c r="DK784" s="114" t="n">
        <v>0</v>
      </c>
      <c r="DL784" s="114" t="n">
        <v>0</v>
      </c>
      <c r="DM784" s="114" t="n">
        <v>0</v>
      </c>
      <c r="DN784" s="114" t="n"/>
      <c r="DO784" s="114" t="n"/>
      <c r="DP784" s="240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</row>
    <row customFormat="true" hidden="false" ht="15" outlineLevel="0" r="785" s="1">
      <c r="A785" s="183" t="n">
        <f aca="false" ca="false" dt2D="false" dtr="false" t="normal">+A784+1</f>
        <v>763</v>
      </c>
      <c r="B785" s="117" t="n">
        <f aca="false" ca="false" dt2D="false" dtr="false" t="normal">+B784+1</f>
        <v>303</v>
      </c>
      <c r="C785" s="117" t="s">
        <v>227</v>
      </c>
      <c r="D785" s="117" t="s">
        <v>727</v>
      </c>
      <c r="E785" s="201" t="n">
        <v>1992</v>
      </c>
      <c r="F785" s="201" t="n">
        <v>2013</v>
      </c>
      <c r="G785" s="201" t="s">
        <v>68</v>
      </c>
      <c r="H785" s="201" t="n">
        <v>9</v>
      </c>
      <c r="I785" s="201" t="n">
        <v>1</v>
      </c>
      <c r="J785" s="114" t="n">
        <v>2277.4</v>
      </c>
      <c r="K785" s="114" t="n">
        <v>2020.55</v>
      </c>
      <c r="L785" s="114" t="n">
        <v>0</v>
      </c>
      <c r="M785" s="202" t="n">
        <v>98</v>
      </c>
      <c r="N785" s="108" t="n">
        <f aca="false" ca="false" dt2D="false" dtr="false" t="normal">SUM(P785:T785)</f>
        <v>3572320.01</v>
      </c>
      <c r="O785" s="114" t="n"/>
      <c r="P785" s="114" t="n"/>
      <c r="Q785" s="114" t="n"/>
      <c r="R785" s="113" t="n">
        <v>1714729.06</v>
      </c>
      <c r="S785" s="113" t="n">
        <v>1482211.71</v>
      </c>
      <c r="T785" s="113" t="n">
        <v>375379.24</v>
      </c>
      <c r="U785" s="114" t="n">
        <v>1616.81294231769</v>
      </c>
      <c r="V785" s="114" t="n">
        <v>1406.283020064</v>
      </c>
      <c r="W785" s="110" t="n">
        <v>2024</v>
      </c>
      <c r="X785" s="9" t="e">
        <f aca="false" ca="false" dt2D="false" dtr="false" t="normal">+#REF!-'[9]Приложение №1'!$P1622</f>
        <v>#REF!</v>
      </c>
      <c r="Z785" s="113" t="n">
        <f aca="false" ca="false" dt2D="false" dtr="false" t="normal">SUM(AA785:AO785)</f>
        <v>9135122.71</v>
      </c>
      <c r="AA785" s="106" t="n">
        <v>4658192.58333702</v>
      </c>
      <c r="AB785" s="106" t="n">
        <v>3196940.77084116</v>
      </c>
      <c r="AC785" s="106" t="n">
        <v>0</v>
      </c>
      <c r="AD785" s="106" t="n">
        <v>0</v>
      </c>
      <c r="AE785" s="106" t="n">
        <v>0</v>
      </c>
      <c r="AF785" s="106" t="n"/>
      <c r="AG785" s="106" t="n">
        <v>224096.4563712</v>
      </c>
      <c r="AH785" s="106" t="n">
        <v>0</v>
      </c>
      <c r="AI785" s="106" t="n">
        <v>0</v>
      </c>
      <c r="AJ785" s="106" t="n">
        <v>0</v>
      </c>
      <c r="AK785" s="106" t="n">
        <v>0</v>
      </c>
      <c r="AL785" s="106" t="n">
        <v>0</v>
      </c>
      <c r="AM785" s="106" t="n">
        <v>787865.2796</v>
      </c>
      <c r="AN785" s="114" t="n">
        <v>91351.2271</v>
      </c>
      <c r="AO785" s="115" t="n">
        <v>176676.39275062</v>
      </c>
      <c r="AP785" s="112" t="n">
        <f aca="false" ca="false" dt2D="false" dtr="false" t="normal">+N785-'Приложение №2'!E785</f>
        <v>0</v>
      </c>
      <c r="AQ785" s="121" t="n">
        <v>1497135.62</v>
      </c>
      <c r="AR785" s="3" t="n">
        <f aca="false" ca="false" dt2D="false" dtr="false" t="normal">+(K785*13.95+L785*23.65)*12*0.85</f>
        <v>287504.0595</v>
      </c>
      <c r="AS785" s="3" t="n">
        <f aca="false" ca="false" dt2D="false" dtr="false" t="normal">+(K785*13.95+L785*23.65)*12*30</f>
        <v>10147202.099999998</v>
      </c>
      <c r="AT785" s="9" t="n">
        <f aca="false" ca="false" dt2D="false" dtr="false" t="normal">+S785-AS785</f>
        <v>-8664990.389999997</v>
      </c>
      <c r="AU785" s="9" t="e">
        <f aca="false" ca="false" dt2D="false" dtr="false" t="normal">+P785-'[5]Приложение №1'!$P686</f>
        <v>#REF!</v>
      </c>
      <c r="AV785" s="9" t="e">
        <f aca="false" ca="false" dt2D="false" dtr="false" t="normal">+Q785-'[5]Приложение №1'!$Q686</f>
        <v>#REF!</v>
      </c>
      <c r="AW785" s="186" t="n">
        <f aca="false" ca="true" dt2D="false" dtr="false" t="normal">SUBTOTAL(9, AX785:BL785)</f>
        <v>3266851.3906</v>
      </c>
      <c r="AX785" s="106" t="n"/>
      <c r="AY785" s="106" t="n">
        <v>3196940.77084116</v>
      </c>
      <c r="AZ785" s="106" t="n">
        <v>0</v>
      </c>
      <c r="BA785" s="106" t="n">
        <v>0</v>
      </c>
      <c r="BB785" s="106" t="n">
        <v>0</v>
      </c>
      <c r="BC785" s="106" t="n"/>
      <c r="BD785" s="106" t="n"/>
      <c r="BE785" s="106" t="n">
        <v>0</v>
      </c>
      <c r="BF785" s="106" t="n">
        <v>0</v>
      </c>
      <c r="BG785" s="106" t="n">
        <v>0</v>
      </c>
      <c r="BH785" s="106" t="n">
        <v>0</v>
      </c>
      <c r="BI785" s="106" t="n">
        <v>0</v>
      </c>
      <c r="BJ785" s="106" t="n"/>
      <c r="BK785" s="114" t="n"/>
      <c r="BL785" s="115" t="n">
        <v>69910.61975884</v>
      </c>
      <c r="BM785" s="186" t="n">
        <f aca="false" ca="true" dt2D="false" dtr="false" t="normal">SUBTOTAL(9, BN785:CB785)</f>
        <v>3266851.3906</v>
      </c>
      <c r="BN785" s="106" t="n"/>
      <c r="BO785" s="106" t="n">
        <v>3196940.77084116</v>
      </c>
      <c r="BP785" s="106" t="n">
        <v>0</v>
      </c>
      <c r="BQ785" s="106" t="n">
        <v>0</v>
      </c>
      <c r="BR785" s="106" t="n">
        <v>0</v>
      </c>
      <c r="BS785" s="106" t="n"/>
      <c r="BT785" s="106" t="n"/>
      <c r="BU785" s="106" t="n">
        <v>0</v>
      </c>
      <c r="BV785" s="106" t="n">
        <v>0</v>
      </c>
      <c r="BW785" s="106" t="n">
        <v>0</v>
      </c>
      <c r="BX785" s="106" t="n">
        <v>0</v>
      </c>
      <c r="BY785" s="106" t="n">
        <v>0</v>
      </c>
      <c r="BZ785" s="106" t="n"/>
      <c r="CA785" s="114" t="n"/>
      <c r="CB785" s="115" t="n">
        <v>69910.61975884</v>
      </c>
      <c r="CD785" s="116" t="e">
        <f aca="false" ca="false" dt2D="false" dtr="false" t="normal">+CD784+1</f>
        <v>#REF!</v>
      </c>
      <c r="CE785" s="117" t="e">
        <f aca="false" ca="false" dt2D="false" dtr="false" t="normal">+CE784+1</f>
        <v>#REF!</v>
      </c>
      <c r="CF785" s="104" t="s">
        <v>227</v>
      </c>
      <c r="CG785" s="104" t="s">
        <v>727</v>
      </c>
      <c r="CH785" s="232" t="n">
        <f aca="false" ca="true" dt2D="false" dtr="false" t="normal">SUBTOTAL(9, CI785:CW785)</f>
        <v>3642230.63</v>
      </c>
      <c r="CI785" s="106" t="n"/>
      <c r="CJ785" s="114" t="n">
        <v>3572320.01</v>
      </c>
      <c r="CK785" s="114" t="n">
        <v>0</v>
      </c>
      <c r="CL785" s="114" t="n">
        <v>0</v>
      </c>
      <c r="CM785" s="114" t="n">
        <v>0</v>
      </c>
      <c r="CN785" s="114" t="n"/>
      <c r="CO785" s="106" t="n"/>
      <c r="CP785" s="114" t="n">
        <v>0</v>
      </c>
      <c r="CQ785" s="114" t="n">
        <v>0</v>
      </c>
      <c r="CR785" s="114" t="n">
        <v>0</v>
      </c>
      <c r="CS785" s="114" t="n">
        <v>0</v>
      </c>
      <c r="CT785" s="114" t="n">
        <v>0</v>
      </c>
      <c r="CU785" s="114" t="n"/>
      <c r="CV785" s="114" t="n"/>
      <c r="CW785" s="115" t="n">
        <v>69910.62</v>
      </c>
      <c r="CX785" s="3" t="n">
        <f aca="false" ca="false" dt2D="false" dtr="false" t="normal">+N785-CH785</f>
        <v>-69910.62000000011</v>
      </c>
      <c r="CZ785" s="104" t="s">
        <v>727</v>
      </c>
      <c r="DA785" s="186" t="n">
        <f aca="false" ca="true" dt2D="false" dtr="false" t="normal">SUBTOTAL(9, DB785:DP785)</f>
        <v>3572320.01</v>
      </c>
      <c r="DB785" s="106" t="n"/>
      <c r="DC785" s="114" t="n">
        <v>3572320.01</v>
      </c>
      <c r="DD785" s="114" t="n">
        <v>0</v>
      </c>
      <c r="DE785" s="114" t="n">
        <v>0</v>
      </c>
      <c r="DF785" s="114" t="n">
        <v>0</v>
      </c>
      <c r="DG785" s="114" t="n"/>
      <c r="DH785" s="106" t="n"/>
      <c r="DI785" s="114" t="n">
        <v>0</v>
      </c>
      <c r="DJ785" s="114" t="n">
        <v>0</v>
      </c>
      <c r="DK785" s="114" t="n">
        <v>0</v>
      </c>
      <c r="DL785" s="114" t="n">
        <v>0</v>
      </c>
      <c r="DM785" s="114" t="n">
        <v>0</v>
      </c>
      <c r="DN785" s="114" t="n"/>
      <c r="DO785" s="114" t="n"/>
      <c r="DP785" s="240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</row>
    <row customFormat="true" hidden="false" ht="15" outlineLevel="0" r="786" s="1">
      <c r="A786" s="183" t="n">
        <f aca="false" ca="false" dt2D="false" dtr="false" t="normal">+A785+1</f>
        <v>764</v>
      </c>
      <c r="B786" s="117" t="n">
        <f aca="false" ca="false" dt2D="false" dtr="false" t="normal">+B785+1</f>
        <v>304</v>
      </c>
      <c r="C786" s="117" t="s">
        <v>227</v>
      </c>
      <c r="D786" s="117" t="s">
        <v>728</v>
      </c>
      <c r="E786" s="201" t="n">
        <v>1989</v>
      </c>
      <c r="F786" s="201" t="n">
        <v>2015</v>
      </c>
      <c r="G786" s="201" t="s">
        <v>68</v>
      </c>
      <c r="H786" s="201" t="n">
        <v>9</v>
      </c>
      <c r="I786" s="201" t="n">
        <v>1</v>
      </c>
      <c r="J786" s="114" t="n">
        <v>2250.9</v>
      </c>
      <c r="K786" s="114" t="n">
        <v>2005.7</v>
      </c>
      <c r="L786" s="114" t="n">
        <v>0</v>
      </c>
      <c r="M786" s="202" t="n">
        <v>81</v>
      </c>
      <c r="N786" s="108" t="n">
        <f aca="false" ca="false" dt2D="false" dtr="false" t="normal">SUM(P786:T786)</f>
        <v>8396214.12</v>
      </c>
      <c r="O786" s="114" t="n"/>
      <c r="P786" s="114" t="n"/>
      <c r="Q786" s="114" t="n"/>
      <c r="R786" s="113" t="n">
        <v>1352431.41</v>
      </c>
      <c r="S786" s="113" t="n">
        <v>7043782.71</v>
      </c>
      <c r="T786" s="113" t="n"/>
      <c r="U786" s="114" t="n">
        <v>4416.50005966595</v>
      </c>
      <c r="V786" s="114" t="n">
        <v>4416.50005966595</v>
      </c>
      <c r="W786" s="110" t="n">
        <v>2024</v>
      </c>
      <c r="X786" s="9" t="e">
        <f aca="false" ca="false" dt2D="false" dtr="false" t="normal">+#REF!-'[9]Приложение №1'!$P1452</f>
        <v>#REF!</v>
      </c>
      <c r="Z786" s="113" t="n">
        <f aca="false" ca="false" dt2D="false" dtr="false" t="normal">SUM(AA786:AO786)</f>
        <v>8960039.71275</v>
      </c>
      <c r="AA786" s="106" t="n">
        <v>4869659.12</v>
      </c>
      <c r="AB786" s="106" t="n">
        <v>3179641.99571718</v>
      </c>
      <c r="AC786" s="106" t="n">
        <v>0</v>
      </c>
      <c r="AD786" s="106" t="n">
        <v>0</v>
      </c>
      <c r="AE786" s="106" t="n">
        <v>0</v>
      </c>
      <c r="AF786" s="106" t="n"/>
      <c r="AG786" s="106" t="n">
        <v>222883.861368</v>
      </c>
      <c r="AH786" s="106" t="n">
        <v>0</v>
      </c>
      <c r="AI786" s="106" t="n">
        <v>0</v>
      </c>
      <c r="AJ786" s="106" t="n">
        <v>0</v>
      </c>
      <c r="AK786" s="106" t="n">
        <v>0</v>
      </c>
      <c r="AL786" s="106" t="n">
        <v>0</v>
      </c>
      <c r="AM786" s="106" t="n">
        <v>449564.577</v>
      </c>
      <c r="AN786" s="114" t="n">
        <v>61925.6367</v>
      </c>
      <c r="AO786" s="115" t="n">
        <v>176364.52196482</v>
      </c>
      <c r="AP786" s="112" t="n">
        <f aca="false" ca="false" dt2D="false" dtr="false" t="normal">+N786-'Приложение №2'!E786</f>
        <v>0</v>
      </c>
      <c r="AQ786" s="1" t="n">
        <v>1103809.41</v>
      </c>
      <c r="AR786" s="3" t="n">
        <f aca="false" ca="false" dt2D="false" dtr="false" t="normal">+(K786*13.29+L786*22.52)*12*0.85</f>
        <v>271888.6806</v>
      </c>
      <c r="AS786" s="3" t="n">
        <f aca="false" ca="false" dt2D="false" dtr="false" t="normal">+(K786*13.29+L786*22.52)*12*30</f>
        <v>9596071.08</v>
      </c>
      <c r="AT786" s="9" t="n">
        <f aca="false" ca="false" dt2D="false" dtr="false" t="normal">+S786-AS786</f>
        <v>-2552288.37</v>
      </c>
      <c r="AU786" s="9" t="e">
        <f aca="false" ca="false" dt2D="false" dtr="false" t="normal">+P786-'[5]Приложение №1'!$P408</f>
        <v>#REF!</v>
      </c>
      <c r="AV786" s="9" t="e">
        <f aca="false" ca="false" dt2D="false" dtr="false" t="normal">+Q786-'[5]Приложение №1'!$Q408</f>
        <v>#REF!</v>
      </c>
      <c r="AW786" s="113" t="n">
        <f aca="false" ca="true" dt2D="false" dtr="false" t="normal">SUBTOTAL(9, AX786:BL786)</f>
        <v>8858174.169672</v>
      </c>
      <c r="AX786" s="106" t="n">
        <v>4988188.196922</v>
      </c>
      <c r="AY786" s="106" t="n">
        <v>3464508.143712</v>
      </c>
      <c r="AZ786" s="106" t="n">
        <v>0</v>
      </c>
      <c r="BA786" s="106" t="n">
        <v>0</v>
      </c>
      <c r="BB786" s="106" t="n">
        <v>0</v>
      </c>
      <c r="BC786" s="106" t="n"/>
      <c r="BD786" s="106" t="n">
        <v>222883.861368</v>
      </c>
      <c r="BE786" s="106" t="n">
        <v>0</v>
      </c>
      <c r="BF786" s="106" t="n">
        <v>0</v>
      </c>
      <c r="BG786" s="106" t="n">
        <v>0</v>
      </c>
      <c r="BH786" s="106" t="n">
        <v>0</v>
      </c>
      <c r="BI786" s="106" t="n">
        <v>0</v>
      </c>
      <c r="BJ786" s="106" t="n"/>
      <c r="BK786" s="114" t="n"/>
      <c r="BL786" s="115" t="n">
        <v>182593.96767</v>
      </c>
      <c r="BM786" s="113" t="n">
        <f aca="false" ca="true" dt2D="false" dtr="false" t="normal">SUBTOTAL(9, BN786:CB786)</f>
        <v>8858174.169672</v>
      </c>
      <c r="BN786" s="106" t="n">
        <v>4988188.196922</v>
      </c>
      <c r="BO786" s="106" t="n">
        <v>3464508.143712</v>
      </c>
      <c r="BP786" s="106" t="n">
        <v>0</v>
      </c>
      <c r="BQ786" s="106" t="n">
        <v>0</v>
      </c>
      <c r="BR786" s="106" t="n">
        <v>0</v>
      </c>
      <c r="BS786" s="106" t="n"/>
      <c r="BT786" s="106" t="n">
        <v>222883.861368</v>
      </c>
      <c r="BU786" s="106" t="n">
        <v>0</v>
      </c>
      <c r="BV786" s="106" t="n">
        <v>0</v>
      </c>
      <c r="BW786" s="106" t="n">
        <v>0</v>
      </c>
      <c r="BX786" s="106" t="n">
        <v>0</v>
      </c>
      <c r="BY786" s="106" t="n">
        <v>0</v>
      </c>
      <c r="BZ786" s="106" t="n"/>
      <c r="CA786" s="114" t="n"/>
      <c r="CB786" s="115" t="n">
        <v>182593.96767</v>
      </c>
      <c r="CD786" s="116" t="e">
        <f aca="false" ca="false" dt2D="false" dtr="false" t="normal">+CD785+1</f>
        <v>#REF!</v>
      </c>
      <c r="CE786" s="117" t="e">
        <f aca="false" ca="false" dt2D="false" dtr="false" t="normal">+CE785+1</f>
        <v>#REF!</v>
      </c>
      <c r="CF786" s="104" t="s">
        <v>227</v>
      </c>
      <c r="CG786" s="104" t="s">
        <v>728</v>
      </c>
      <c r="CH786" s="108" t="n">
        <f aca="false" ca="true" dt2D="false" dtr="false" t="normal">SUBTOTAL(9, CI786:CW786)</f>
        <v>8578808.090000002</v>
      </c>
      <c r="CI786" s="106" t="n">
        <v>5925260.24</v>
      </c>
      <c r="CJ786" s="114" t="n">
        <v>2470953.88</v>
      </c>
      <c r="CK786" s="114" t="n">
        <v>0</v>
      </c>
      <c r="CL786" s="114" t="n">
        <v>0</v>
      </c>
      <c r="CM786" s="114" t="n">
        <v>0</v>
      </c>
      <c r="CN786" s="114" t="n"/>
      <c r="CO786" s="106" t="n"/>
      <c r="CP786" s="114" t="n">
        <v>0</v>
      </c>
      <c r="CQ786" s="114" t="n">
        <v>0</v>
      </c>
      <c r="CR786" s="114" t="n">
        <v>0</v>
      </c>
      <c r="CS786" s="114" t="n">
        <v>0</v>
      </c>
      <c r="CT786" s="114" t="n">
        <v>0</v>
      </c>
      <c r="CU786" s="114" t="n"/>
      <c r="CV786" s="114" t="n"/>
      <c r="CW786" s="115" t="n">
        <v>182593.97</v>
      </c>
      <c r="CX786" s="3" t="n">
        <f aca="false" ca="false" dt2D="false" dtr="false" t="normal">+N786-CH786</f>
        <v>-182593.97000000253</v>
      </c>
      <c r="CZ786" s="104" t="s">
        <v>728</v>
      </c>
      <c r="DA786" s="113" t="n">
        <f aca="false" ca="true" dt2D="false" dtr="false" t="normal">SUBTOTAL(9, DB786:DP786)</f>
        <v>8396214.120000001</v>
      </c>
      <c r="DB786" s="106" t="n">
        <v>5925260.24</v>
      </c>
      <c r="DC786" s="114" t="n">
        <v>2470953.88</v>
      </c>
      <c r="DD786" s="114" t="n">
        <v>0</v>
      </c>
      <c r="DE786" s="114" t="n">
        <v>0</v>
      </c>
      <c r="DF786" s="114" t="n">
        <v>0</v>
      </c>
      <c r="DG786" s="114" t="n"/>
      <c r="DH786" s="106" t="n"/>
      <c r="DI786" s="114" t="n">
        <v>0</v>
      </c>
      <c r="DJ786" s="114" t="n">
        <v>0</v>
      </c>
      <c r="DK786" s="114" t="n">
        <v>0</v>
      </c>
      <c r="DL786" s="114" t="n">
        <v>0</v>
      </c>
      <c r="DM786" s="114" t="n">
        <v>0</v>
      </c>
      <c r="DN786" s="114" t="n"/>
      <c r="DO786" s="114" t="n"/>
      <c r="DP786" s="240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</row>
    <row customFormat="true" hidden="false" ht="15" outlineLevel="0" r="787" s="1">
      <c r="A787" s="183" t="n">
        <f aca="false" ca="false" dt2D="false" dtr="false" t="normal">+A786+1</f>
        <v>765</v>
      </c>
      <c r="B787" s="117" t="n">
        <f aca="false" ca="false" dt2D="false" dtr="false" t="normal">+B786+1</f>
        <v>305</v>
      </c>
      <c r="C787" s="117" t="s">
        <v>227</v>
      </c>
      <c r="D787" s="117" t="s">
        <v>729</v>
      </c>
      <c r="E787" s="201" t="n">
        <v>1992</v>
      </c>
      <c r="F787" s="201" t="n">
        <v>2015</v>
      </c>
      <c r="G787" s="201" t="s">
        <v>68</v>
      </c>
      <c r="H787" s="201" t="n">
        <v>9</v>
      </c>
      <c r="I787" s="201" t="n">
        <v>1</v>
      </c>
      <c r="J787" s="114" t="n">
        <v>2197.2</v>
      </c>
      <c r="K787" s="114" t="n">
        <v>1934.5</v>
      </c>
      <c r="L787" s="114" t="n">
        <v>60.3</v>
      </c>
      <c r="M787" s="202" t="n">
        <v>70</v>
      </c>
      <c r="N787" s="108" t="n">
        <f aca="false" ca="false" dt2D="false" dtr="false" t="normal">SUM(P787:T787)</f>
        <v>3393377.71</v>
      </c>
      <c r="O787" s="114" t="n"/>
      <c r="P787" s="114" t="n"/>
      <c r="Q787" s="114" t="n"/>
      <c r="R787" s="113" t="n">
        <v>1627172.07</v>
      </c>
      <c r="S787" s="113" t="n">
        <v>1442963.91</v>
      </c>
      <c r="T787" s="113" t="n">
        <v>323241.73</v>
      </c>
      <c r="U787" s="114" t="n">
        <v>1621.74910230034</v>
      </c>
      <c r="V787" s="114" t="n">
        <v>1407.283020064</v>
      </c>
      <c r="W787" s="110" t="n">
        <v>2024</v>
      </c>
      <c r="X787" s="9" t="e">
        <f aca="false" ca="false" dt2D="false" dtr="false" t="normal">+#REF!-'[9]Приложение №1'!$P1623</f>
        <v>#REF!</v>
      </c>
      <c r="Z787" s="113" t="n">
        <f aca="false" ca="false" dt2D="false" dtr="false" t="normal">SUM(AA787:AO787)</f>
        <v>8772783.4</v>
      </c>
      <c r="AA787" s="106" t="n">
        <v>4473428.09224584</v>
      </c>
      <c r="AB787" s="106" t="n">
        <v>3070135.98253824</v>
      </c>
      <c r="AC787" s="106" t="n">
        <v>0</v>
      </c>
      <c r="AD787" s="106" t="n">
        <v>0</v>
      </c>
      <c r="AE787" s="106" t="n">
        <v>0</v>
      </c>
      <c r="AF787" s="106" t="n"/>
      <c r="AG787" s="106" t="n">
        <v>215207.801256</v>
      </c>
      <c r="AH787" s="106" t="n">
        <v>0</v>
      </c>
      <c r="AI787" s="106" t="n">
        <v>0</v>
      </c>
      <c r="AJ787" s="106" t="n">
        <v>0</v>
      </c>
      <c r="AK787" s="106" t="n">
        <v>0</v>
      </c>
      <c r="AL787" s="106" t="n">
        <v>0</v>
      </c>
      <c r="AM787" s="106" t="n">
        <v>756615.0632</v>
      </c>
      <c r="AN787" s="114" t="n">
        <v>87727.834</v>
      </c>
      <c r="AO787" s="115" t="n">
        <v>169668.62675992</v>
      </c>
      <c r="AP787" s="112" t="n">
        <f aca="false" ca="false" dt2D="false" dtr="false" t="normal">+N787-'Приложение №2'!E787</f>
        <v>0</v>
      </c>
      <c r="AQ787" s="121" t="n">
        <v>1365455.45</v>
      </c>
      <c r="AR787" s="3" t="n">
        <f aca="false" ca="false" dt2D="false" dtr="false" t="normal">+(K787*13.95+L787*23.65)*12*0.85</f>
        <v>289806.174</v>
      </c>
      <c r="AS787" s="3" t="n">
        <f aca="false" ca="false" dt2D="false" dtr="false" t="normal">+(K787*13.95+L787*23.65)*12*30</f>
        <v>10228453.2</v>
      </c>
      <c r="AT787" s="9" t="n">
        <f aca="false" ca="false" dt2D="false" dtr="false" t="normal">+S787-AS787</f>
        <v>-8785489.29</v>
      </c>
      <c r="AU787" s="9" t="e">
        <f aca="false" ca="false" dt2D="false" dtr="false" t="normal">+P787-'[5]Приложение №1'!$P687</f>
        <v>#REF!</v>
      </c>
      <c r="AV787" s="9" t="e">
        <f aca="false" ca="false" dt2D="false" dtr="false" t="normal">+Q787-'[5]Приложение №1'!$Q687</f>
        <v>#REF!</v>
      </c>
      <c r="AW787" s="186" t="n">
        <f aca="false" ca="true" dt2D="false" dtr="false" t="normal">SUBTOTAL(9, AX787:BL787)</f>
        <v>3137273.6384</v>
      </c>
      <c r="AX787" s="106" t="n"/>
      <c r="AY787" s="106" t="n">
        <v>3070135.98253824</v>
      </c>
      <c r="AZ787" s="106" t="n">
        <v>0</v>
      </c>
      <c r="BA787" s="106" t="n">
        <v>0</v>
      </c>
      <c r="BB787" s="106" t="n">
        <v>0</v>
      </c>
      <c r="BC787" s="106" t="n"/>
      <c r="BD787" s="106" t="n"/>
      <c r="BE787" s="106" t="n">
        <v>0</v>
      </c>
      <c r="BF787" s="106" t="n">
        <v>0</v>
      </c>
      <c r="BG787" s="106" t="n">
        <v>0</v>
      </c>
      <c r="BH787" s="106" t="n">
        <v>0</v>
      </c>
      <c r="BI787" s="106" t="n">
        <v>0</v>
      </c>
      <c r="BJ787" s="106" t="n"/>
      <c r="BK787" s="114" t="n"/>
      <c r="BL787" s="115" t="n">
        <v>67137.65586176</v>
      </c>
      <c r="BM787" s="186" t="n">
        <f aca="false" ca="true" dt2D="false" dtr="false" t="normal">SUBTOTAL(9, BN787:CB787)</f>
        <v>3137273.6384</v>
      </c>
      <c r="BN787" s="106" t="n"/>
      <c r="BO787" s="106" t="n">
        <v>3070135.98253824</v>
      </c>
      <c r="BP787" s="106" t="n">
        <v>0</v>
      </c>
      <c r="BQ787" s="106" t="n">
        <v>0</v>
      </c>
      <c r="BR787" s="106" t="n">
        <v>0</v>
      </c>
      <c r="BS787" s="106" t="n"/>
      <c r="BT787" s="106" t="n"/>
      <c r="BU787" s="106" t="n">
        <v>0</v>
      </c>
      <c r="BV787" s="106" t="n">
        <v>0</v>
      </c>
      <c r="BW787" s="106" t="n">
        <v>0</v>
      </c>
      <c r="BX787" s="106" t="n">
        <v>0</v>
      </c>
      <c r="BY787" s="106" t="n">
        <v>0</v>
      </c>
      <c r="BZ787" s="106" t="n"/>
      <c r="CA787" s="114" t="n"/>
      <c r="CB787" s="115" t="n">
        <v>67137.65586176</v>
      </c>
      <c r="CD787" s="116" t="e">
        <f aca="false" ca="false" dt2D="false" dtr="false" t="normal">+CD786+1</f>
        <v>#REF!</v>
      </c>
      <c r="CE787" s="117" t="e">
        <f aca="false" ca="false" dt2D="false" dtr="false" t="normal">+CE786+1</f>
        <v>#REF!</v>
      </c>
      <c r="CF787" s="104" t="s">
        <v>227</v>
      </c>
      <c r="CG787" s="104" t="s">
        <v>729</v>
      </c>
      <c r="CH787" s="232" t="n">
        <f aca="false" ca="true" dt2D="false" dtr="false" t="normal">SUBTOTAL(9, CI787:CW787)</f>
        <v>3460515.37</v>
      </c>
      <c r="CI787" s="106" t="n"/>
      <c r="CJ787" s="114" t="n">
        <v>3393377.71</v>
      </c>
      <c r="CK787" s="114" t="n">
        <v>0</v>
      </c>
      <c r="CL787" s="114" t="n">
        <v>0</v>
      </c>
      <c r="CM787" s="114" t="n">
        <v>0</v>
      </c>
      <c r="CN787" s="114" t="n"/>
      <c r="CO787" s="106" t="n"/>
      <c r="CP787" s="114" t="n">
        <v>0</v>
      </c>
      <c r="CQ787" s="114" t="n">
        <v>0</v>
      </c>
      <c r="CR787" s="114" t="n">
        <v>0</v>
      </c>
      <c r="CS787" s="114" t="n">
        <v>0</v>
      </c>
      <c r="CT787" s="114" t="n">
        <v>0</v>
      </c>
      <c r="CU787" s="114" t="n"/>
      <c r="CV787" s="114" t="n"/>
      <c r="CW787" s="115" t="n">
        <v>67137.66</v>
      </c>
      <c r="CX787" s="3" t="n">
        <f aca="false" ca="false" dt2D="false" dtr="false" t="normal">+N787-CH787</f>
        <v>-67137.66000000015</v>
      </c>
      <c r="CZ787" s="104" t="s">
        <v>729</v>
      </c>
      <c r="DA787" s="186" t="n">
        <f aca="false" ca="true" dt2D="false" dtr="false" t="normal">SUBTOTAL(9, DB787:DP787)</f>
        <v>3393377.71</v>
      </c>
      <c r="DB787" s="106" t="n"/>
      <c r="DC787" s="114" t="n">
        <v>3393377.71</v>
      </c>
      <c r="DD787" s="114" t="n">
        <v>0</v>
      </c>
      <c r="DE787" s="114" t="n">
        <v>0</v>
      </c>
      <c r="DF787" s="114" t="n">
        <v>0</v>
      </c>
      <c r="DG787" s="114" t="n"/>
      <c r="DH787" s="106" t="n"/>
      <c r="DI787" s="114" t="n">
        <v>0</v>
      </c>
      <c r="DJ787" s="114" t="n">
        <v>0</v>
      </c>
      <c r="DK787" s="114" t="n">
        <v>0</v>
      </c>
      <c r="DL787" s="114" t="n">
        <v>0</v>
      </c>
      <c r="DM787" s="114" t="n">
        <v>0</v>
      </c>
      <c r="DN787" s="114" t="n"/>
      <c r="DO787" s="114" t="n"/>
      <c r="DP787" s="240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</row>
    <row customFormat="true" hidden="false" ht="15" outlineLevel="0" r="788" s="1">
      <c r="A788" s="183" t="n">
        <f aca="false" ca="false" dt2D="false" dtr="false" t="normal">+A787+1</f>
        <v>766</v>
      </c>
      <c r="B788" s="117" t="n">
        <f aca="false" ca="false" dt2D="false" dtr="false" t="normal">+B787+1</f>
        <v>306</v>
      </c>
      <c r="C788" s="117" t="s">
        <v>227</v>
      </c>
      <c r="D788" s="117" t="s">
        <v>730</v>
      </c>
      <c r="E788" s="201" t="n">
        <v>1988</v>
      </c>
      <c r="F788" s="201" t="n">
        <v>2014</v>
      </c>
      <c r="G788" s="201" t="s">
        <v>68</v>
      </c>
      <c r="H788" s="201" t="n">
        <v>9</v>
      </c>
      <c r="I788" s="201" t="n">
        <v>1</v>
      </c>
      <c r="J788" s="114" t="n">
        <v>2270.5</v>
      </c>
      <c r="K788" s="114" t="n">
        <v>2006.4</v>
      </c>
      <c r="L788" s="114" t="n">
        <v>66</v>
      </c>
      <c r="M788" s="202" t="n">
        <v>90</v>
      </c>
      <c r="N788" s="108" t="n">
        <f aca="false" ca="false" dt2D="false" dtr="false" t="normal">SUM(P788:T788)</f>
        <v>7286252.949999999</v>
      </c>
      <c r="O788" s="114" t="n"/>
      <c r="P788" s="114" t="n"/>
      <c r="Q788" s="114" t="n"/>
      <c r="R788" s="113" t="n">
        <v>1447932.73</v>
      </c>
      <c r="S788" s="113" t="n">
        <v>5838320.22</v>
      </c>
      <c r="T788" s="113" t="n"/>
      <c r="U788" s="114" t="n">
        <v>3609.9971147182</v>
      </c>
      <c r="V788" s="114" t="n">
        <v>3609.9971147182</v>
      </c>
      <c r="W788" s="110" t="n">
        <v>2024</v>
      </c>
      <c r="X788" s="9" t="e">
        <f aca="false" ca="false" dt2D="false" dtr="false" t="normal">+#REF!-'[9]Приложение №1'!$P1453</f>
        <v>#REF!</v>
      </c>
      <c r="Z788" s="113" t="n">
        <f aca="false" ca="false" dt2D="false" dtr="false" t="normal">SUM(AA788:AO788)</f>
        <v>11270269.226899998</v>
      </c>
      <c r="AA788" s="106" t="n">
        <v>4965914.72</v>
      </c>
      <c r="AB788" s="106" t="n">
        <v>3178213.64857626</v>
      </c>
      <c r="AC788" s="106" t="n">
        <v>1934636.11525968</v>
      </c>
      <c r="AD788" s="106" t="n">
        <v>0</v>
      </c>
      <c r="AE788" s="106" t="n">
        <v>0</v>
      </c>
      <c r="AF788" s="106" t="n"/>
      <c r="AG788" s="106" t="n">
        <v>222783.7388448</v>
      </c>
      <c r="AH788" s="106" t="n">
        <v>0</v>
      </c>
      <c r="AI788" s="106" t="n">
        <v>0</v>
      </c>
      <c r="AJ788" s="106" t="n">
        <v>0</v>
      </c>
      <c r="AK788" s="106" t="n">
        <v>0</v>
      </c>
      <c r="AL788" s="106" t="n">
        <v>0</v>
      </c>
      <c r="AM788" s="106" t="n">
        <v>671526.347</v>
      </c>
      <c r="AN788" s="114" t="n">
        <v>76330.3621</v>
      </c>
      <c r="AO788" s="115" t="n">
        <v>220864.29511926</v>
      </c>
      <c r="AP788" s="112" t="n">
        <f aca="false" ca="false" dt2D="false" dtr="false" t="normal">+N788-'Приложение №2'!E788</f>
        <v>0</v>
      </c>
      <c r="AQ788" s="1" t="n">
        <v>1190275.71</v>
      </c>
      <c r="AR788" s="3" t="n">
        <f aca="false" ca="false" dt2D="false" dtr="false" t="normal">+(K788*13.29+L788*22.52)*12*0.85</f>
        <v>287144.0352</v>
      </c>
      <c r="AS788" s="3" t="n">
        <f aca="false" ca="false" dt2D="false" dtr="false" t="normal">+(K788*13.29+L788*22.52)*12*30</f>
        <v>10134495.36</v>
      </c>
      <c r="AT788" s="9" t="n">
        <f aca="false" ca="false" dt2D="false" dtr="false" t="normal">+S788-AS788</f>
        <v>-4296175.14</v>
      </c>
      <c r="AU788" s="9" t="e">
        <f aca="false" ca="false" dt2D="false" dtr="false" t="normal">+P788-'[5]Приложение №1'!$P409</f>
        <v>#REF!</v>
      </c>
      <c r="AV788" s="9" t="e">
        <f aca="false" ca="false" dt2D="false" dtr="false" t="normal">+Q788-'[5]Приложение №1'!$Q409</f>
        <v>#REF!</v>
      </c>
      <c r="AW788" s="113" t="n">
        <f aca="false" ca="true" dt2D="false" dtr="false" t="normal">SUBTOTAL(9, AX788:BL788)</f>
        <v>7481358.0205419995</v>
      </c>
      <c r="AX788" s="106" t="n">
        <v>4993428.795642</v>
      </c>
      <c r="AY788" s="106" t="n"/>
      <c r="AZ788" s="106" t="n">
        <v>2109950.6526</v>
      </c>
      <c r="BA788" s="106" t="n">
        <v>0</v>
      </c>
      <c r="BB788" s="106" t="n">
        <v>0</v>
      </c>
      <c r="BC788" s="106" t="n"/>
      <c r="BD788" s="106" t="n">
        <v>222783.7388448</v>
      </c>
      <c r="BE788" s="106" t="n">
        <v>0</v>
      </c>
      <c r="BF788" s="106" t="n">
        <v>0</v>
      </c>
      <c r="BG788" s="106" t="n">
        <v>0</v>
      </c>
      <c r="BH788" s="106" t="n">
        <v>0</v>
      </c>
      <c r="BI788" s="106" t="n">
        <v>0</v>
      </c>
      <c r="BJ788" s="106" t="n"/>
      <c r="BK788" s="114" t="n"/>
      <c r="BL788" s="115" t="n">
        <v>155194.8334552</v>
      </c>
      <c r="BM788" s="113" t="n">
        <f aca="false" ca="true" dt2D="false" dtr="false" t="normal">SUBTOTAL(9, BN788:CB788)</f>
        <v>7481358.0205419995</v>
      </c>
      <c r="BN788" s="106" t="n">
        <v>4993428.795642</v>
      </c>
      <c r="BO788" s="106" t="n"/>
      <c r="BP788" s="106" t="n">
        <v>2109950.6526</v>
      </c>
      <c r="BQ788" s="106" t="n">
        <v>0</v>
      </c>
      <c r="BR788" s="106" t="n">
        <v>0</v>
      </c>
      <c r="BS788" s="106" t="n"/>
      <c r="BT788" s="106" t="n">
        <v>222783.7388448</v>
      </c>
      <c r="BU788" s="106" t="n">
        <v>0</v>
      </c>
      <c r="BV788" s="106" t="n">
        <v>0</v>
      </c>
      <c r="BW788" s="106" t="n">
        <v>0</v>
      </c>
      <c r="BX788" s="106" t="n">
        <v>0</v>
      </c>
      <c r="BY788" s="106" t="n">
        <v>0</v>
      </c>
      <c r="BZ788" s="106" t="n"/>
      <c r="CA788" s="114" t="n"/>
      <c r="CB788" s="115" t="n">
        <v>155194.8334552</v>
      </c>
      <c r="CD788" s="116" t="e">
        <f aca="false" ca="false" dt2D="false" dtr="false" t="normal">+CD787+1</f>
        <v>#REF!</v>
      </c>
      <c r="CE788" s="117" t="e">
        <f aca="false" ca="false" dt2D="false" dtr="false" t="normal">+CE787+1</f>
        <v>#REF!</v>
      </c>
      <c r="CF788" s="104" t="s">
        <v>227</v>
      </c>
      <c r="CG788" s="104" t="s">
        <v>730</v>
      </c>
      <c r="CH788" s="108" t="n">
        <f aca="false" ca="true" dt2D="false" dtr="false" t="normal">SUBTOTAL(9, CI788:CW788)</f>
        <v>7441447.78</v>
      </c>
      <c r="CI788" s="106" t="n">
        <v>5920320.63</v>
      </c>
      <c r="CJ788" s="114" t="n"/>
      <c r="CK788" s="114" t="n">
        <v>1365932.32</v>
      </c>
      <c r="CL788" s="114" t="n">
        <v>0</v>
      </c>
      <c r="CM788" s="114" t="n">
        <v>0</v>
      </c>
      <c r="CN788" s="114" t="n"/>
      <c r="CO788" s="106" t="n"/>
      <c r="CP788" s="114" t="n">
        <v>0</v>
      </c>
      <c r="CQ788" s="114" t="n">
        <v>0</v>
      </c>
      <c r="CR788" s="114" t="n">
        <v>0</v>
      </c>
      <c r="CS788" s="114" t="n">
        <v>0</v>
      </c>
      <c r="CT788" s="114" t="n">
        <v>0</v>
      </c>
      <c r="CU788" s="114" t="n"/>
      <c r="CV788" s="114" t="n"/>
      <c r="CW788" s="115" t="n">
        <v>155194.83</v>
      </c>
      <c r="CX788" s="3" t="n">
        <f aca="false" ca="false" dt2D="false" dtr="false" t="normal">+N788-CH788</f>
        <v>-155194.830000001</v>
      </c>
      <c r="CZ788" s="104" t="s">
        <v>730</v>
      </c>
      <c r="DA788" s="113" t="n">
        <f aca="false" ca="true" dt2D="false" dtr="false" t="normal">SUBTOTAL(9, DB788:DP788)</f>
        <v>7286252.95</v>
      </c>
      <c r="DB788" s="106" t="n">
        <v>5920320.63</v>
      </c>
      <c r="DC788" s="114" t="n"/>
      <c r="DD788" s="114" t="n">
        <v>1365932.32</v>
      </c>
      <c r="DE788" s="114" t="n">
        <v>0</v>
      </c>
      <c r="DF788" s="114" t="n">
        <v>0</v>
      </c>
      <c r="DG788" s="114" t="n"/>
      <c r="DH788" s="106" t="n"/>
      <c r="DI788" s="114" t="n">
        <v>0</v>
      </c>
      <c r="DJ788" s="114" t="n">
        <v>0</v>
      </c>
      <c r="DK788" s="114" t="n">
        <v>0</v>
      </c>
      <c r="DL788" s="114" t="n">
        <v>0</v>
      </c>
      <c r="DM788" s="114" t="n">
        <v>0</v>
      </c>
      <c r="DN788" s="114" t="n"/>
      <c r="DO788" s="114" t="n"/>
      <c r="DP788" s="240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</row>
    <row customFormat="true" hidden="false" ht="15" outlineLevel="0" r="789" s="1">
      <c r="A789" s="183" t="n">
        <f aca="false" ca="false" dt2D="false" dtr="false" t="normal">+A788+1</f>
        <v>767</v>
      </c>
      <c r="B789" s="117" t="n">
        <f aca="false" ca="false" dt2D="false" dtr="false" t="normal">+B788+1</f>
        <v>307</v>
      </c>
      <c r="C789" s="104" t="s">
        <v>227</v>
      </c>
      <c r="D789" s="104" t="s">
        <v>731</v>
      </c>
      <c r="E789" s="105" t="n">
        <v>1971</v>
      </c>
      <c r="F789" s="105" t="n">
        <v>2015</v>
      </c>
      <c r="G789" s="105" t="s">
        <v>68</v>
      </c>
      <c r="H789" s="105" t="n">
        <v>4</v>
      </c>
      <c r="I789" s="105" t="n">
        <v>3</v>
      </c>
      <c r="J789" s="106" t="n">
        <v>2186.1</v>
      </c>
      <c r="K789" s="106" t="n">
        <v>2051.6</v>
      </c>
      <c r="L789" s="106" t="n">
        <v>31.5</v>
      </c>
      <c r="M789" s="107" t="n">
        <v>100</v>
      </c>
      <c r="N789" s="108" t="n">
        <f aca="false" ca="false" dt2D="false" dtr="false" t="normal">SUM(P789:T789)</f>
        <v>2117368.17</v>
      </c>
      <c r="O789" s="106" t="n"/>
      <c r="P789" s="114" t="n"/>
      <c r="Q789" s="114" t="n"/>
      <c r="R789" s="113" t="n">
        <v>563744.61</v>
      </c>
      <c r="S789" s="113" t="n">
        <v>1553623.56</v>
      </c>
      <c r="T789" s="114" t="n"/>
      <c r="U789" s="106" t="n">
        <v>2872.31685752004</v>
      </c>
      <c r="V789" s="106" t="n">
        <v>2872.31685752004</v>
      </c>
      <c r="W789" s="110" t="n">
        <v>2024</v>
      </c>
      <c r="X789" s="9" t="e">
        <f aca="false" ca="false" dt2D="false" dtr="false" t="normal">+#REF!-'[9]Приложение №1'!$P508</f>
        <v>#REF!</v>
      </c>
      <c r="Z789" s="113" t="n">
        <f aca="false" ca="false" dt2D="false" dtr="false" t="normal">SUM(AA789:AO789)</f>
        <v>6575080.489999999</v>
      </c>
      <c r="AA789" s="106" t="n">
        <v>5855280.12843774</v>
      </c>
      <c r="AB789" s="106" t="n">
        <v>0</v>
      </c>
      <c r="AC789" s="106" t="n">
        <v>0</v>
      </c>
      <c r="AD789" s="106" t="n">
        <v>0</v>
      </c>
      <c r="AE789" s="106" t="n">
        <v>0</v>
      </c>
      <c r="AF789" s="106" t="n"/>
      <c r="AG789" s="106" t="n">
        <v>0</v>
      </c>
      <c r="AH789" s="106" t="n">
        <v>0</v>
      </c>
      <c r="AI789" s="106" t="n">
        <v>0</v>
      </c>
      <c r="AJ789" s="106" t="n">
        <v>0</v>
      </c>
      <c r="AK789" s="106" t="n">
        <v>0</v>
      </c>
      <c r="AL789" s="106" t="n">
        <v>0</v>
      </c>
      <c r="AM789" s="106" t="n">
        <v>526006.4392</v>
      </c>
      <c r="AN789" s="114" t="n">
        <v>65750.8049</v>
      </c>
      <c r="AO789" s="115" t="n">
        <v>128043.11746226</v>
      </c>
      <c r="AP789" s="112" t="n">
        <f aca="false" ca="false" dt2D="false" dtr="false" t="normal">+N789-'Приложение №2'!E789</f>
        <v>0</v>
      </c>
      <c r="AQ789" s="1" t="n">
        <v>893583.94</v>
      </c>
      <c r="AR789" s="3" t="n">
        <f aca="false" ca="false" dt2D="false" dtr="false" t="normal">+(K789*10+L789*20)*12*0.85</f>
        <v>215689.19999999998</v>
      </c>
      <c r="AS789" s="3" t="n">
        <f aca="false" ca="false" dt2D="false" dtr="false" t="normal">+(K789*10+L789*20)*12*30</f>
        <v>7612560</v>
      </c>
      <c r="AT789" s="9" t="n">
        <f aca="false" ca="false" dt2D="false" dtr="false" t="normal">+S789-AS789</f>
        <v>-6058936.4399999995</v>
      </c>
      <c r="AU789" s="9" t="e">
        <f aca="false" ca="false" dt2D="false" dtr="false" t="normal">+P789-'[5]Приложение №1'!$P411</f>
        <v>#REF!</v>
      </c>
      <c r="AV789" s="9" t="e">
        <f aca="false" ca="false" dt2D="false" dtr="false" t="normal">+Q789-'[5]Приложение №1'!$Q411</f>
        <v>#REF!</v>
      </c>
      <c r="AW789" s="113" t="n">
        <f aca="false" ca="true" dt2D="false" dtr="false" t="normal">SUBTOTAL(9, AX789:BL789)</f>
        <v>5983323.2458999995</v>
      </c>
      <c r="AX789" s="106" t="n">
        <v>5855280.12843774</v>
      </c>
      <c r="AY789" s="106" t="n">
        <v>0</v>
      </c>
      <c r="AZ789" s="106" t="n">
        <v>0</v>
      </c>
      <c r="BA789" s="106" t="n">
        <v>0</v>
      </c>
      <c r="BB789" s="106" t="n">
        <v>0</v>
      </c>
      <c r="BC789" s="106" t="n"/>
      <c r="BD789" s="106" t="n"/>
      <c r="BE789" s="106" t="n">
        <v>0</v>
      </c>
      <c r="BF789" s="106" t="n">
        <v>0</v>
      </c>
      <c r="BG789" s="106" t="n">
        <v>0</v>
      </c>
      <c r="BH789" s="106" t="n">
        <v>0</v>
      </c>
      <c r="BI789" s="106" t="n">
        <v>0</v>
      </c>
      <c r="BJ789" s="106" t="n"/>
      <c r="BK789" s="114" t="n"/>
      <c r="BL789" s="187" t="n">
        <v>128043.11746226</v>
      </c>
      <c r="BM789" s="113" t="n">
        <f aca="false" ca="true" dt2D="false" dtr="false" t="normal">SUBTOTAL(9, BN789:CB789)</f>
        <v>5983323.2458999995</v>
      </c>
      <c r="BN789" s="106" t="n">
        <v>5855280.12843774</v>
      </c>
      <c r="BO789" s="106" t="n">
        <v>0</v>
      </c>
      <c r="BP789" s="106" t="n">
        <v>0</v>
      </c>
      <c r="BQ789" s="106" t="n">
        <v>0</v>
      </c>
      <c r="BR789" s="106" t="n">
        <v>0</v>
      </c>
      <c r="BS789" s="106" t="n"/>
      <c r="BT789" s="106" t="n"/>
      <c r="BU789" s="106" t="n">
        <v>0</v>
      </c>
      <c r="BV789" s="106" t="n">
        <v>0</v>
      </c>
      <c r="BW789" s="106" t="n">
        <v>0</v>
      </c>
      <c r="BX789" s="106" t="n">
        <v>0</v>
      </c>
      <c r="BY789" s="106" t="n">
        <v>0</v>
      </c>
      <c r="BZ789" s="106" t="n"/>
      <c r="CA789" s="114" t="n"/>
      <c r="CB789" s="115" t="n">
        <v>128043.11746226</v>
      </c>
      <c r="CD789" s="116" t="e">
        <f aca="false" ca="false" dt2D="false" dtr="false" t="normal">+CD788+1</f>
        <v>#REF!</v>
      </c>
      <c r="CE789" s="117" t="e">
        <f aca="false" ca="false" dt2D="false" dtr="false" t="normal">+CE788+1</f>
        <v>#REF!</v>
      </c>
      <c r="CF789" s="104" t="s">
        <v>227</v>
      </c>
      <c r="CG789" s="117" t="s">
        <v>731</v>
      </c>
      <c r="CH789" s="108" t="n">
        <f aca="false" ca="true" dt2D="false" dtr="false" t="normal">SUBTOTAL(9, CI789:CW789)</f>
        <v>2220896.3</v>
      </c>
      <c r="CI789" s="192" t="n">
        <v>2092853.18</v>
      </c>
      <c r="CJ789" s="114" t="n">
        <v>0</v>
      </c>
      <c r="CK789" s="114" t="n">
        <v>0</v>
      </c>
      <c r="CL789" s="114" t="n">
        <v>0</v>
      </c>
      <c r="CM789" s="114" t="n">
        <v>0</v>
      </c>
      <c r="CN789" s="114" t="n"/>
      <c r="CO789" s="106" t="n"/>
      <c r="CP789" s="114" t="n">
        <v>0</v>
      </c>
      <c r="CQ789" s="114" t="n">
        <v>0</v>
      </c>
      <c r="CR789" s="114" t="n">
        <v>0</v>
      </c>
      <c r="CS789" s="114" t="n">
        <v>0</v>
      </c>
      <c r="CT789" s="114" t="n">
        <v>0</v>
      </c>
      <c r="CU789" s="114" t="n"/>
      <c r="CV789" s="114" t="n"/>
      <c r="CW789" s="115" t="n">
        <v>128043.12</v>
      </c>
      <c r="CX789" s="3" t="n">
        <f aca="false" ca="false" dt2D="false" dtr="false" t="normal">+N789-CH789</f>
        <v>-103528.12999999989</v>
      </c>
      <c r="CZ789" s="117" t="s">
        <v>731</v>
      </c>
      <c r="DA789" s="113" t="n">
        <f aca="false" ca="true" dt2D="false" dtr="false" t="normal">SUBTOTAL(9, DB789:DP789)</f>
        <v>2117368.167</v>
      </c>
      <c r="DB789" s="192" t="n">
        <v>2092853.18</v>
      </c>
      <c r="DC789" s="114" t="n">
        <v>0</v>
      </c>
      <c r="DD789" s="114" t="n">
        <v>0</v>
      </c>
      <c r="DE789" s="114" t="n">
        <v>0</v>
      </c>
      <c r="DF789" s="114" t="n">
        <v>0</v>
      </c>
      <c r="DG789" s="114" t="n"/>
      <c r="DH789" s="106" t="n"/>
      <c r="DI789" s="114" t="n">
        <v>0</v>
      </c>
      <c r="DJ789" s="114" t="n">
        <v>0</v>
      </c>
      <c r="DK789" s="114" t="n">
        <v>0</v>
      </c>
      <c r="DL789" s="114" t="n">
        <v>0</v>
      </c>
      <c r="DM789" s="114" t="n">
        <v>0</v>
      </c>
      <c r="DN789" s="114" t="n"/>
      <c r="DO789" s="114" t="n"/>
      <c r="DP789" s="115" t="n">
        <f aca="false" ca="false" dt2D="false" dtr="false" t="normal">21317.38*1.15</f>
        <v>24514.987</v>
      </c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</row>
    <row customFormat="true" hidden="false" ht="15" outlineLevel="0" r="790" s="129">
      <c r="A790" s="183" t="n">
        <f aca="false" ca="false" dt2D="false" dtr="false" t="normal">+A789+1</f>
        <v>768</v>
      </c>
      <c r="B790" s="117" t="n">
        <f aca="false" ca="false" dt2D="false" dtr="false" t="normal">+B789+1</f>
        <v>308</v>
      </c>
      <c r="C790" s="117" t="s">
        <v>227</v>
      </c>
      <c r="D790" s="117" t="s">
        <v>732</v>
      </c>
      <c r="E790" s="201" t="s">
        <v>733</v>
      </c>
      <c r="F790" s="201" t="s">
        <v>733</v>
      </c>
      <c r="G790" s="201" t="s">
        <v>68</v>
      </c>
      <c r="H790" s="201" t="s">
        <v>126</v>
      </c>
      <c r="I790" s="201" t="s">
        <v>232</v>
      </c>
      <c r="J790" s="114" t="n">
        <v>2491.9</v>
      </c>
      <c r="K790" s="114" t="n">
        <v>1556.5</v>
      </c>
      <c r="L790" s="114" t="n">
        <v>0</v>
      </c>
      <c r="M790" s="202" t="n">
        <v>87</v>
      </c>
      <c r="N790" s="108" t="n">
        <f aca="false" ca="false" dt2D="false" dtr="false" t="normal">SUM(P790:T790)</f>
        <v>3000018.44</v>
      </c>
      <c r="O790" s="114" t="n">
        <v>0</v>
      </c>
      <c r="P790" s="114" t="n"/>
      <c r="Q790" s="114" t="n"/>
      <c r="R790" s="113" t="n">
        <v>918885.62</v>
      </c>
      <c r="S790" s="113" t="n">
        <v>2081132.82</v>
      </c>
      <c r="T790" s="114" t="n">
        <v>0</v>
      </c>
      <c r="U790" s="114" t="n">
        <v>2744.00899453903</v>
      </c>
      <c r="V790" s="114" t="n">
        <v>1409.283020064</v>
      </c>
      <c r="W790" s="110" t="n">
        <v>2024</v>
      </c>
      <c r="X790" s="129" t="n">
        <v>387429.28</v>
      </c>
      <c r="Y790" s="129" t="n">
        <f aca="false" ca="false" dt2D="false" dtr="false" t="normal">+(K790*12.08+L790*20.47)*12</f>
        <v>225630.24</v>
      </c>
      <c r="AA790" s="130" t="e">
        <f aca="false" ca="false" dt2D="false" dtr="false" t="normal">+N790-'[8]Приложение № 2'!E655</f>
        <v>#REF!</v>
      </c>
      <c r="AD790" s="130" t="e">
        <f aca="false" ca="false" dt2D="false" dtr="false" t="normal">+N790-'[8]Приложение № 2'!E655</f>
        <v>#REF!</v>
      </c>
      <c r="AP790" s="112" t="n">
        <f aca="false" ca="false" dt2D="false" dtr="false" t="normal">+N790-'Приложение №2'!E790</f>
        <v>0</v>
      </c>
      <c r="AQ790" s="121" t="n">
        <v>697411.23</v>
      </c>
      <c r="AR790" s="3" t="n">
        <f aca="false" ca="false" dt2D="false" dtr="false" t="normal">+(K790*13.95+L790*23.65)*12*0.85</f>
        <v>221474.38499999998</v>
      </c>
      <c r="AS790" s="3" t="n">
        <f aca="false" ca="false" dt2D="false" dtr="false" t="normal">+(K790*13.95+L790*23.65)*12*30</f>
        <v>7816742.999999999</v>
      </c>
      <c r="AT790" s="9" t="n">
        <f aca="false" ca="false" dt2D="false" dtr="false" t="normal">+S790-AS790</f>
        <v>-5735610.179999999</v>
      </c>
      <c r="AU790" s="9" t="e">
        <f aca="false" ca="false" dt2D="false" dtr="false" t="normal">+P790-'[5]Приложение №1'!$P689</f>
        <v>#REF!</v>
      </c>
      <c r="AV790" s="9" t="e">
        <f aca="false" ca="false" dt2D="false" dtr="false" t="normal">+Q790-'[5]Приложение №1'!$Q689</f>
        <v>#REF!</v>
      </c>
      <c r="AW790" s="186" t="n">
        <f aca="false" ca="true" dt2D="false" dtr="false" t="normal">SUBTOTAL(9, AX790:BL790)</f>
        <v>4271050</v>
      </c>
      <c r="AX790" s="106" t="n"/>
      <c r="AY790" s="106" t="n"/>
      <c r="AZ790" s="106" t="n"/>
      <c r="BA790" s="106" t="n"/>
      <c r="BB790" s="106" t="n"/>
      <c r="BC790" s="106" t="n"/>
      <c r="BD790" s="106" t="n"/>
      <c r="BE790" s="106" t="n">
        <v>4012463.5488</v>
      </c>
      <c r="BF790" s="106" t="n"/>
      <c r="BG790" s="106" t="n"/>
      <c r="BH790" s="106" t="n"/>
      <c r="BI790" s="106" t="n"/>
      <c r="BJ790" s="106" t="n">
        <v>128131.5</v>
      </c>
      <c r="BK790" s="114" t="n">
        <v>42710.5</v>
      </c>
      <c r="BL790" s="115" t="n">
        <v>87744.4512</v>
      </c>
      <c r="BM790" s="186" t="n">
        <f aca="false" ca="true" dt2D="false" dtr="false" t="normal">SUBTOTAL(9, BN790:CB790)</f>
        <v>4271050</v>
      </c>
      <c r="BN790" s="106" t="n"/>
      <c r="BO790" s="106" t="n"/>
      <c r="BP790" s="106" t="n"/>
      <c r="BQ790" s="106" t="n"/>
      <c r="BR790" s="106" t="n"/>
      <c r="BS790" s="106" t="n"/>
      <c r="BT790" s="106" t="n"/>
      <c r="BU790" s="106" t="n">
        <v>4012463.5488</v>
      </c>
      <c r="BV790" s="106" t="n"/>
      <c r="BW790" s="106" t="n"/>
      <c r="BX790" s="106" t="n"/>
      <c r="BY790" s="106" t="n"/>
      <c r="BZ790" s="106" t="n">
        <v>128131.5</v>
      </c>
      <c r="CA790" s="114" t="n">
        <v>42710.5</v>
      </c>
      <c r="CB790" s="115" t="n">
        <v>87744.4512</v>
      </c>
      <c r="CD790" s="116" t="e">
        <f aca="false" ca="false" dt2D="false" dtr="false" t="normal">+CD789+1</f>
        <v>#REF!</v>
      </c>
      <c r="CE790" s="117" t="e">
        <f aca="false" ca="false" dt2D="false" dtr="false" t="normal">+CE789+1</f>
        <v>#REF!</v>
      </c>
      <c r="CF790" s="104" t="s">
        <v>227</v>
      </c>
      <c r="CG790" s="104" t="s">
        <v>732</v>
      </c>
      <c r="CH790" s="232" t="n">
        <f aca="false" ca="true" dt2D="false" dtr="false" t="normal">SUBTOTAL(9, CI790:CW790)</f>
        <v>3000018.44</v>
      </c>
      <c r="CI790" s="106" t="n"/>
      <c r="CJ790" s="114" t="n"/>
      <c r="CK790" s="114" t="n"/>
      <c r="CL790" s="114" t="n"/>
      <c r="CM790" s="114" t="n"/>
      <c r="CN790" s="114" t="n"/>
      <c r="CO790" s="106" t="n"/>
      <c r="CP790" s="243" t="n">
        <v>2829176.44</v>
      </c>
      <c r="CQ790" s="114" t="n"/>
      <c r="CR790" s="114" t="n"/>
      <c r="CS790" s="114" t="n"/>
      <c r="CT790" s="114" t="n"/>
      <c r="CU790" s="114" t="n">
        <v>128131.5</v>
      </c>
      <c r="CV790" s="114" t="n">
        <v>42710.5</v>
      </c>
      <c r="CW790" s="115" t="n"/>
      <c r="CX790" s="3" t="n">
        <f aca="false" ca="false" dt2D="false" dtr="false" t="normal">+N790-CH790</f>
        <v>0</v>
      </c>
      <c r="CZ790" s="104" t="s">
        <v>732</v>
      </c>
      <c r="DA790" s="186" t="n">
        <f aca="false" ca="true" dt2D="false" dtr="false" t="normal">SUBTOTAL(9, DB790:DP790)</f>
        <v>3000018.44</v>
      </c>
      <c r="DB790" s="106" t="n"/>
      <c r="DC790" s="114" t="n"/>
      <c r="DD790" s="114" t="n"/>
      <c r="DE790" s="114" t="n"/>
      <c r="DF790" s="114" t="n"/>
      <c r="DG790" s="114" t="n"/>
      <c r="DH790" s="106" t="n"/>
      <c r="DI790" s="243" t="n">
        <v>2829176.44</v>
      </c>
      <c r="DJ790" s="114" t="n"/>
      <c r="DK790" s="114" t="n"/>
      <c r="DL790" s="114" t="n"/>
      <c r="DM790" s="114" t="n"/>
      <c r="DN790" s="114" t="n">
        <v>128131.5</v>
      </c>
      <c r="DO790" s="114" t="n">
        <v>42710.5</v>
      </c>
      <c r="DP790" s="240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</row>
    <row customFormat="true" hidden="false" ht="15" outlineLevel="0" r="791" s="1">
      <c r="A791" s="183" t="n">
        <f aca="false" ca="false" dt2D="false" dtr="false" t="normal">+A790+1</f>
        <v>769</v>
      </c>
      <c r="B791" s="117" t="n">
        <f aca="false" ca="false" dt2D="false" dtr="false" t="normal">+B790+1</f>
        <v>309</v>
      </c>
      <c r="C791" s="117" t="s">
        <v>227</v>
      </c>
      <c r="D791" s="117" t="s">
        <v>734</v>
      </c>
      <c r="E791" s="201" t="n">
        <v>1993</v>
      </c>
      <c r="F791" s="201" t="n">
        <v>2016</v>
      </c>
      <c r="G791" s="201" t="s">
        <v>68</v>
      </c>
      <c r="H791" s="201" t="n">
        <v>9</v>
      </c>
      <c r="I791" s="201" t="n">
        <v>1</v>
      </c>
      <c r="J791" s="114" t="n">
        <v>2834.5</v>
      </c>
      <c r="K791" s="114" t="n">
        <v>1783.4</v>
      </c>
      <c r="L791" s="114" t="n">
        <v>0</v>
      </c>
      <c r="M791" s="202" t="n">
        <v>147</v>
      </c>
      <c r="N791" s="108" t="n">
        <f aca="false" ca="false" dt2D="false" dtr="false" t="normal">SUM(P791:T791)</f>
        <v>2158435.54</v>
      </c>
      <c r="O791" s="114" t="n"/>
      <c r="P791" s="114" t="n"/>
      <c r="Q791" s="114" t="n"/>
      <c r="R791" s="113" t="n">
        <v>779041.66</v>
      </c>
      <c r="S791" s="113" t="n">
        <v>1379393.88</v>
      </c>
      <c r="T791" s="114" t="n"/>
      <c r="U791" s="114" t="n">
        <v>1791.72583258944</v>
      </c>
      <c r="V791" s="114" t="n">
        <v>1791.72583258944</v>
      </c>
      <c r="W791" s="110" t="n">
        <v>2024</v>
      </c>
      <c r="X791" s="9" t="e">
        <f aca="false" ca="false" dt2D="false" dtr="false" t="normal">+#REF!-'[9]Приложение №1'!$P1625</f>
        <v>#REF!</v>
      </c>
      <c r="Z791" s="113" t="n">
        <f aca="false" ca="false" dt2D="false" dtr="false" t="normal">SUM(AA791:AO791)</f>
        <v>3200641.0999999996</v>
      </c>
      <c r="AA791" s="106" t="n">
        <v>0</v>
      </c>
      <c r="AB791" s="106" t="n">
        <v>0</v>
      </c>
      <c r="AC791" s="106" t="n">
        <v>0</v>
      </c>
      <c r="AD791" s="106" t="n">
        <v>0</v>
      </c>
      <c r="AE791" s="106" t="n">
        <v>0</v>
      </c>
      <c r="AF791" s="106" t="n"/>
      <c r="AG791" s="106" t="n">
        <v>0</v>
      </c>
      <c r="AH791" s="106" t="n">
        <v>0</v>
      </c>
      <c r="AI791" s="106" t="n">
        <v>2818932.642414</v>
      </c>
      <c r="AJ791" s="106" t="n">
        <v>0</v>
      </c>
      <c r="AK791" s="106" t="n">
        <v>0</v>
      </c>
      <c r="AL791" s="106" t="n">
        <v>0</v>
      </c>
      <c r="AM791" s="106" t="n">
        <v>288057.699</v>
      </c>
      <c r="AN791" s="114" t="n">
        <v>32006.411</v>
      </c>
      <c r="AO791" s="115" t="n">
        <v>61644.347586</v>
      </c>
      <c r="AP791" s="112" t="n">
        <f aca="false" ca="false" dt2D="false" dtr="false" t="normal">+N791-'Приложение №2'!E791</f>
        <v>0</v>
      </c>
      <c r="AQ791" s="1" t="n">
        <v>537287.52</v>
      </c>
      <c r="AR791" s="3" t="n">
        <f aca="false" ca="false" dt2D="false" dtr="false" t="normal">+(K791*13.29+L791*22.52)*12*0.85</f>
        <v>241754.13719999997</v>
      </c>
      <c r="AS791" s="3" t="n">
        <f aca="false" ca="false" dt2D="false" dtr="false" t="normal">+(K791*13.95+L791*23.65)*12*30</f>
        <v>8956234.8</v>
      </c>
      <c r="AT791" s="9" t="n">
        <f aca="false" ca="false" dt2D="false" dtr="false" t="normal">+S791-AS791</f>
        <v>-7576840.920000001</v>
      </c>
      <c r="AU791" s="9" t="e">
        <f aca="false" ca="false" dt2D="false" dtr="false" t="normal">+P791-'[5]Приложение №1'!$P413</f>
        <v>#REF!</v>
      </c>
      <c r="AV791" s="9" t="e">
        <f aca="false" ca="false" dt2D="false" dtr="false" t="normal">+Q791-'[5]Приложение №1'!$Q413</f>
        <v>#REF!</v>
      </c>
      <c r="AW791" s="113" t="n">
        <f aca="false" ca="true" dt2D="false" dtr="false" t="normal">SUBTOTAL(9, AX791:BL791)</f>
        <v>3195363.8498400003</v>
      </c>
      <c r="AX791" s="106" t="n">
        <v>0</v>
      </c>
      <c r="AY791" s="106" t="n">
        <v>0</v>
      </c>
      <c r="AZ791" s="106" t="n">
        <v>0</v>
      </c>
      <c r="BA791" s="106" t="n">
        <v>0</v>
      </c>
      <c r="BB791" s="106" t="n">
        <v>0</v>
      </c>
      <c r="BC791" s="106" t="n"/>
      <c r="BD791" s="106" t="n"/>
      <c r="BE791" s="106" t="n">
        <v>0</v>
      </c>
      <c r="BF791" s="106" t="n">
        <v>3054781.07487</v>
      </c>
      <c r="BG791" s="106" t="n">
        <v>0</v>
      </c>
      <c r="BH791" s="106" t="n">
        <v>0</v>
      </c>
      <c r="BI791" s="106" t="n">
        <v>0</v>
      </c>
      <c r="BJ791" s="106" t="n"/>
      <c r="BK791" s="114" t="n"/>
      <c r="BL791" s="115" t="n">
        <v>140582.77497</v>
      </c>
      <c r="BM791" s="113" t="n">
        <f aca="false" ca="true" dt2D="false" dtr="false" t="normal">SUBTOTAL(9, BN791:CB791)</f>
        <v>3195363.8498400003</v>
      </c>
      <c r="BN791" s="106" t="n">
        <v>0</v>
      </c>
      <c r="BO791" s="106" t="n">
        <v>0</v>
      </c>
      <c r="BP791" s="106" t="n">
        <v>0</v>
      </c>
      <c r="BQ791" s="106" t="n">
        <v>0</v>
      </c>
      <c r="BR791" s="106" t="n">
        <v>0</v>
      </c>
      <c r="BS791" s="106" t="n"/>
      <c r="BT791" s="106" t="n"/>
      <c r="BU791" s="106" t="n">
        <v>0</v>
      </c>
      <c r="BV791" s="106" t="n">
        <v>3054781.07487</v>
      </c>
      <c r="BW791" s="106" t="n">
        <v>0</v>
      </c>
      <c r="BX791" s="106" t="n">
        <v>0</v>
      </c>
      <c r="BY791" s="106" t="n">
        <v>0</v>
      </c>
      <c r="BZ791" s="106" t="n"/>
      <c r="CA791" s="114" t="n"/>
      <c r="CB791" s="115" t="n">
        <v>140582.77497</v>
      </c>
      <c r="CD791" s="116" t="e">
        <f aca="false" ca="false" dt2D="false" dtr="false" t="normal">+CD790+1</f>
        <v>#REF!</v>
      </c>
      <c r="CE791" s="117" t="e">
        <f aca="false" ca="false" dt2D="false" dtr="false" t="normal">+CE790+1</f>
        <v>#REF!</v>
      </c>
      <c r="CF791" s="104" t="s">
        <v>227</v>
      </c>
      <c r="CG791" s="104" t="s">
        <v>734</v>
      </c>
      <c r="CH791" s="108" t="n">
        <f aca="false" ca="true" dt2D="false" dtr="false" t="normal">SUBTOTAL(9, CI791:CW791)</f>
        <v>2299018.31</v>
      </c>
      <c r="CI791" s="106" t="n">
        <v>0</v>
      </c>
      <c r="CJ791" s="114" t="n">
        <v>0</v>
      </c>
      <c r="CK791" s="114" t="n">
        <v>0</v>
      </c>
      <c r="CL791" s="114" t="n">
        <v>0</v>
      </c>
      <c r="CM791" s="114" t="n">
        <v>0</v>
      </c>
      <c r="CN791" s="114" t="n"/>
      <c r="CO791" s="106" t="n"/>
      <c r="CP791" s="114" t="n">
        <v>0</v>
      </c>
      <c r="CQ791" s="114" t="n">
        <v>2158435.54</v>
      </c>
      <c r="CR791" s="114" t="n">
        <v>0</v>
      </c>
      <c r="CS791" s="114" t="n">
        <v>0</v>
      </c>
      <c r="CT791" s="114" t="n">
        <v>0</v>
      </c>
      <c r="CU791" s="114" t="n"/>
      <c r="CV791" s="114" t="n"/>
      <c r="CW791" s="115" t="n">
        <v>140582.77</v>
      </c>
      <c r="CX791" s="3" t="n">
        <f aca="false" ca="false" dt2D="false" dtr="false" t="normal">+N791-CH791</f>
        <v>-140582.77000000002</v>
      </c>
      <c r="CZ791" s="104" t="s">
        <v>734</v>
      </c>
      <c r="DA791" s="113" t="n">
        <f aca="false" ca="true" dt2D="false" dtr="false" t="normal">SUBTOTAL(9, DB791:DP791)</f>
        <v>2158435.54</v>
      </c>
      <c r="DB791" s="106" t="n">
        <v>0</v>
      </c>
      <c r="DC791" s="114" t="n">
        <v>0</v>
      </c>
      <c r="DD791" s="114" t="n">
        <v>0</v>
      </c>
      <c r="DE791" s="114" t="n">
        <v>0</v>
      </c>
      <c r="DF791" s="114" t="n">
        <v>0</v>
      </c>
      <c r="DG791" s="114" t="n"/>
      <c r="DH791" s="106" t="n"/>
      <c r="DI791" s="114" t="n">
        <v>0</v>
      </c>
      <c r="DJ791" s="114" t="n">
        <v>2158435.54</v>
      </c>
      <c r="DK791" s="114" t="n">
        <v>0</v>
      </c>
      <c r="DL791" s="114" t="n">
        <v>0</v>
      </c>
      <c r="DM791" s="114" t="n">
        <v>0</v>
      </c>
      <c r="DN791" s="114" t="n"/>
      <c r="DO791" s="114" t="n"/>
      <c r="DP791" s="240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</row>
    <row customFormat="true" hidden="false" ht="15" outlineLevel="0" r="792" s="1">
      <c r="A792" s="183" t="n">
        <f aca="false" ca="false" dt2D="false" dtr="false" t="normal">+A791+1</f>
        <v>770</v>
      </c>
      <c r="B792" s="117" t="n">
        <f aca="false" ca="false" dt2D="false" dtr="false" t="normal">+B791+1</f>
        <v>310</v>
      </c>
      <c r="C792" s="117" t="s">
        <v>735</v>
      </c>
      <c r="D792" s="117" t="s">
        <v>736</v>
      </c>
      <c r="E792" s="201" t="n">
        <v>1990</v>
      </c>
      <c r="F792" s="201" t="n">
        <v>2014</v>
      </c>
      <c r="G792" s="201" t="s">
        <v>68</v>
      </c>
      <c r="H792" s="201" t="n">
        <v>5</v>
      </c>
      <c r="I792" s="201" t="n">
        <v>2</v>
      </c>
      <c r="J792" s="114" t="n">
        <v>2213.5</v>
      </c>
      <c r="K792" s="114" t="n">
        <v>2213.5</v>
      </c>
      <c r="L792" s="114" t="n">
        <v>0</v>
      </c>
      <c r="M792" s="202" t="n">
        <v>93</v>
      </c>
      <c r="N792" s="108" t="n">
        <f aca="false" ca="false" dt2D="false" dtr="false" t="normal">SUM(P792:T792)</f>
        <v>10635851.629999999</v>
      </c>
      <c r="O792" s="114" t="n"/>
      <c r="P792" s="114" t="n"/>
      <c r="Q792" s="114" t="n"/>
      <c r="R792" s="113" t="n">
        <v>1133962.75</v>
      </c>
      <c r="S792" s="113" t="n">
        <v>5165830.31</v>
      </c>
      <c r="T792" s="113" t="n">
        <v>4336058.57</v>
      </c>
      <c r="U792" s="114" t="n">
        <v>2913.41319051276</v>
      </c>
      <c r="V792" s="114" t="n">
        <v>1410.283020064</v>
      </c>
      <c r="W792" s="110" t="n">
        <v>2024</v>
      </c>
      <c r="X792" s="9" t="e">
        <f aca="false" ca="false" dt2D="false" dtr="false" t="normal">+#REF!-'[9]Приложение №1'!$P1209</f>
        <v>#REF!</v>
      </c>
      <c r="Z792" s="113" t="n">
        <f aca="false" ca="false" dt2D="false" dtr="false" t="normal">SUM(AA792:AO792)</f>
        <v>7131894.39</v>
      </c>
      <c r="AA792" s="106" t="n">
        <v>3861288.84626394</v>
      </c>
      <c r="AB792" s="106" t="n">
        <v>2292533.94156402</v>
      </c>
      <c r="AC792" s="106" t="n">
        <v>0</v>
      </c>
      <c r="AD792" s="106" t="n">
        <v>0</v>
      </c>
      <c r="AE792" s="106" t="n">
        <v>0</v>
      </c>
      <c r="AF792" s="106" t="n"/>
      <c r="AG792" s="106" t="n">
        <v>157012.13129196</v>
      </c>
      <c r="AH792" s="106" t="n">
        <v>0</v>
      </c>
      <c r="AI792" s="106" t="n">
        <v>0</v>
      </c>
      <c r="AJ792" s="106" t="n">
        <v>0</v>
      </c>
      <c r="AK792" s="106" t="n">
        <v>0</v>
      </c>
      <c r="AL792" s="106" t="n">
        <v>0</v>
      </c>
      <c r="AM792" s="106" t="n">
        <v>611735.3489</v>
      </c>
      <c r="AN792" s="114" t="n">
        <v>71318.9439</v>
      </c>
      <c r="AO792" s="115" t="n">
        <v>138005.17808008</v>
      </c>
      <c r="AP792" s="112" t="n">
        <f aca="false" ca="false" dt2D="false" dtr="false" t="normal">+N792-'Приложение №2'!E792</f>
        <v>0</v>
      </c>
      <c r="AQ792" s="121" t="n">
        <v>966605.41</v>
      </c>
      <c r="AR792" s="3" t="n">
        <f aca="false" ca="false" dt2D="false" dtr="false" t="normal">+(K792*10.5+L792*21)*12*0.85</f>
        <v>237065.85</v>
      </c>
      <c r="AS792" s="3" t="n">
        <f aca="false" ca="false" dt2D="false" dtr="false" t="normal">+(K792*10.5+L792*21)*12*30</f>
        <v>8367030</v>
      </c>
      <c r="AT792" s="9" t="n">
        <f aca="false" ca="false" dt2D="false" dtr="false" t="normal">+S792-AS792</f>
        <v>-3201199.6900000004</v>
      </c>
      <c r="AU792" s="9" t="e">
        <f aca="false" ca="false" dt2D="false" dtr="false" t="normal">+P792-'[5]Приложение №1'!$P690</f>
        <v>#REF!</v>
      </c>
      <c r="AV792" s="9" t="e">
        <f aca="false" ca="false" dt2D="false" dtr="false" t="normal">+Q792-'[5]Приложение №1'!$Q690</f>
        <v>#REF!</v>
      </c>
      <c r="AW792" s="186" t="n">
        <f aca="false" ca="true" dt2D="false" dtr="false" t="normal">SUBTOTAL(9, AX792:BL792)</f>
        <v>6448840.0972</v>
      </c>
      <c r="AX792" s="106" t="n">
        <v>3861288.84626394</v>
      </c>
      <c r="AY792" s="106" t="n">
        <v>2292533.94156402</v>
      </c>
      <c r="AZ792" s="106" t="n">
        <v>0</v>
      </c>
      <c r="BA792" s="106" t="n">
        <v>0</v>
      </c>
      <c r="BB792" s="106" t="n">
        <v>0</v>
      </c>
      <c r="BC792" s="106" t="n"/>
      <c r="BD792" s="106" t="n">
        <v>157012.13129196</v>
      </c>
      <c r="BE792" s="106" t="n">
        <v>0</v>
      </c>
      <c r="BF792" s="106" t="n">
        <v>0</v>
      </c>
      <c r="BG792" s="106" t="n">
        <v>0</v>
      </c>
      <c r="BH792" s="106" t="n">
        <v>0</v>
      </c>
      <c r="BI792" s="106" t="n">
        <v>0</v>
      </c>
      <c r="BJ792" s="106" t="n"/>
      <c r="BK792" s="114" t="n"/>
      <c r="BL792" s="115" t="n">
        <v>138005.17808008</v>
      </c>
      <c r="BM792" s="186" t="n">
        <f aca="false" ca="true" dt2D="false" dtr="false" t="normal">SUBTOTAL(9, BN792:CB792)</f>
        <v>6448840.0972</v>
      </c>
      <c r="BN792" s="106" t="n">
        <v>3861288.84626394</v>
      </c>
      <c r="BO792" s="106" t="n">
        <v>2292533.94156402</v>
      </c>
      <c r="BP792" s="106" t="n">
        <v>0</v>
      </c>
      <c r="BQ792" s="106" t="n">
        <v>0</v>
      </c>
      <c r="BR792" s="106" t="n">
        <v>0</v>
      </c>
      <c r="BS792" s="106" t="n"/>
      <c r="BT792" s="106" t="n">
        <v>157012.13129196</v>
      </c>
      <c r="BU792" s="106" t="n">
        <v>0</v>
      </c>
      <c r="BV792" s="106" t="n">
        <v>0</v>
      </c>
      <c r="BW792" s="106" t="n">
        <v>0</v>
      </c>
      <c r="BX792" s="106" t="n">
        <v>0</v>
      </c>
      <c r="BY792" s="106" t="n">
        <v>0</v>
      </c>
      <c r="BZ792" s="106" t="n"/>
      <c r="CA792" s="114" t="n"/>
      <c r="CB792" s="115" t="n">
        <v>138005.17808008</v>
      </c>
      <c r="CD792" s="116" t="e">
        <f aca="false" ca="false" dt2D="false" dtr="false" t="normal">+CD791+1</f>
        <v>#REF!</v>
      </c>
      <c r="CE792" s="117" t="e">
        <f aca="false" ca="false" dt2D="false" dtr="false" t="normal">+CE791+1</f>
        <v>#REF!</v>
      </c>
      <c r="CF792" s="104" t="s">
        <v>735</v>
      </c>
      <c r="CG792" s="104" t="s">
        <v>736</v>
      </c>
      <c r="CH792" s="232" t="n">
        <f aca="false" ca="true" dt2D="false" dtr="false" t="normal">SUBTOTAL(9, CI792:CW792)</f>
        <v>10773856.81</v>
      </c>
      <c r="CI792" s="106" t="n">
        <v>6961345.19</v>
      </c>
      <c r="CJ792" s="114" t="n">
        <v>3674506.44</v>
      </c>
      <c r="CK792" s="114" t="n">
        <v>0</v>
      </c>
      <c r="CL792" s="114" t="n">
        <v>0</v>
      </c>
      <c r="CM792" s="114" t="n">
        <v>0</v>
      </c>
      <c r="CN792" s="114" t="n"/>
      <c r="CO792" s="106" t="n"/>
      <c r="CP792" s="114" t="n">
        <v>0</v>
      </c>
      <c r="CQ792" s="114" t="n">
        <v>0</v>
      </c>
      <c r="CR792" s="114" t="n">
        <v>0</v>
      </c>
      <c r="CS792" s="114" t="n">
        <v>0</v>
      </c>
      <c r="CT792" s="114" t="n">
        <v>0</v>
      </c>
      <c r="CU792" s="114" t="n"/>
      <c r="CV792" s="114" t="n"/>
      <c r="CW792" s="115" t="n">
        <v>138005.18</v>
      </c>
      <c r="CX792" s="3" t="n">
        <f aca="false" ca="false" dt2D="false" dtr="false" t="normal">+N792-CH792</f>
        <v>-138005.18000000156</v>
      </c>
      <c r="CZ792" s="104" t="s">
        <v>736</v>
      </c>
      <c r="DA792" s="186" t="n">
        <f aca="false" ca="true" dt2D="false" dtr="false" t="normal">SUBTOTAL(9, DB792:DP792)</f>
        <v>10635851.63</v>
      </c>
      <c r="DB792" s="106" t="n">
        <v>6961345.19</v>
      </c>
      <c r="DC792" s="114" t="n">
        <v>3674506.44</v>
      </c>
      <c r="DD792" s="114" t="n">
        <v>0</v>
      </c>
      <c r="DE792" s="114" t="n">
        <v>0</v>
      </c>
      <c r="DF792" s="114" t="n">
        <v>0</v>
      </c>
      <c r="DG792" s="114" t="n"/>
      <c r="DH792" s="106" t="n"/>
      <c r="DI792" s="114" t="n">
        <v>0</v>
      </c>
      <c r="DJ792" s="114" t="n">
        <v>0</v>
      </c>
      <c r="DK792" s="114" t="n">
        <v>0</v>
      </c>
      <c r="DL792" s="114" t="n">
        <v>0</v>
      </c>
      <c r="DM792" s="114" t="n">
        <v>0</v>
      </c>
      <c r="DN792" s="114" t="n"/>
      <c r="DO792" s="114" t="n"/>
      <c r="DP792" s="240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</row>
    <row customFormat="true" hidden="false" ht="15" outlineLevel="0" r="793" s="1">
      <c r="A793" s="183" t="n">
        <f aca="false" ca="false" dt2D="false" dtr="false" t="normal">+A792+1</f>
        <v>771</v>
      </c>
      <c r="B793" s="117" t="n">
        <f aca="false" ca="false" dt2D="false" dtr="false" t="normal">+B792+1</f>
        <v>311</v>
      </c>
      <c r="C793" s="104" t="s">
        <v>247</v>
      </c>
      <c r="D793" s="104" t="s">
        <v>248</v>
      </c>
      <c r="E793" s="105" t="n">
        <v>1985</v>
      </c>
      <c r="F793" s="105" t="n">
        <v>1985</v>
      </c>
      <c r="G793" s="105" t="s">
        <v>68</v>
      </c>
      <c r="H793" s="105" t="n">
        <v>5</v>
      </c>
      <c r="I793" s="105" t="n">
        <v>4</v>
      </c>
      <c r="J793" s="106" t="n">
        <v>4957.5</v>
      </c>
      <c r="K793" s="106" t="n">
        <v>4305.4</v>
      </c>
      <c r="L793" s="106" t="n">
        <v>651.2</v>
      </c>
      <c r="M793" s="107" t="n">
        <v>166</v>
      </c>
      <c r="N793" s="108" t="n">
        <f aca="false" ca="false" dt2D="false" dtr="false" t="normal">SUM(P793:T793)</f>
        <v>18422983.05</v>
      </c>
      <c r="O793" s="106" t="n"/>
      <c r="P793" s="114" t="n"/>
      <c r="Q793" s="114" t="n"/>
      <c r="R793" s="113" t="n">
        <v>2600649.54</v>
      </c>
      <c r="S793" s="113" t="n">
        <v>15822333.51</v>
      </c>
      <c r="T793" s="190" t="n"/>
      <c r="U793" s="106" t="n">
        <v>3984.03290454485</v>
      </c>
      <c r="V793" s="106" t="n">
        <v>3984.03290454485</v>
      </c>
      <c r="W793" s="110" t="n">
        <v>2024</v>
      </c>
      <c r="X793" s="9" t="e">
        <f aca="false" ca="false" dt2D="false" dtr="false" t="normal">+#REF!-'[9]Приложение №1'!$P1633</f>
        <v>#REF!</v>
      </c>
      <c r="Z793" s="113" t="n">
        <f aca="false" ca="false" dt2D="false" dtr="false" t="normal">SUM(AA793:AO793)</f>
        <v>19423335.669999976</v>
      </c>
      <c r="AA793" s="106" t="n">
        <v>12305784.6204766</v>
      </c>
      <c r="AB793" s="106" t="n">
        <v>4512564.08064336</v>
      </c>
      <c r="AC793" s="106" t="n">
        <v>0</v>
      </c>
      <c r="AD793" s="106" t="n">
        <v>0</v>
      </c>
      <c r="AE793" s="106" t="n">
        <v>0</v>
      </c>
      <c r="AF793" s="106" t="n"/>
      <c r="AG793" s="106" t="n">
        <v>406248.53806488</v>
      </c>
      <c r="AH793" s="106" t="n">
        <v>0</v>
      </c>
      <c r="AI793" s="106" t="n">
        <v>0</v>
      </c>
      <c r="AJ793" s="106" t="n">
        <v>0</v>
      </c>
      <c r="AK793" s="106" t="n">
        <v>0</v>
      </c>
      <c r="AL793" s="106" t="n">
        <v>0</v>
      </c>
      <c r="AM793" s="106" t="n">
        <v>1627838.0182</v>
      </c>
      <c r="AN793" s="114" t="n">
        <v>194233.3567</v>
      </c>
      <c r="AO793" s="115" t="n">
        <v>376667.05591514</v>
      </c>
      <c r="AP793" s="112" t="n">
        <f aca="false" ca="false" dt2D="false" dtr="false" t="normal">+N793-'Приложение №2'!E793</f>
        <v>0</v>
      </c>
      <c r="AQ793" s="1" t="n">
        <v>2028653.94</v>
      </c>
      <c r="AR793" s="3" t="n">
        <f aca="false" ca="false" dt2D="false" dtr="false" t="normal">+(K793*10+L793*20)*12*0.85</f>
        <v>571995.6</v>
      </c>
      <c r="AS793" s="3" t="n">
        <f aca="false" ca="false" dt2D="false" dtr="false" t="normal">+(K793*10+L793*20)*12*30</f>
        <v>20188080</v>
      </c>
      <c r="AT793" s="9" t="n">
        <f aca="false" ca="false" dt2D="false" dtr="false" t="normal">+S793-AS793</f>
        <v>-4365746.49</v>
      </c>
      <c r="AU793" s="9" t="e">
        <f aca="false" ca="false" dt2D="false" dtr="false" t="normal">+P793-'[5]Приложение №1'!$P415</f>
        <v>#REF!</v>
      </c>
      <c r="AV793" s="9" t="e">
        <f aca="false" ca="false" dt2D="false" dtr="false" t="normal">+Q793-'[5]Приложение №1'!$Q415</f>
        <v>#REF!</v>
      </c>
      <c r="AW793" s="113" t="n">
        <f aca="false" ca="true" dt2D="false" dtr="false" t="normal">SUBTOTAL(9, AX793:BL793)</f>
        <v>19747257.494667</v>
      </c>
      <c r="AX793" s="106" t="n">
        <v>13442149.36827</v>
      </c>
      <c r="AY793" s="106" t="n">
        <v>4980833.675412</v>
      </c>
      <c r="AZ793" s="106" t="n">
        <v>0</v>
      </c>
      <c r="BA793" s="106" t="n">
        <v>0</v>
      </c>
      <c r="BB793" s="106" t="n">
        <v>0</v>
      </c>
      <c r="BC793" s="106" t="n"/>
      <c r="BD793" s="106" t="n">
        <v>406248.53806488</v>
      </c>
      <c r="BE793" s="106" t="n">
        <v>0</v>
      </c>
      <c r="BF793" s="106" t="n"/>
      <c r="BG793" s="106" t="n">
        <v>0</v>
      </c>
      <c r="BH793" s="106" t="n">
        <v>0</v>
      </c>
      <c r="BI793" s="106" t="n">
        <v>0</v>
      </c>
      <c r="BJ793" s="106" t="n"/>
      <c r="BK793" s="114" t="n"/>
      <c r="BL793" s="187" t="n">
        <v>918025.91292012</v>
      </c>
      <c r="BM793" s="113" t="n">
        <f aca="false" ca="true" dt2D="false" dtr="false" t="normal">SUBTOTAL(9, BN793:CB793)</f>
        <v>19747257.494667</v>
      </c>
      <c r="BN793" s="106" t="n">
        <v>13442149.36827</v>
      </c>
      <c r="BO793" s="106" t="n">
        <v>4980833.675412</v>
      </c>
      <c r="BP793" s="106" t="n">
        <v>0</v>
      </c>
      <c r="BQ793" s="106" t="n">
        <v>0</v>
      </c>
      <c r="BR793" s="106" t="n">
        <v>0</v>
      </c>
      <c r="BS793" s="106" t="n"/>
      <c r="BT793" s="106" t="n">
        <v>406248.53806488</v>
      </c>
      <c r="BU793" s="106" t="n">
        <v>0</v>
      </c>
      <c r="BV793" s="106" t="n"/>
      <c r="BW793" s="106" t="n">
        <v>0</v>
      </c>
      <c r="BX793" s="106" t="n">
        <v>0</v>
      </c>
      <c r="BY793" s="106" t="n">
        <v>0</v>
      </c>
      <c r="BZ793" s="106" t="n"/>
      <c r="CA793" s="114" t="n"/>
      <c r="CB793" s="115" t="n">
        <v>918025.91292012</v>
      </c>
      <c r="CD793" s="116" t="e">
        <f aca="false" ca="false" dt2D="false" dtr="false" t="normal">+CD792+1</f>
        <v>#REF!</v>
      </c>
      <c r="CE793" s="117" t="e">
        <f aca="false" ca="false" dt2D="false" dtr="false" t="normal">+CE792+1</f>
        <v>#REF!</v>
      </c>
      <c r="CF793" s="104" t="s">
        <v>247</v>
      </c>
      <c r="CG793" s="117" t="s">
        <v>248</v>
      </c>
      <c r="CH793" s="108" t="n">
        <f aca="false" ca="true" dt2D="false" dtr="false" t="normal">SUBTOTAL(9, CI793:CW793)</f>
        <v>19341008.959999997</v>
      </c>
      <c r="CI793" s="106" t="n">
        <v>13442149.37</v>
      </c>
      <c r="CJ793" s="114" t="n">
        <v>4980833.68</v>
      </c>
      <c r="CK793" s="114" t="n">
        <v>0</v>
      </c>
      <c r="CL793" s="114" t="n">
        <v>0</v>
      </c>
      <c r="CM793" s="114" t="n">
        <v>0</v>
      </c>
      <c r="CN793" s="114" t="n"/>
      <c r="CO793" s="106" t="n"/>
      <c r="CP793" s="114" t="n">
        <v>0</v>
      </c>
      <c r="CQ793" s="114" t="n"/>
      <c r="CR793" s="114" t="n">
        <v>0</v>
      </c>
      <c r="CS793" s="114" t="n">
        <v>0</v>
      </c>
      <c r="CT793" s="114" t="n">
        <v>0</v>
      </c>
      <c r="CU793" s="114" t="n"/>
      <c r="CV793" s="114" t="n"/>
      <c r="CW793" s="115" t="n">
        <v>918025.91</v>
      </c>
      <c r="CX793" s="3" t="n">
        <f aca="false" ca="false" dt2D="false" dtr="false" t="normal">+N793-CH793</f>
        <v>-918025.9099999964</v>
      </c>
      <c r="CZ793" s="117" t="s">
        <v>248</v>
      </c>
      <c r="DA793" s="113" t="n">
        <f aca="false" ca="true" dt2D="false" dtr="false" t="normal">SUBTOTAL(9, DB793:DP793)</f>
        <v>18422983.049999997</v>
      </c>
      <c r="DB793" s="106" t="n">
        <v>13442149.37</v>
      </c>
      <c r="DC793" s="114" t="n">
        <v>4980833.68</v>
      </c>
      <c r="DD793" s="114" t="n">
        <v>0</v>
      </c>
      <c r="DE793" s="114" t="n">
        <v>0</v>
      </c>
      <c r="DF793" s="114" t="n">
        <v>0</v>
      </c>
      <c r="DG793" s="114" t="n"/>
      <c r="DH793" s="106" t="n"/>
      <c r="DI793" s="114" t="n">
        <v>0</v>
      </c>
      <c r="DJ793" s="114" t="n"/>
      <c r="DK793" s="114" t="n">
        <v>0</v>
      </c>
      <c r="DL793" s="114" t="n">
        <v>0</v>
      </c>
      <c r="DM793" s="114" t="n">
        <v>0</v>
      </c>
      <c r="DN793" s="114" t="n"/>
      <c r="DO793" s="114" t="n"/>
      <c r="DP793" s="240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</row>
    <row customFormat="true" hidden="false" ht="15" outlineLevel="0" r="794" s="1">
      <c r="A794" s="183" t="n">
        <f aca="false" ca="false" dt2D="false" dtr="false" t="normal">+A793+1</f>
        <v>772</v>
      </c>
      <c r="B794" s="117" t="n">
        <f aca="false" ca="false" dt2D="false" dtr="false" t="normal">+B793+1</f>
        <v>312</v>
      </c>
      <c r="C794" s="104" t="s">
        <v>247</v>
      </c>
      <c r="D794" s="104" t="s">
        <v>249</v>
      </c>
      <c r="E794" s="105" t="n">
        <v>1988</v>
      </c>
      <c r="F794" s="105" t="n">
        <v>1988</v>
      </c>
      <c r="G794" s="105" t="s">
        <v>68</v>
      </c>
      <c r="H794" s="105" t="n">
        <v>5</v>
      </c>
      <c r="I794" s="105" t="n">
        <v>4</v>
      </c>
      <c r="J794" s="106" t="n">
        <v>5038.4</v>
      </c>
      <c r="K794" s="106" t="n">
        <v>3442.8</v>
      </c>
      <c r="L794" s="106" t="n">
        <v>1586</v>
      </c>
      <c r="M794" s="107" t="n">
        <v>156</v>
      </c>
      <c r="N794" s="108" t="n">
        <f aca="false" ca="false" dt2D="false" dtr="false" t="normal">SUM(P794:T794)</f>
        <v>23530760.479999997</v>
      </c>
      <c r="O794" s="106" t="n"/>
      <c r="P794" s="114" t="n">
        <v>4419485.67</v>
      </c>
      <c r="Q794" s="114" t="n"/>
      <c r="R794" s="113" t="n">
        <v>674709.6</v>
      </c>
      <c r="S794" s="113" t="n">
        <v>15800312.99</v>
      </c>
      <c r="T794" s="113" t="n">
        <v>2636252.22</v>
      </c>
      <c r="U794" s="106" t="n">
        <v>4863.63803265193</v>
      </c>
      <c r="V794" s="106" t="n">
        <v>4863.63803265193</v>
      </c>
      <c r="W794" s="110" t="n">
        <v>2024</v>
      </c>
      <c r="X794" s="9" t="e">
        <f aca="false" ca="false" dt2D="false" dtr="false" t="normal">+#REF!-'[9]Приложение №1'!$P1466</f>
        <v>#REF!</v>
      </c>
      <c r="Z794" s="113" t="n">
        <f aca="false" ca="false" dt2D="false" dtr="false" t="normal">SUM(AA794:AO794)</f>
        <v>50851543.90999999</v>
      </c>
      <c r="AA794" s="106" t="n">
        <v>12240570.2260023</v>
      </c>
      <c r="AB794" s="106" t="n">
        <v>4488649.79151204</v>
      </c>
      <c r="AC794" s="106" t="n">
        <v>4689585.71630094</v>
      </c>
      <c r="AD794" s="106" t="n">
        <v>0</v>
      </c>
      <c r="AE794" s="106" t="n">
        <v>0</v>
      </c>
      <c r="AF794" s="106" t="n"/>
      <c r="AG794" s="106" t="n">
        <v>404095.62569796</v>
      </c>
      <c r="AH794" s="106" t="n">
        <v>0</v>
      </c>
      <c r="AI794" s="106" t="n">
        <v>23028460.3408608</v>
      </c>
      <c r="AJ794" s="106" t="n">
        <v>0</v>
      </c>
      <c r="AK794" s="106" t="n">
        <v>0</v>
      </c>
      <c r="AL794" s="106" t="n">
        <v>0</v>
      </c>
      <c r="AM794" s="106" t="n">
        <v>4510858.3295</v>
      </c>
      <c r="AN794" s="114" t="n">
        <v>508515.4391</v>
      </c>
      <c r="AO794" s="115" t="n">
        <v>980808.44102596</v>
      </c>
      <c r="AP794" s="112" t="n">
        <f aca="false" ca="false" dt2D="false" dtr="false" t="normal">+N794-'Приложение №2'!E794</f>
        <v>0</v>
      </c>
      <c r="AQ794" s="9" t="n">
        <f aca="false" ca="false" dt2D="false" dtr="false" t="normal">2748459.05-R170</f>
        <v>-128443.95999999996</v>
      </c>
      <c r="AR794" s="3" t="n">
        <f aca="false" ca="false" dt2D="false" dtr="false" t="normal">+(K794*10+L794*20)*12*0.85</f>
        <v>674709.6</v>
      </c>
      <c r="AS794" s="3" t="n">
        <f aca="false" ca="false" dt2D="false" dtr="false" t="normal">+(K794*10+L794*20)*12*30-S170</f>
        <v>17143316.612999998</v>
      </c>
      <c r="AT794" s="9" t="n">
        <f aca="false" ca="false" dt2D="false" dtr="false" t="normal">+S794-AS794</f>
        <v>-1343003.6229999978</v>
      </c>
      <c r="AU794" s="9" t="e">
        <f aca="false" ca="false" dt2D="false" dtr="false" t="normal">+P794-'[5]Приложение №1'!$P416</f>
        <v>#REF!</v>
      </c>
      <c r="AV794" s="9" t="e">
        <f aca="false" ca="false" dt2D="false" dtr="false" t="normal">+Q794-'[5]Приложение №1'!$Q416</f>
        <v>#REF!</v>
      </c>
      <c r="AW794" s="113" t="n">
        <f aca="false" ca="true" dt2D="false" dtr="false" t="normal">SUBTOTAL(9, AX794:BL794)</f>
        <v>24458262.938599996</v>
      </c>
      <c r="AX794" s="106" t="n">
        <v>13364467.924122</v>
      </c>
      <c r="AY794" s="106" t="n">
        <v>4951357.812828</v>
      </c>
      <c r="AZ794" s="106" t="n">
        <v>5214934.749066</v>
      </c>
      <c r="BA794" s="106" t="n">
        <v>0</v>
      </c>
      <c r="BB794" s="106" t="n">
        <v>0</v>
      </c>
      <c r="BC794" s="106" t="n"/>
      <c r="BD794" s="106" t="n">
        <v>404095.62569796</v>
      </c>
      <c r="BE794" s="106" t="n">
        <v>0</v>
      </c>
      <c r="BF794" s="106" t="n"/>
      <c r="BG794" s="106" t="n">
        <v>0</v>
      </c>
      <c r="BH794" s="106" t="n">
        <v>0</v>
      </c>
      <c r="BI794" s="106" t="n">
        <v>0</v>
      </c>
      <c r="BJ794" s="106" t="n"/>
      <c r="BK794" s="114" t="n"/>
      <c r="BL794" s="187" t="n">
        <v>523406.82688604</v>
      </c>
      <c r="BM794" s="113" t="n">
        <f aca="false" ca="true" dt2D="false" dtr="false" t="normal">SUBTOTAL(9, BN794:CB794)</f>
        <v>24458262.938599996</v>
      </c>
      <c r="BN794" s="106" t="n">
        <v>13364467.924122</v>
      </c>
      <c r="BO794" s="106" t="n">
        <v>4951357.812828</v>
      </c>
      <c r="BP794" s="106" t="n">
        <v>5214934.749066</v>
      </c>
      <c r="BQ794" s="106" t="n">
        <v>0</v>
      </c>
      <c r="BR794" s="106" t="n">
        <v>0</v>
      </c>
      <c r="BS794" s="106" t="n"/>
      <c r="BT794" s="106" t="n">
        <v>404095.62569796</v>
      </c>
      <c r="BU794" s="106" t="n">
        <v>0</v>
      </c>
      <c r="BV794" s="106" t="n"/>
      <c r="BW794" s="106" t="n">
        <v>0</v>
      </c>
      <c r="BX794" s="106" t="n">
        <v>0</v>
      </c>
      <c r="BY794" s="106" t="n">
        <v>0</v>
      </c>
      <c r="BZ794" s="106" t="n"/>
      <c r="CA794" s="114" t="n"/>
      <c r="CB794" s="115" t="n">
        <v>523406.82688604</v>
      </c>
      <c r="CD794" s="116" t="e">
        <f aca="false" ca="false" dt2D="false" dtr="false" t="normal">+CD793+1</f>
        <v>#REF!</v>
      </c>
      <c r="CE794" s="117" t="e">
        <f aca="false" ca="false" dt2D="false" dtr="false" t="normal">+CE793+1</f>
        <v>#REF!</v>
      </c>
      <c r="CF794" s="104" t="s">
        <v>247</v>
      </c>
      <c r="CG794" s="117" t="s">
        <v>249</v>
      </c>
      <c r="CH794" s="108" t="n">
        <f aca="false" ca="true" dt2D="false" dtr="false" t="normal">SUBTOTAL(9, CI794:CW794)</f>
        <v>23530760.48</v>
      </c>
      <c r="CI794" s="106" t="n">
        <v>13364467.92</v>
      </c>
      <c r="CJ794" s="114" t="n">
        <v>4951357.81</v>
      </c>
      <c r="CK794" s="114" t="n">
        <v>5214934.75</v>
      </c>
      <c r="CL794" s="114" t="n">
        <v>0</v>
      </c>
      <c r="CM794" s="114" t="n">
        <v>0</v>
      </c>
      <c r="CN794" s="114" t="n"/>
      <c r="CO794" s="106" t="n"/>
      <c r="CP794" s="114" t="n">
        <v>0</v>
      </c>
      <c r="CQ794" s="114" t="n"/>
      <c r="CR794" s="114" t="n">
        <v>0</v>
      </c>
      <c r="CS794" s="114" t="n">
        <v>0</v>
      </c>
      <c r="CT794" s="114" t="n">
        <v>0</v>
      </c>
      <c r="CU794" s="114" t="n"/>
      <c r="CV794" s="114" t="n"/>
      <c r="CW794" s="115" t="n"/>
      <c r="CX794" s="3" t="n">
        <f aca="false" ca="false" dt2D="false" dtr="false" t="normal">+N794-CH794</f>
        <v>0</v>
      </c>
      <c r="CZ794" s="117" t="s">
        <v>249</v>
      </c>
      <c r="DA794" s="113" t="n">
        <f aca="false" ca="true" dt2D="false" dtr="false" t="normal">SUBTOTAL(9, DB794:DP794)</f>
        <v>23530760.48</v>
      </c>
      <c r="DB794" s="106" t="n">
        <v>13364467.92</v>
      </c>
      <c r="DC794" s="114" t="n">
        <v>4951357.81</v>
      </c>
      <c r="DD794" s="114" t="n">
        <v>5214934.75</v>
      </c>
      <c r="DE794" s="114" t="n">
        <v>0</v>
      </c>
      <c r="DF794" s="114" t="n">
        <v>0</v>
      </c>
      <c r="DG794" s="114" t="n"/>
      <c r="DH794" s="106" t="n"/>
      <c r="DI794" s="114" t="n">
        <v>0</v>
      </c>
      <c r="DJ794" s="114" t="n"/>
      <c r="DK794" s="114" t="n">
        <v>0</v>
      </c>
      <c r="DL794" s="114" t="n">
        <v>0</v>
      </c>
      <c r="DM794" s="114" t="n">
        <v>0</v>
      </c>
      <c r="DN794" s="114" t="n"/>
      <c r="DO794" s="114" t="n"/>
      <c r="DP794" s="240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</row>
    <row customFormat="true" hidden="false" ht="15" outlineLevel="0" r="795" s="1">
      <c r="A795" s="183" t="n">
        <f aca="false" ca="false" dt2D="false" dtr="false" t="normal">+A794+1</f>
        <v>773</v>
      </c>
      <c r="B795" s="117" t="n">
        <f aca="false" ca="false" dt2D="false" dtr="false" t="normal">+B794+1</f>
        <v>313</v>
      </c>
      <c r="C795" s="117" t="s">
        <v>247</v>
      </c>
      <c r="D795" s="117" t="s">
        <v>737</v>
      </c>
      <c r="E795" s="201" t="n">
        <v>1985</v>
      </c>
      <c r="F795" s="201" t="n">
        <v>1985</v>
      </c>
      <c r="G795" s="201" t="s">
        <v>68</v>
      </c>
      <c r="H795" s="201" t="n">
        <v>5</v>
      </c>
      <c r="I795" s="201" t="n">
        <v>1</v>
      </c>
      <c r="J795" s="114" t="n">
        <v>3093.6</v>
      </c>
      <c r="K795" s="114" t="n">
        <v>1867</v>
      </c>
      <c r="L795" s="114" t="n">
        <v>323</v>
      </c>
      <c r="M795" s="202" t="n">
        <v>98</v>
      </c>
      <c r="N795" s="108" t="n">
        <f aca="false" ca="false" dt2D="false" dtr="false" t="normal">SUM(P795:T795)</f>
        <v>22394656.68</v>
      </c>
      <c r="O795" s="114" t="n"/>
      <c r="P795" s="113" t="n">
        <v>3712071.13</v>
      </c>
      <c r="Q795" s="114" t="n">
        <v>0</v>
      </c>
      <c r="R795" s="113" t="n">
        <v>269142.3</v>
      </c>
      <c r="S795" s="113" t="n">
        <v>9430624.9</v>
      </c>
      <c r="T795" s="113" t="n">
        <v>8982818.35</v>
      </c>
      <c r="U795" s="114" t="n">
        <v>11430.4973054944</v>
      </c>
      <c r="V795" s="114" t="n">
        <v>1411.283020064</v>
      </c>
      <c r="W795" s="110" t="n">
        <v>2024</v>
      </c>
      <c r="X795" s="9" t="e">
        <f aca="false" ca="false" dt2D="false" dtr="false" t="normal">+#REF!-'[9]Приложение №1'!$P1554</f>
        <v>#REF!</v>
      </c>
      <c r="Z795" s="113" t="n">
        <f aca="false" ca="false" dt2D="false" dtr="false" t="normal">SUM(AA795:AO795)</f>
        <v>25777981.72</v>
      </c>
      <c r="AA795" s="106" t="n">
        <v>6939898.47864222</v>
      </c>
      <c r="AB795" s="106" t="n">
        <v>2544879.30231024</v>
      </c>
      <c r="AC795" s="106" t="n">
        <v>0</v>
      </c>
      <c r="AD795" s="106" t="n">
        <v>0</v>
      </c>
      <c r="AE795" s="106" t="n">
        <v>0</v>
      </c>
      <c r="AF795" s="106" t="n"/>
      <c r="AG795" s="106" t="n">
        <v>229105.555518</v>
      </c>
      <c r="AH795" s="106" t="n">
        <v>0</v>
      </c>
      <c r="AI795" s="106" t="n">
        <v>13056187.2491106</v>
      </c>
      <c r="AJ795" s="106" t="n">
        <v>0</v>
      </c>
      <c r="AK795" s="106" t="n">
        <v>0</v>
      </c>
      <c r="AL795" s="106" t="n">
        <v>0</v>
      </c>
      <c r="AM795" s="106" t="n">
        <v>2252195.9907</v>
      </c>
      <c r="AN795" s="114" t="n">
        <v>257779.8172</v>
      </c>
      <c r="AO795" s="115" t="n">
        <v>497935.32651894</v>
      </c>
      <c r="AP795" s="112" t="n">
        <f aca="false" ca="false" dt2D="false" dtr="false" t="normal">+N795-'Приложение №2'!E795</f>
        <v>0</v>
      </c>
      <c r="AQ795" s="9" t="n">
        <f aca="false" ca="false" dt2D="false" dtr="false" t="normal">1232836.21</f>
        <v>1232836.21</v>
      </c>
      <c r="AR795" s="3" t="n">
        <f aca="false" ca="false" dt2D="false" dtr="false" t="normal">+(K795*10.5+L795*21)*12*0.85</f>
        <v>269142.3</v>
      </c>
      <c r="AS795" s="3" t="n">
        <f aca="false" ca="false" dt2D="false" dtr="false" t="normal">+(K795*10.5+L795*21)*12*30</f>
        <v>9499140</v>
      </c>
      <c r="AT795" s="9" t="n">
        <f aca="false" ca="false" dt2D="false" dtr="false" t="normal">+S795-AS795</f>
        <v>-68515.09999999963</v>
      </c>
      <c r="AU795" s="9" t="e">
        <f aca="false" ca="false" dt2D="false" dtr="false" t="normal">+P795-'[5]Приложение №1'!$P691</f>
        <v>#REF!</v>
      </c>
      <c r="AV795" s="9" t="e">
        <f aca="false" ca="false" dt2D="false" dtr="false" t="normal">+Q795-'[5]Приложение №1'!$Q691</f>
        <v>#REF!</v>
      </c>
      <c r="AW795" s="186" t="n">
        <f aca="false" ca="true" dt2D="false" dtr="false" t="normal">SUBTOTAL(9, AX795:BL795)</f>
        <v>21340738.469358</v>
      </c>
      <c r="AX795" s="106" t="n">
        <v>6939898.47864222</v>
      </c>
      <c r="AY795" s="106" t="n"/>
      <c r="AZ795" s="106" t="n">
        <v>0</v>
      </c>
      <c r="BA795" s="106" t="n">
        <v>0</v>
      </c>
      <c r="BB795" s="106" t="n">
        <v>0</v>
      </c>
      <c r="BC795" s="106" t="n"/>
      <c r="BD795" s="106" t="n">
        <v>229105.555518</v>
      </c>
      <c r="BE795" s="106" t="n">
        <v>0</v>
      </c>
      <c r="BF795" s="106" t="n">
        <v>14014962.836658</v>
      </c>
      <c r="BG795" s="106" t="n">
        <v>0</v>
      </c>
      <c r="BH795" s="106" t="n">
        <v>0</v>
      </c>
      <c r="BI795" s="106" t="n">
        <v>0</v>
      </c>
      <c r="BJ795" s="106" t="n"/>
      <c r="BK795" s="114" t="n"/>
      <c r="BL795" s="115" t="n">
        <v>156771.59853978</v>
      </c>
      <c r="BM795" s="186" t="n">
        <f aca="false" ca="true" dt2D="false" dtr="false" t="normal">SUBTOTAL(9, BN795:CB795)</f>
        <v>21340738.469358</v>
      </c>
      <c r="BN795" s="106" t="n">
        <v>6939898.47864222</v>
      </c>
      <c r="BO795" s="106" t="n"/>
      <c r="BP795" s="106" t="n">
        <v>0</v>
      </c>
      <c r="BQ795" s="106" t="n">
        <v>0</v>
      </c>
      <c r="BR795" s="106" t="n">
        <v>0</v>
      </c>
      <c r="BS795" s="106" t="n"/>
      <c r="BT795" s="106" t="n">
        <v>229105.555518</v>
      </c>
      <c r="BU795" s="106" t="n">
        <v>0</v>
      </c>
      <c r="BV795" s="106" t="n">
        <v>14014962.836658</v>
      </c>
      <c r="BW795" s="106" t="n">
        <v>0</v>
      </c>
      <c r="BX795" s="106" t="n">
        <v>0</v>
      </c>
      <c r="BY795" s="106" t="n">
        <v>0</v>
      </c>
      <c r="BZ795" s="106" t="n"/>
      <c r="CA795" s="114" t="n"/>
      <c r="CB795" s="115" t="n">
        <v>156771.59853978</v>
      </c>
      <c r="CD795" s="116" t="e">
        <f aca="false" ca="false" dt2D="false" dtr="false" t="normal">+CD794+1</f>
        <v>#REF!</v>
      </c>
      <c r="CE795" s="117" t="e">
        <f aca="false" ca="false" dt2D="false" dtr="false" t="normal">+CE794+1</f>
        <v>#REF!</v>
      </c>
      <c r="CF795" s="104" t="s">
        <v>247</v>
      </c>
      <c r="CG795" s="104" t="s">
        <v>737</v>
      </c>
      <c r="CH795" s="232" t="n">
        <f aca="false" ca="true" dt2D="false" dtr="false" t="normal">SUBTOTAL(9, CI795:CW795)</f>
        <v>22551428.28</v>
      </c>
      <c r="CI795" s="106" t="n">
        <v>8438905.98</v>
      </c>
      <c r="CJ795" s="114" t="n"/>
      <c r="CK795" s="114" t="n">
        <v>0</v>
      </c>
      <c r="CL795" s="114" t="n">
        <v>0</v>
      </c>
      <c r="CM795" s="114" t="n">
        <v>0</v>
      </c>
      <c r="CN795" s="114" t="n"/>
      <c r="CO795" s="106" t="n"/>
      <c r="CP795" s="114" t="n">
        <v>0</v>
      </c>
      <c r="CQ795" s="114" t="n">
        <v>13955750.7</v>
      </c>
      <c r="CR795" s="114" t="n">
        <v>0</v>
      </c>
      <c r="CS795" s="114" t="n">
        <v>0</v>
      </c>
      <c r="CT795" s="114" t="n">
        <v>0</v>
      </c>
      <c r="CU795" s="114" t="n"/>
      <c r="CV795" s="114" t="n"/>
      <c r="CW795" s="115" t="n">
        <v>156771.6</v>
      </c>
      <c r="CX795" s="3" t="n">
        <f aca="false" ca="false" dt2D="false" dtr="false" t="normal">+N795-CH795</f>
        <v>-156771.6000000015</v>
      </c>
      <c r="CZ795" s="104" t="s">
        <v>737</v>
      </c>
      <c r="DA795" s="186" t="n">
        <f aca="false" ca="true" dt2D="false" dtr="false" t="normal">SUBTOTAL(9, DB795:DP795)</f>
        <v>22394656.68</v>
      </c>
      <c r="DB795" s="106" t="n">
        <v>8438905.98</v>
      </c>
      <c r="DC795" s="114" t="n"/>
      <c r="DD795" s="114" t="n">
        <v>0</v>
      </c>
      <c r="DE795" s="114" t="n">
        <v>0</v>
      </c>
      <c r="DF795" s="114" t="n">
        <v>0</v>
      </c>
      <c r="DG795" s="114" t="n"/>
      <c r="DH795" s="106" t="n"/>
      <c r="DI795" s="114" t="n">
        <v>0</v>
      </c>
      <c r="DJ795" s="114" t="n">
        <v>13955750.7</v>
      </c>
      <c r="DK795" s="114" t="n">
        <v>0</v>
      </c>
      <c r="DL795" s="114" t="n">
        <v>0</v>
      </c>
      <c r="DM795" s="114" t="n">
        <v>0</v>
      </c>
      <c r="DN795" s="114" t="n"/>
      <c r="DO795" s="114" t="n"/>
      <c r="DP795" s="240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</row>
    <row customFormat="true" hidden="false" ht="15" outlineLevel="0" r="796" s="1">
      <c r="A796" s="183" t="n">
        <f aca="false" ca="false" dt2D="false" dtr="false" t="normal">+A795+1</f>
        <v>774</v>
      </c>
      <c r="B796" s="117" t="n">
        <f aca="false" ca="false" dt2D="false" dtr="false" t="normal">+B795+1</f>
        <v>314</v>
      </c>
      <c r="C796" s="117" t="s">
        <v>247</v>
      </c>
      <c r="D796" s="117" t="s">
        <v>738</v>
      </c>
      <c r="E796" s="201" t="n">
        <v>1985</v>
      </c>
      <c r="F796" s="201" t="n">
        <v>1985</v>
      </c>
      <c r="G796" s="201" t="s">
        <v>68</v>
      </c>
      <c r="H796" s="201" t="n">
        <v>5</v>
      </c>
      <c r="I796" s="201" t="n">
        <v>1</v>
      </c>
      <c r="J796" s="114" t="n">
        <v>3037</v>
      </c>
      <c r="K796" s="114" t="n">
        <v>2290.7</v>
      </c>
      <c r="L796" s="114" t="n">
        <v>275.7</v>
      </c>
      <c r="M796" s="202" t="n">
        <v>125</v>
      </c>
      <c r="N796" s="108" t="n">
        <f aca="false" ca="false" dt2D="false" dtr="false" t="normal">SUM(P796:T796)</f>
        <v>8303475.83</v>
      </c>
      <c r="O796" s="114" t="n"/>
      <c r="P796" s="113" t="n">
        <v>964137.62</v>
      </c>
      <c r="Q796" s="114" t="n"/>
      <c r="R796" s="113" t="n">
        <v>826403.67</v>
      </c>
      <c r="S796" s="113" t="n">
        <v>4751821.11</v>
      </c>
      <c r="T796" s="113" t="n">
        <v>1761113.43</v>
      </c>
      <c r="U796" s="114" t="n">
        <v>3173.53484982756</v>
      </c>
      <c r="V796" s="114" t="n">
        <v>1412.283020064</v>
      </c>
      <c r="W796" s="110" t="n">
        <v>2024</v>
      </c>
      <c r="X796" s="9" t="e">
        <f aca="false" ca="false" dt2D="false" dtr="false" t="normal">+#REF!-'[9]Приложение №1'!$P1228</f>
        <v>#REF!</v>
      </c>
      <c r="Z796" s="113" t="n">
        <f aca="false" ca="false" dt2D="false" dtr="false" t="normal">SUM(AA796:AO796)</f>
        <v>25580367.880000003</v>
      </c>
      <c r="AA796" s="106" t="n">
        <v>6886697.26209738</v>
      </c>
      <c r="AB796" s="106" t="n">
        <v>2525370.28109184</v>
      </c>
      <c r="AC796" s="106" t="n">
        <v>0</v>
      </c>
      <c r="AD796" s="106" t="n">
        <v>0</v>
      </c>
      <c r="AE796" s="106" t="n">
        <v>0</v>
      </c>
      <c r="AF796" s="106" t="n"/>
      <c r="AG796" s="106" t="n">
        <v>227349.22999992</v>
      </c>
      <c r="AH796" s="106" t="n">
        <v>0</v>
      </c>
      <c r="AI796" s="106" t="n">
        <v>12956098.599171</v>
      </c>
      <c r="AJ796" s="106" t="n">
        <v>0</v>
      </c>
      <c r="AK796" s="106" t="n">
        <v>0</v>
      </c>
      <c r="AL796" s="106" t="n">
        <v>0</v>
      </c>
      <c r="AM796" s="106" t="n">
        <v>2234930.6713</v>
      </c>
      <c r="AN796" s="114" t="n">
        <v>255803.6788</v>
      </c>
      <c r="AO796" s="115" t="n">
        <v>494118.15753986</v>
      </c>
      <c r="AP796" s="112" t="n">
        <f aca="false" ca="false" dt2D="false" dtr="false" t="normal">+N796-'Приложение №2'!E796</f>
        <v>0</v>
      </c>
      <c r="AQ796" s="1" t="n">
        <f aca="false" ca="false" dt2D="false" dtr="false" t="normal">1361227.32-786792.68</f>
        <v>574434.64</v>
      </c>
      <c r="AR796" s="3" t="n">
        <f aca="false" ca="false" dt2D="false" dtr="false" t="normal">+(K796*10.5+L796*21)*12*0.85</f>
        <v>304388.91</v>
      </c>
      <c r="AS796" s="3" t="n">
        <f aca="false" ca="false" dt2D="false" dtr="false" t="normal">+(K796*10.5+L796*21)*12*30-5694070.75</f>
        <v>5049067.25</v>
      </c>
      <c r="AT796" s="9" t="n">
        <f aca="false" ca="false" dt2D="false" dtr="false" t="normal">+S796-AS796</f>
        <v>-297246.13999999966</v>
      </c>
      <c r="AU796" s="9" t="e">
        <f aca="false" ca="false" dt2D="false" dtr="false" t="normal">+P796-'[5]Приложение №1'!$P692</f>
        <v>#REF!</v>
      </c>
      <c r="AV796" s="9" t="e">
        <f aca="false" ca="false" dt2D="false" dtr="false" t="normal">+Q796-'[5]Приложение №1'!$Q692</f>
        <v>#REF!</v>
      </c>
      <c r="AW796" s="186" t="n">
        <f aca="false" ca="true" dt2D="false" dtr="false" t="normal">SUBTOTAL(9, AX796:BL796)</f>
        <v>7269616.2805</v>
      </c>
      <c r="AX796" s="106" t="n">
        <v>6886697.26209738</v>
      </c>
      <c r="AY796" s="106" t="n"/>
      <c r="AZ796" s="106" t="n">
        <v>0</v>
      </c>
      <c r="BA796" s="106" t="n">
        <v>0</v>
      </c>
      <c r="BB796" s="106" t="n">
        <v>0</v>
      </c>
      <c r="BC796" s="106" t="n"/>
      <c r="BD796" s="106" t="n">
        <v>227349.22999992</v>
      </c>
      <c r="BE796" s="106" t="n">
        <v>0</v>
      </c>
      <c r="BF796" s="106" t="n"/>
      <c r="BG796" s="106" t="n">
        <v>0</v>
      </c>
      <c r="BH796" s="106" t="n">
        <v>0</v>
      </c>
      <c r="BI796" s="106" t="n">
        <v>0</v>
      </c>
      <c r="BJ796" s="106" t="n"/>
      <c r="BK796" s="114" t="n"/>
      <c r="BL796" s="115" t="n">
        <v>155569.7884027</v>
      </c>
      <c r="BM796" s="186" t="n">
        <f aca="false" ca="true" dt2D="false" dtr="false" t="normal">SUBTOTAL(9, BN796:CB796)</f>
        <v>7269616.2805</v>
      </c>
      <c r="BN796" s="106" t="n">
        <v>6886697.26209738</v>
      </c>
      <c r="BO796" s="106" t="n"/>
      <c r="BP796" s="106" t="n">
        <v>0</v>
      </c>
      <c r="BQ796" s="106" t="n">
        <v>0</v>
      </c>
      <c r="BR796" s="106" t="n">
        <v>0</v>
      </c>
      <c r="BS796" s="106" t="n"/>
      <c r="BT796" s="106" t="n">
        <v>227349.22999992</v>
      </c>
      <c r="BU796" s="106" t="n">
        <v>0</v>
      </c>
      <c r="BV796" s="106" t="n"/>
      <c r="BW796" s="106" t="n">
        <v>0</v>
      </c>
      <c r="BX796" s="106" t="n">
        <v>0</v>
      </c>
      <c r="BY796" s="106" t="n">
        <v>0</v>
      </c>
      <c r="BZ796" s="106" t="n"/>
      <c r="CA796" s="114" t="n"/>
      <c r="CB796" s="115" t="n">
        <v>155569.7884027</v>
      </c>
      <c r="CD796" s="116" t="e">
        <f aca="false" ca="false" dt2D="false" dtr="false" t="normal">+CD795+1</f>
        <v>#REF!</v>
      </c>
      <c r="CE796" s="117" t="e">
        <f aca="false" ca="false" dt2D="false" dtr="false" t="normal">+CE795+1</f>
        <v>#REF!</v>
      </c>
      <c r="CF796" s="104" t="s">
        <v>247</v>
      </c>
      <c r="CG796" s="104" t="s">
        <v>738</v>
      </c>
      <c r="CH796" s="232" t="n">
        <f aca="false" ca="true" dt2D="false" dtr="false" t="normal">SUBTOTAL(9, CI796:CW796)</f>
        <v>8459045.62</v>
      </c>
      <c r="CI796" s="106" t="n">
        <v>8303475.83</v>
      </c>
      <c r="CJ796" s="114" t="n"/>
      <c r="CK796" s="114" t="n">
        <v>0</v>
      </c>
      <c r="CL796" s="114" t="n">
        <v>0</v>
      </c>
      <c r="CM796" s="114" t="n">
        <v>0</v>
      </c>
      <c r="CN796" s="114" t="n"/>
      <c r="CO796" s="106" t="n"/>
      <c r="CP796" s="114" t="n">
        <v>0</v>
      </c>
      <c r="CQ796" s="114" t="n"/>
      <c r="CR796" s="114" t="n">
        <v>0</v>
      </c>
      <c r="CS796" s="114" t="n">
        <v>0</v>
      </c>
      <c r="CT796" s="114" t="n">
        <v>0</v>
      </c>
      <c r="CU796" s="114" t="n"/>
      <c r="CV796" s="114" t="n"/>
      <c r="CW796" s="115" t="n">
        <v>155569.79</v>
      </c>
      <c r="CX796" s="3" t="n">
        <f aca="false" ca="false" dt2D="false" dtr="false" t="normal">+N796-CH796</f>
        <v>-155569.7899999991</v>
      </c>
      <c r="CZ796" s="104" t="s">
        <v>738</v>
      </c>
      <c r="DA796" s="186" t="n">
        <f aca="false" ca="true" dt2D="false" dtr="false" t="normal">SUBTOTAL(9, DB796:DP796)</f>
        <v>8303475.83</v>
      </c>
      <c r="DB796" s="106" t="n">
        <v>8303475.83</v>
      </c>
      <c r="DC796" s="114" t="n"/>
      <c r="DD796" s="114" t="n">
        <v>0</v>
      </c>
      <c r="DE796" s="114" t="n">
        <v>0</v>
      </c>
      <c r="DF796" s="114" t="n">
        <v>0</v>
      </c>
      <c r="DG796" s="114" t="n"/>
      <c r="DH796" s="106" t="n"/>
      <c r="DI796" s="114" t="n">
        <v>0</v>
      </c>
      <c r="DJ796" s="114" t="n"/>
      <c r="DK796" s="114" t="n">
        <v>0</v>
      </c>
      <c r="DL796" s="114" t="n">
        <v>0</v>
      </c>
      <c r="DM796" s="114" t="n">
        <v>0</v>
      </c>
      <c r="DN796" s="114" t="n"/>
      <c r="DO796" s="114" t="n"/>
      <c r="DP796" s="240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</row>
    <row customFormat="true" hidden="false" ht="15" outlineLevel="0" r="797" s="1">
      <c r="A797" s="183" t="n">
        <f aca="false" ca="false" dt2D="false" dtr="false" t="normal">+A796+1</f>
        <v>775</v>
      </c>
      <c r="B797" s="117" t="n">
        <f aca="false" ca="false" dt2D="false" dtr="false" t="normal">+B796+1</f>
        <v>315</v>
      </c>
      <c r="C797" s="104" t="s">
        <v>247</v>
      </c>
      <c r="D797" s="104" t="s">
        <v>739</v>
      </c>
      <c r="E797" s="105" t="n">
        <v>1987</v>
      </c>
      <c r="F797" s="105" t="n">
        <v>1987</v>
      </c>
      <c r="G797" s="105" t="s">
        <v>68</v>
      </c>
      <c r="H797" s="105" t="n">
        <v>5</v>
      </c>
      <c r="I797" s="105" t="n">
        <v>1</v>
      </c>
      <c r="J797" s="106" t="n">
        <v>2928.7</v>
      </c>
      <c r="K797" s="106" t="n">
        <v>2372.1</v>
      </c>
      <c r="L797" s="106" t="n">
        <v>221.2</v>
      </c>
      <c r="M797" s="107" t="n">
        <v>125</v>
      </c>
      <c r="N797" s="108" t="n">
        <f aca="false" ca="false" dt2D="false" dtr="false" t="normal">SUM(P797:T797)</f>
        <v>16393545.6</v>
      </c>
      <c r="O797" s="106" t="n"/>
      <c r="P797" s="113" t="n">
        <v>1255852.18</v>
      </c>
      <c r="Q797" s="114" t="n"/>
      <c r="R797" s="113" t="n">
        <v>287079</v>
      </c>
      <c r="S797" s="113" t="n">
        <v>10193261.92</v>
      </c>
      <c r="T797" s="113" t="n">
        <v>4657352.5</v>
      </c>
      <c r="U797" s="106" t="n">
        <v>4072.62780596152</v>
      </c>
      <c r="V797" s="106" t="n">
        <v>4072.62780596152</v>
      </c>
      <c r="W797" s="110" t="n">
        <v>2024</v>
      </c>
      <c r="X797" s="9" t="e">
        <f aca="false" ca="false" dt2D="false" dtr="false" t="normal">+#REF!-'[9]Приложение №1'!$P1479</f>
        <v>#REF!</v>
      </c>
      <c r="Z797" s="113" t="n">
        <f aca="false" ca="false" dt2D="false" dtr="false" t="normal">SUM(AA797:AO797)</f>
        <v>25208513.879999995</v>
      </c>
      <c r="AA797" s="106" t="n">
        <v>6786587.44601838</v>
      </c>
      <c r="AB797" s="106" t="n">
        <v>2488659.74418264</v>
      </c>
      <c r="AC797" s="106" t="n">
        <v>0</v>
      </c>
      <c r="AD797" s="106" t="n">
        <v>0</v>
      </c>
      <c r="AE797" s="106" t="n">
        <v>0</v>
      </c>
      <c r="AF797" s="106" t="n"/>
      <c r="AG797" s="106" t="n">
        <v>224044.32360912</v>
      </c>
      <c r="AH797" s="106" t="n">
        <v>0</v>
      </c>
      <c r="AI797" s="106" t="n">
        <v>12767759.748387</v>
      </c>
      <c r="AJ797" s="106" t="n">
        <v>0</v>
      </c>
      <c r="AK797" s="106" t="n">
        <v>0</v>
      </c>
      <c r="AL797" s="106" t="n">
        <v>0</v>
      </c>
      <c r="AM797" s="106" t="n">
        <v>2202442.1663</v>
      </c>
      <c r="AN797" s="114" t="n">
        <v>252085.1388</v>
      </c>
      <c r="AO797" s="115" t="n">
        <v>486935.31270286</v>
      </c>
      <c r="AP797" s="112" t="e">
        <f aca="false" ca="false" dt2D="false" dtr="false" t="normal">+N797-#REF!</f>
        <v>#REF!</v>
      </c>
      <c r="AQ797" s="9" t="n">
        <f aca="false" ca="false" dt2D="false" dtr="false" t="normal">1039812.33</f>
        <v>1039812.33</v>
      </c>
      <c r="AR797" s="3" t="n">
        <f aca="false" ca="false" dt2D="false" dtr="false" t="normal">+(K797*10+L797*20)*12*0.85</f>
        <v>287079</v>
      </c>
      <c r="AS797" s="3" t="n">
        <f aca="false" ca="false" dt2D="false" dtr="false" t="normal">+(K797*10+L797*20)*12*30</f>
        <v>10132200</v>
      </c>
      <c r="AT797" s="9" t="n">
        <f aca="false" ca="false" dt2D="false" dtr="false" t="normal">+S797-AS797</f>
        <v>61061.919999999925</v>
      </c>
      <c r="AU797" s="9" t="e">
        <f aca="false" ca="false" dt2D="false" dtr="false" t="normal">+P797-'[5]Приложение №1'!$P418</f>
        <v>#REF!</v>
      </c>
      <c r="AV797" s="9" t="e">
        <f aca="false" ca="false" dt2D="false" dtr="false" t="normal">+Q797-'[5]Приложение №1'!$Q418</f>
        <v>#REF!</v>
      </c>
      <c r="AW797" s="113" t="n">
        <f aca="false" ca="true" dt2D="false" dtr="false" t="normal">SUBTOTAL(9, AX797:BL797)</f>
        <v>10561545.689199999</v>
      </c>
      <c r="AX797" s="106" t="n">
        <v>7387365.743142</v>
      </c>
      <c r="AY797" s="106" t="n">
        <v>2724118.5447</v>
      </c>
      <c r="AZ797" s="106" t="n">
        <v>0</v>
      </c>
      <c r="BA797" s="106" t="n">
        <v>0</v>
      </c>
      <c r="BB797" s="106" t="n">
        <v>0</v>
      </c>
      <c r="BC797" s="106" t="n"/>
      <c r="BD797" s="106" t="n">
        <v>224044.32360912</v>
      </c>
      <c r="BE797" s="106" t="n">
        <v>0</v>
      </c>
      <c r="BF797" s="106" t="n"/>
      <c r="BG797" s="106" t="n">
        <v>0</v>
      </c>
      <c r="BH797" s="106" t="n">
        <v>0</v>
      </c>
      <c r="BI797" s="106" t="n">
        <v>0</v>
      </c>
      <c r="BJ797" s="106" t="n"/>
      <c r="BK797" s="114" t="n"/>
      <c r="BL797" s="187" t="n">
        <v>226017.07774888</v>
      </c>
      <c r="BM797" s="113" t="n">
        <f aca="false" ca="true" dt2D="false" dtr="false" t="normal">SUBTOTAL(9, BN797:CB797)</f>
        <v>10561545.689199999</v>
      </c>
      <c r="BN797" s="106" t="n">
        <v>7387365.743142</v>
      </c>
      <c r="BO797" s="106" t="n">
        <v>2724118.5447</v>
      </c>
      <c r="BP797" s="106" t="n">
        <v>0</v>
      </c>
      <c r="BQ797" s="106" t="n">
        <v>0</v>
      </c>
      <c r="BR797" s="106" t="n">
        <v>0</v>
      </c>
      <c r="BS797" s="106" t="n"/>
      <c r="BT797" s="106" t="n">
        <v>224044.32360912</v>
      </c>
      <c r="BU797" s="106" t="n">
        <v>0</v>
      </c>
      <c r="BV797" s="106" t="n"/>
      <c r="BW797" s="106" t="n">
        <v>0</v>
      </c>
      <c r="BX797" s="106" t="n">
        <v>0</v>
      </c>
      <c r="BY797" s="106" t="n">
        <v>0</v>
      </c>
      <c r="BZ797" s="106" t="n"/>
      <c r="CA797" s="114" t="n"/>
      <c r="CB797" s="115" t="n">
        <v>226017.07774888</v>
      </c>
      <c r="CD797" s="116" t="e">
        <f aca="false" ca="false" dt2D="false" dtr="false" t="normal">+CD796+1</f>
        <v>#REF!</v>
      </c>
      <c r="CE797" s="117" t="e">
        <f aca="false" ca="false" dt2D="false" dtr="false" t="normal">+CE796+1</f>
        <v>#REF!</v>
      </c>
      <c r="CF797" s="104" t="s">
        <v>247</v>
      </c>
      <c r="CG797" s="117" t="s">
        <v>739</v>
      </c>
      <c r="CH797" s="108" t="n">
        <f aca="false" ca="true" dt2D="false" dtr="false" t="normal">SUBTOTAL(9, CI797:CW797)</f>
        <v>16619562.680000002</v>
      </c>
      <c r="CI797" s="106" t="n">
        <v>7387365.74</v>
      </c>
      <c r="CJ797" s="114" t="n">
        <v>2724118.54</v>
      </c>
      <c r="CK797" s="114" t="n"/>
      <c r="CL797" s="114" t="n"/>
      <c r="CM797" s="114" t="n"/>
      <c r="CN797" s="114" t="n"/>
      <c r="CO797" s="106" t="n"/>
      <c r="CP797" s="114" t="n">
        <v>0</v>
      </c>
      <c r="CQ797" s="114" t="n">
        <v>6282061.32</v>
      </c>
      <c r="CR797" s="114" t="n">
        <v>0</v>
      </c>
      <c r="CS797" s="114" t="n">
        <v>0</v>
      </c>
      <c r="CT797" s="114" t="n">
        <v>0</v>
      </c>
      <c r="CU797" s="114" t="n"/>
      <c r="CV797" s="114" t="n"/>
      <c r="CW797" s="115" t="n">
        <v>226017.08</v>
      </c>
      <c r="CX797" s="3" t="n">
        <f aca="false" ca="false" dt2D="false" dtr="false" t="normal">+N797-CH797</f>
        <v>-226017.08000000194</v>
      </c>
      <c r="CZ797" s="117" t="s">
        <v>739</v>
      </c>
      <c r="DA797" s="113" t="n">
        <f aca="false" ca="true" dt2D="false" dtr="false" t="normal">SUBTOTAL(9, DB797:DP797)</f>
        <v>16393545.600000001</v>
      </c>
      <c r="DB797" s="106" t="n">
        <v>7387365.74</v>
      </c>
      <c r="DC797" s="114" t="n">
        <v>2724118.54</v>
      </c>
      <c r="DD797" s="114" t="n"/>
      <c r="DE797" s="114" t="n"/>
      <c r="DF797" s="114" t="n"/>
      <c r="DG797" s="114" t="n"/>
      <c r="DH797" s="106" t="n"/>
      <c r="DI797" s="114" t="n">
        <v>0</v>
      </c>
      <c r="DJ797" s="114" t="n">
        <v>6282061.32</v>
      </c>
      <c r="DK797" s="114" t="n">
        <v>0</v>
      </c>
      <c r="DL797" s="114" t="n">
        <v>0</v>
      </c>
      <c r="DM797" s="114" t="n">
        <v>0</v>
      </c>
      <c r="DN797" s="114" t="n"/>
      <c r="DO797" s="114" t="n"/>
      <c r="DP797" s="240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</row>
    <row customFormat="true" hidden="false" ht="15" outlineLevel="0" r="798" s="1">
      <c r="A798" s="183" t="n">
        <f aca="false" ca="false" dt2D="false" dtr="false" t="normal">+A797+1</f>
        <v>776</v>
      </c>
      <c r="B798" s="117" t="n">
        <f aca="false" ca="false" dt2D="false" dtr="false" t="normal">+B797+1</f>
        <v>316</v>
      </c>
      <c r="C798" s="117" t="s">
        <v>740</v>
      </c>
      <c r="D798" s="117" t="s">
        <v>741</v>
      </c>
      <c r="E798" s="201" t="s">
        <v>436</v>
      </c>
      <c r="F798" s="201" t="n">
        <v>1987</v>
      </c>
      <c r="G798" s="201" t="s">
        <v>68</v>
      </c>
      <c r="H798" s="201" t="n">
        <v>5</v>
      </c>
      <c r="I798" s="201" t="n">
        <v>5</v>
      </c>
      <c r="J798" s="114" t="n">
        <v>5624.44</v>
      </c>
      <c r="K798" s="114" t="n">
        <v>5146.5</v>
      </c>
      <c r="L798" s="114" t="n">
        <v>235.4</v>
      </c>
      <c r="M798" s="202" t="n">
        <v>197</v>
      </c>
      <c r="N798" s="108" t="n">
        <f aca="false" ca="false" dt2D="false" dtr="false" t="normal">SUM(P798:T798)</f>
        <v>15612840.12</v>
      </c>
      <c r="O798" s="114" t="n"/>
      <c r="P798" s="114" t="n"/>
      <c r="Q798" s="114" t="n"/>
      <c r="R798" s="113" t="n">
        <v>727100.68</v>
      </c>
      <c r="S798" s="113" t="n">
        <v>14885739.44</v>
      </c>
      <c r="T798" s="113" t="n"/>
      <c r="U798" s="114" t="n">
        <v>7266.07898975052</v>
      </c>
      <c r="V798" s="114" t="n">
        <v>7266.07898975052</v>
      </c>
      <c r="W798" s="110" t="n">
        <v>2024</v>
      </c>
      <c r="X798" s="9" t="n"/>
      <c r="Z798" s="113" t="n"/>
      <c r="AA798" s="106" t="n"/>
      <c r="AB798" s="106" t="n"/>
      <c r="AC798" s="106" t="n"/>
      <c r="AD798" s="106" t="n"/>
      <c r="AE798" s="106" t="n"/>
      <c r="AF798" s="106" t="n"/>
      <c r="AG798" s="106" t="n"/>
      <c r="AH798" s="106" t="n"/>
      <c r="AI798" s="106" t="n"/>
      <c r="AJ798" s="106" t="n"/>
      <c r="AK798" s="106" t="n"/>
      <c r="AL798" s="106" t="n"/>
      <c r="AM798" s="106" t="n"/>
      <c r="AN798" s="114" t="n"/>
      <c r="AO798" s="115" t="n"/>
      <c r="AP798" s="112" t="n"/>
      <c r="AQ798" s="9" t="n">
        <v>4312101.95</v>
      </c>
      <c r="AR798" s="3" t="n">
        <f aca="false" ca="false" dt2D="false" dtr="false" t="normal">+(K798*13.29+L798*22.52)*12*0.85</f>
        <v>751721.5686</v>
      </c>
      <c r="AS798" s="3" t="n">
        <f aca="false" ca="false" dt2D="false" dtr="false" t="normal">+(K798*13.29+L798*22.52)*12*30</f>
        <v>26531349.48</v>
      </c>
      <c r="AT798" s="9" t="n"/>
      <c r="AU798" s="9" t="n"/>
      <c r="AV798" s="9" t="n"/>
      <c r="AW798" s="113" t="n">
        <f aca="false" ca="true" dt2D="false" dtr="false" t="normal">SUBTOTAL(9, AX798:BL798)</f>
        <v>39105310.51493828</v>
      </c>
      <c r="AX798" s="106" t="n"/>
      <c r="AY798" s="106" t="n"/>
      <c r="AZ798" s="106" t="n"/>
      <c r="BA798" s="106" t="n"/>
      <c r="BB798" s="106" t="n"/>
      <c r="BC798" s="106" t="n"/>
      <c r="BD798" s="106" t="n"/>
      <c r="BE798" s="106" t="n"/>
      <c r="BF798" s="106" t="n">
        <v>38268456.8699186</v>
      </c>
      <c r="BG798" s="106" t="n"/>
      <c r="BH798" s="106" t="n"/>
      <c r="BI798" s="106" t="n"/>
      <c r="BJ798" s="106" t="n"/>
      <c r="BK798" s="114" t="n"/>
      <c r="BL798" s="115" t="n">
        <v>836853.64501968</v>
      </c>
      <c r="BM798" s="113" t="n">
        <f aca="false" ca="true" dt2D="false" dtr="false" t="normal">SUBTOTAL(9, BN798:CB798)</f>
        <v>39105310.51493828</v>
      </c>
      <c r="BN798" s="106" t="n"/>
      <c r="BO798" s="106" t="n"/>
      <c r="BP798" s="106" t="n"/>
      <c r="BQ798" s="106" t="n"/>
      <c r="BR798" s="106" t="n"/>
      <c r="BS798" s="106" t="n"/>
      <c r="BT798" s="106" t="n"/>
      <c r="BU798" s="106" t="n"/>
      <c r="BV798" s="106" t="n">
        <v>38268456.8699186</v>
      </c>
      <c r="BW798" s="106" t="n"/>
      <c r="BX798" s="106" t="n"/>
      <c r="BY798" s="106" t="n"/>
      <c r="BZ798" s="106" t="n"/>
      <c r="CA798" s="114" t="n"/>
      <c r="CB798" s="115" t="n">
        <v>836853.64501968</v>
      </c>
      <c r="CD798" s="116" t="e">
        <f aca="false" ca="false" dt2D="false" dtr="false" t="normal">+CD797+1</f>
        <v>#REF!</v>
      </c>
      <c r="CE798" s="117" t="e">
        <f aca="false" ca="false" dt2D="false" dtr="false" t="normal">+CE797+1</f>
        <v>#REF!</v>
      </c>
      <c r="CF798" s="104" t="s">
        <v>740</v>
      </c>
      <c r="CG798" s="104" t="s">
        <v>741</v>
      </c>
      <c r="CH798" s="108" t="n">
        <f aca="false" ca="true" dt2D="false" dtr="false" t="normal">SUBTOTAL(9, CI798:CW798)</f>
        <v>16449693.77</v>
      </c>
      <c r="CI798" s="106" t="n"/>
      <c r="CJ798" s="114" t="n"/>
      <c r="CK798" s="114" t="n"/>
      <c r="CL798" s="114" t="n"/>
      <c r="CM798" s="114" t="n"/>
      <c r="CN798" s="114" t="n"/>
      <c r="CO798" s="106" t="n"/>
      <c r="CP798" s="114" t="n"/>
      <c r="CQ798" s="114" t="n">
        <v>15612840.12</v>
      </c>
      <c r="CR798" s="114" t="n"/>
      <c r="CS798" s="114" t="n"/>
      <c r="CT798" s="114" t="n"/>
      <c r="CU798" s="114" t="n"/>
      <c r="CV798" s="114" t="n"/>
      <c r="CW798" s="115" t="n">
        <v>836853.65</v>
      </c>
      <c r="CX798" s="3" t="n">
        <f aca="false" ca="false" dt2D="false" dtr="false" t="normal">+N798-CH798</f>
        <v>-836853.6500000004</v>
      </c>
      <c r="CZ798" s="104" t="s">
        <v>741</v>
      </c>
      <c r="DA798" s="113" t="n">
        <f aca="false" ca="true" dt2D="false" dtr="false" t="normal">SUBTOTAL(9, DB798:DP798)</f>
        <v>15612840.12</v>
      </c>
      <c r="DB798" s="106" t="n"/>
      <c r="DC798" s="114" t="n"/>
      <c r="DD798" s="114" t="n"/>
      <c r="DE798" s="114" t="n"/>
      <c r="DF798" s="114" t="n"/>
      <c r="DG798" s="114" t="n"/>
      <c r="DH798" s="106" t="n"/>
      <c r="DI798" s="114" t="n"/>
      <c r="DJ798" s="114" t="n">
        <v>15612840.12</v>
      </c>
      <c r="DK798" s="114" t="n"/>
      <c r="DL798" s="114" t="n"/>
      <c r="DM798" s="114" t="n"/>
      <c r="DN798" s="114" t="n"/>
      <c r="DO798" s="114" t="n"/>
      <c r="DP798" s="240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</row>
    <row customFormat="true" hidden="false" ht="15" outlineLevel="0" r="799" s="1">
      <c r="A799" s="183" t="n">
        <f aca="false" ca="false" dt2D="false" dtr="false" t="normal">+A798+1</f>
        <v>777</v>
      </c>
      <c r="B799" s="117" t="n">
        <f aca="false" ca="false" dt2D="false" dtr="false" t="normal">+B798+1</f>
        <v>317</v>
      </c>
      <c r="C799" s="117" t="s">
        <v>740</v>
      </c>
      <c r="D799" s="117" t="s">
        <v>742</v>
      </c>
      <c r="E799" s="201" t="n">
        <v>2003</v>
      </c>
      <c r="F799" s="201" t="n">
        <v>2003</v>
      </c>
      <c r="G799" s="201" t="s">
        <v>68</v>
      </c>
      <c r="H799" s="201" t="n">
        <v>6</v>
      </c>
      <c r="I799" s="201" t="n">
        <v>2</v>
      </c>
      <c r="J799" s="114" t="n">
        <v>4628.5</v>
      </c>
      <c r="K799" s="114" t="n">
        <v>3639.6</v>
      </c>
      <c r="L799" s="114" t="n">
        <v>0</v>
      </c>
      <c r="M799" s="202" t="n">
        <v>142</v>
      </c>
      <c r="N799" s="108" t="n">
        <f aca="false" ca="false" dt2D="false" dtr="false" t="normal">SUM(P799:T799)</f>
        <v>21539455.56</v>
      </c>
      <c r="O799" s="114" t="n"/>
      <c r="P799" s="113" t="n"/>
      <c r="Q799" s="114" t="n"/>
      <c r="R799" s="113" t="n">
        <v>2164436.55</v>
      </c>
      <c r="S799" s="113" t="n">
        <v>17413302.24</v>
      </c>
      <c r="T799" s="113" t="n">
        <v>1961716.77</v>
      </c>
      <c r="U799" s="114" t="n">
        <v>6047.4996785361</v>
      </c>
      <c r="V799" s="114" t="n">
        <v>6047.4996785361</v>
      </c>
      <c r="W799" s="110" t="n">
        <v>2024</v>
      </c>
      <c r="X799" s="9" t="e">
        <f aca="false" ca="false" dt2D="false" dtr="false" t="normal">+#REF!-'[9]Приложение №1'!$P1641</f>
        <v>#REF!</v>
      </c>
      <c r="Z799" s="113" t="n">
        <f aca="false" ca="false" dt2D="false" dtr="false" t="normal">SUM(AA799:AO799)</f>
        <v>22231583.709999997</v>
      </c>
      <c r="AA799" s="106" t="n">
        <v>0</v>
      </c>
      <c r="AB799" s="106" t="n">
        <v>0</v>
      </c>
      <c r="AC799" s="106" t="n">
        <v>0</v>
      </c>
      <c r="AD799" s="106" t="n">
        <v>0</v>
      </c>
      <c r="AE799" s="106" t="n">
        <v>0</v>
      </c>
      <c r="AF799" s="106" t="n"/>
      <c r="AG799" s="106" t="n">
        <v>0</v>
      </c>
      <c r="AH799" s="106" t="n">
        <v>0</v>
      </c>
      <c r="AI799" s="106" t="n">
        <v>19580245.0367454</v>
      </c>
      <c r="AJ799" s="106" t="n">
        <v>0</v>
      </c>
      <c r="AK799" s="106" t="n">
        <v>0</v>
      </c>
      <c r="AL799" s="106" t="n">
        <v>0</v>
      </c>
      <c r="AM799" s="106" t="n">
        <v>2000842.5339</v>
      </c>
      <c r="AN799" s="114" t="n">
        <v>222315.8371</v>
      </c>
      <c r="AO799" s="115" t="n">
        <v>428180.3022546</v>
      </c>
      <c r="AP799" s="112" t="n">
        <f aca="false" ca="false" dt2D="false" dtr="false" t="normal">+N799-'Приложение №2'!E799</f>
        <v>0</v>
      </c>
      <c r="AQ799" s="1" t="n">
        <v>1671059.65</v>
      </c>
      <c r="AR799" s="3" t="n">
        <f aca="false" ca="false" dt2D="false" dtr="false" t="normal">+(K799*13.29+L799*22.52)*12*0.85</f>
        <v>493376.89679999993</v>
      </c>
      <c r="AS799" s="3" t="n">
        <f aca="false" ca="false" dt2D="false" dtr="false" t="normal">+(K799*13.29+L799*22.52)*12*30</f>
        <v>17413302.24</v>
      </c>
      <c r="AT799" s="9" t="n">
        <f aca="false" ca="false" dt2D="false" dtr="false" t="normal">+S799-AS799</f>
        <v>0</v>
      </c>
      <c r="AU799" s="9" t="e">
        <f aca="false" ca="false" dt2D="false" dtr="false" t="normal">+P799-'[5]Приложение №1'!$P421</f>
        <v>#REF!</v>
      </c>
      <c r="AV799" s="9" t="e">
        <f aca="false" ca="false" dt2D="false" dtr="false" t="normal">+Q799-'[5]Приложение №1'!$Q421</f>
        <v>#REF!</v>
      </c>
      <c r="AW799" s="113" t="n">
        <f aca="false" ca="true" dt2D="false" dtr="false" t="normal">SUBTOTAL(9, AX799:BL799)</f>
        <v>22010479.830000002</v>
      </c>
      <c r="AX799" s="106" t="n">
        <v>0</v>
      </c>
      <c r="AY799" s="106" t="n">
        <v>0</v>
      </c>
      <c r="AZ799" s="106" t="n">
        <v>0</v>
      </c>
      <c r="BA799" s="106" t="n">
        <v>0</v>
      </c>
      <c r="BB799" s="106" t="n">
        <v>0</v>
      </c>
      <c r="BC799" s="106" t="n"/>
      <c r="BD799" s="106" t="n"/>
      <c r="BE799" s="106" t="n">
        <v>0</v>
      </c>
      <c r="BF799" s="106" t="n">
        <v>21539455.561638</v>
      </c>
      <c r="BG799" s="106" t="n">
        <v>0</v>
      </c>
      <c r="BH799" s="106" t="n">
        <v>0</v>
      </c>
      <c r="BI799" s="106" t="n">
        <v>0</v>
      </c>
      <c r="BJ799" s="106" t="n"/>
      <c r="BK799" s="114" t="n"/>
      <c r="BL799" s="115" t="n">
        <v>471024.268362</v>
      </c>
      <c r="BM799" s="113" t="n">
        <f aca="false" ca="true" dt2D="false" dtr="false" t="normal">SUBTOTAL(9, BN799:CB799)</f>
        <v>22010479.830000002</v>
      </c>
      <c r="BN799" s="106" t="n">
        <v>0</v>
      </c>
      <c r="BO799" s="106" t="n">
        <v>0</v>
      </c>
      <c r="BP799" s="106" t="n">
        <v>0</v>
      </c>
      <c r="BQ799" s="106" t="n">
        <v>0</v>
      </c>
      <c r="BR799" s="106" t="n">
        <v>0</v>
      </c>
      <c r="BS799" s="106" t="n"/>
      <c r="BT799" s="106" t="n"/>
      <c r="BU799" s="106" t="n">
        <v>0</v>
      </c>
      <c r="BV799" s="106" t="n">
        <v>21539455.561638</v>
      </c>
      <c r="BW799" s="106" t="n">
        <v>0</v>
      </c>
      <c r="BX799" s="106" t="n">
        <v>0</v>
      </c>
      <c r="BY799" s="106" t="n">
        <v>0</v>
      </c>
      <c r="BZ799" s="106" t="n"/>
      <c r="CA799" s="114" t="n"/>
      <c r="CB799" s="115" t="n">
        <v>471024.268362</v>
      </c>
      <c r="CD799" s="116" t="e">
        <f aca="false" ca="false" dt2D="false" dtr="false" t="normal">+CD798+1</f>
        <v>#REF!</v>
      </c>
      <c r="CE799" s="117" t="e">
        <f aca="false" ca="false" dt2D="false" dtr="false" t="normal">+CE798+1</f>
        <v>#REF!</v>
      </c>
      <c r="CF799" s="104" t="s">
        <v>740</v>
      </c>
      <c r="CG799" s="104" t="s">
        <v>742</v>
      </c>
      <c r="CH799" s="108" t="n">
        <f aca="false" ca="true" dt2D="false" dtr="false" t="normal">SUBTOTAL(9, CI799:CW799)</f>
        <v>22010479.83</v>
      </c>
      <c r="CI799" s="106" t="n">
        <v>0</v>
      </c>
      <c r="CJ799" s="114" t="n">
        <v>0</v>
      </c>
      <c r="CK799" s="114" t="n">
        <v>0</v>
      </c>
      <c r="CL799" s="114" t="n">
        <v>0</v>
      </c>
      <c r="CM799" s="114" t="n">
        <v>0</v>
      </c>
      <c r="CN799" s="114" t="n"/>
      <c r="CO799" s="106" t="n"/>
      <c r="CP799" s="114" t="n">
        <v>0</v>
      </c>
      <c r="CQ799" s="114" t="n">
        <v>21539455.56</v>
      </c>
      <c r="CR799" s="114" t="n">
        <v>0</v>
      </c>
      <c r="CS799" s="114" t="n">
        <v>0</v>
      </c>
      <c r="CT799" s="114" t="n">
        <v>0</v>
      </c>
      <c r="CU799" s="114" t="n"/>
      <c r="CV799" s="114" t="n"/>
      <c r="CW799" s="115" t="n">
        <v>471024.27</v>
      </c>
      <c r="CX799" s="3" t="n">
        <f aca="false" ca="false" dt2D="false" dtr="false" t="normal">+N799-CH799</f>
        <v>-471024.26999999955</v>
      </c>
      <c r="CZ799" s="104" t="s">
        <v>742</v>
      </c>
      <c r="DA799" s="113" t="n">
        <f aca="false" ca="true" dt2D="false" dtr="false" t="normal">SUBTOTAL(9, DB799:DP799)</f>
        <v>21539455.56</v>
      </c>
      <c r="DB799" s="106" t="n">
        <v>0</v>
      </c>
      <c r="DC799" s="114" t="n">
        <v>0</v>
      </c>
      <c r="DD799" s="114" t="n">
        <v>0</v>
      </c>
      <c r="DE799" s="114" t="n">
        <v>0</v>
      </c>
      <c r="DF799" s="114" t="n">
        <v>0</v>
      </c>
      <c r="DG799" s="114" t="n"/>
      <c r="DH799" s="106" t="n"/>
      <c r="DI799" s="114" t="n">
        <v>0</v>
      </c>
      <c r="DJ799" s="114" t="n">
        <v>21539455.56</v>
      </c>
      <c r="DK799" s="114" t="n">
        <v>0</v>
      </c>
      <c r="DL799" s="114" t="n">
        <v>0</v>
      </c>
      <c r="DM799" s="114" t="n">
        <v>0</v>
      </c>
      <c r="DN799" s="114" t="n"/>
      <c r="DO799" s="114" t="n"/>
      <c r="DP799" s="240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</row>
    <row customFormat="true" hidden="false" ht="15" outlineLevel="0" r="800" s="1">
      <c r="A800" s="183" t="n">
        <f aca="false" ca="false" dt2D="false" dtr="false" t="normal">+A799+1</f>
        <v>778</v>
      </c>
      <c r="B800" s="117" t="n">
        <f aca="false" ca="false" dt2D="false" dtr="false" t="normal">+B799+1</f>
        <v>318</v>
      </c>
      <c r="C800" s="117" t="s">
        <v>740</v>
      </c>
      <c r="D800" s="117" t="s">
        <v>743</v>
      </c>
      <c r="E800" s="201" t="n">
        <v>1995</v>
      </c>
      <c r="F800" s="201" t="n">
        <v>2009</v>
      </c>
      <c r="G800" s="201" t="s">
        <v>68</v>
      </c>
      <c r="H800" s="201" t="n">
        <v>5</v>
      </c>
      <c r="I800" s="201" t="n">
        <v>2</v>
      </c>
      <c r="J800" s="114" t="n">
        <v>2134.2</v>
      </c>
      <c r="K800" s="114" t="n">
        <v>1911.8</v>
      </c>
      <c r="L800" s="114" t="n">
        <v>0</v>
      </c>
      <c r="M800" s="202" t="n">
        <v>75</v>
      </c>
      <c r="N800" s="108" t="n">
        <f aca="false" ca="false" dt2D="false" dtr="false" t="normal">SUM(P800:T800)</f>
        <v>12234614.59</v>
      </c>
      <c r="O800" s="114" t="n"/>
      <c r="P800" s="113" t="n">
        <v>501868.43</v>
      </c>
      <c r="Q800" s="114" t="n"/>
      <c r="R800" s="113" t="n">
        <v>1062863.97</v>
      </c>
      <c r="S800" s="113" t="n">
        <v>6882480</v>
      </c>
      <c r="T800" s="113" t="n">
        <v>3787402.19</v>
      </c>
      <c r="U800" s="114" t="n">
        <v>6539.47109077547</v>
      </c>
      <c r="V800" s="114" t="n">
        <v>6539.47109077547</v>
      </c>
      <c r="W800" s="110" t="n">
        <v>2024</v>
      </c>
      <c r="X800" s="9" t="e">
        <f aca="false" ca="false" dt2D="false" dtr="false" t="normal">+#REF!-'[9]Приложение №1'!$P1486</f>
        <v>#REF!</v>
      </c>
      <c r="Z800" s="113" t="n">
        <f aca="false" ca="false" dt2D="false" dtr="false" t="normal">SUM(AA800:AO800)</f>
        <v>11647646.459999999</v>
      </c>
      <c r="AA800" s="106" t="n">
        <v>0</v>
      </c>
      <c r="AB800" s="106" t="n">
        <v>0</v>
      </c>
      <c r="AC800" s="106" t="n">
        <v>0</v>
      </c>
      <c r="AD800" s="106" t="n">
        <v>0</v>
      </c>
      <c r="AE800" s="106" t="n">
        <v>0</v>
      </c>
      <c r="AF800" s="106" t="n"/>
      <c r="AG800" s="106" t="n">
        <v>0</v>
      </c>
      <c r="AH800" s="106" t="n">
        <v>0</v>
      </c>
      <c r="AI800" s="106" t="n">
        <v>10258548.1431804</v>
      </c>
      <c r="AJ800" s="106" t="n">
        <v>0</v>
      </c>
      <c r="AK800" s="106" t="n">
        <v>0</v>
      </c>
      <c r="AL800" s="106" t="n">
        <v>0</v>
      </c>
      <c r="AM800" s="106" t="n">
        <v>1048288.1814</v>
      </c>
      <c r="AN800" s="114" t="n">
        <v>116476.4646</v>
      </c>
      <c r="AO800" s="115" t="n">
        <v>224333.6708196</v>
      </c>
      <c r="AP800" s="112" t="n">
        <f aca="false" ca="false" dt2D="false" dtr="false" t="normal">+N800-'Приложение №2'!E800</f>
        <v>0</v>
      </c>
      <c r="AQ800" s="1" t="n">
        <v>867860.37</v>
      </c>
      <c r="AR800" s="3" t="n">
        <f aca="false" ca="false" dt2D="false" dtr="false" t="normal">+(K800*10+L800*20)*12*0.85</f>
        <v>195003.6</v>
      </c>
      <c r="AS800" s="3" t="n">
        <f aca="false" ca="false" dt2D="false" dtr="false" t="normal">+(K800*10+L800*20)*12*30</f>
        <v>6882480</v>
      </c>
      <c r="AT800" s="9" t="n">
        <f aca="false" ca="false" dt2D="false" dtr="false" t="normal">+S800-AS800</f>
        <v>0</v>
      </c>
      <c r="AU800" s="9" t="e">
        <f aca="false" ca="false" dt2D="false" dtr="false" t="normal">+P800-'[5]Приложение №1'!$P422</f>
        <v>#REF!</v>
      </c>
      <c r="AV800" s="9" t="e">
        <f aca="false" ca="false" dt2D="false" dtr="false" t="normal">+Q800-'[5]Приложение №1'!$Q422</f>
        <v>#REF!</v>
      </c>
      <c r="AW800" s="113" t="n">
        <f aca="false" ca="true" dt2D="false" dtr="false" t="normal">SUBTOTAL(9, AX800:BL800)</f>
        <v>12502160.831344573</v>
      </c>
      <c r="AX800" s="106" t="n">
        <v>0</v>
      </c>
      <c r="AY800" s="106" t="n">
        <v>0</v>
      </c>
      <c r="AZ800" s="106" t="n">
        <v>0</v>
      </c>
      <c r="BA800" s="106" t="n">
        <v>0</v>
      </c>
      <c r="BB800" s="106" t="n">
        <v>0</v>
      </c>
      <c r="BC800" s="106" t="n"/>
      <c r="BD800" s="106" t="n"/>
      <c r="BE800" s="106" t="n">
        <v>0</v>
      </c>
      <c r="BF800" s="106" t="n">
        <v>12234614.5895538</v>
      </c>
      <c r="BG800" s="106" t="n">
        <v>0</v>
      </c>
      <c r="BH800" s="106" t="n">
        <v>0</v>
      </c>
      <c r="BI800" s="106" t="n">
        <v>0</v>
      </c>
      <c r="BJ800" s="106" t="n"/>
      <c r="BK800" s="114" t="n"/>
      <c r="BL800" s="115" t="n">
        <v>267546.241790773</v>
      </c>
      <c r="BM800" s="113" t="n">
        <f aca="false" ca="true" dt2D="false" dtr="false" t="normal">SUBTOTAL(9, BN800:CB800)</f>
        <v>12502160.831344573</v>
      </c>
      <c r="BN800" s="106" t="n">
        <v>0</v>
      </c>
      <c r="BO800" s="106" t="n">
        <v>0</v>
      </c>
      <c r="BP800" s="106" t="n">
        <v>0</v>
      </c>
      <c r="BQ800" s="106" t="n">
        <v>0</v>
      </c>
      <c r="BR800" s="106" t="n">
        <v>0</v>
      </c>
      <c r="BS800" s="106" t="n"/>
      <c r="BT800" s="106" t="n"/>
      <c r="BU800" s="106" t="n">
        <v>0</v>
      </c>
      <c r="BV800" s="106" t="n">
        <v>12234614.5895538</v>
      </c>
      <c r="BW800" s="106" t="n">
        <v>0</v>
      </c>
      <c r="BX800" s="106" t="n">
        <v>0</v>
      </c>
      <c r="BY800" s="106" t="n">
        <v>0</v>
      </c>
      <c r="BZ800" s="106" t="n"/>
      <c r="CA800" s="114" t="n"/>
      <c r="CB800" s="115" t="n">
        <v>267546.241790773</v>
      </c>
      <c r="CD800" s="116" t="e">
        <f aca="false" ca="false" dt2D="false" dtr="false" t="normal">+CD799+1</f>
        <v>#REF!</v>
      </c>
      <c r="CE800" s="117" t="e">
        <f aca="false" ca="false" dt2D="false" dtr="false" t="normal">+CE799+1</f>
        <v>#REF!</v>
      </c>
      <c r="CF800" s="104" t="s">
        <v>740</v>
      </c>
      <c r="CG800" s="104" t="s">
        <v>743</v>
      </c>
      <c r="CH800" s="108" t="n">
        <f aca="false" ca="true" dt2D="false" dtr="false" t="normal">SUBTOTAL(9, CI800:CW800)</f>
        <v>12502160.83</v>
      </c>
      <c r="CI800" s="106" t="n">
        <v>0</v>
      </c>
      <c r="CJ800" s="114" t="n">
        <v>0</v>
      </c>
      <c r="CK800" s="114" t="n">
        <v>0</v>
      </c>
      <c r="CL800" s="114" t="n">
        <v>0</v>
      </c>
      <c r="CM800" s="114" t="n">
        <v>0</v>
      </c>
      <c r="CN800" s="114" t="n"/>
      <c r="CO800" s="106" t="n"/>
      <c r="CP800" s="114" t="n">
        <v>0</v>
      </c>
      <c r="CQ800" s="114" t="n">
        <v>12234614.59</v>
      </c>
      <c r="CR800" s="114" t="n">
        <v>0</v>
      </c>
      <c r="CS800" s="114" t="n">
        <v>0</v>
      </c>
      <c r="CT800" s="114" t="n">
        <v>0</v>
      </c>
      <c r="CU800" s="114" t="n"/>
      <c r="CV800" s="114" t="n"/>
      <c r="CW800" s="115" t="n">
        <v>267546.24</v>
      </c>
      <c r="CX800" s="3" t="n">
        <f aca="false" ca="false" dt2D="false" dtr="false" t="normal">+N800-CH800</f>
        <v>-267546.2400000002</v>
      </c>
      <c r="CZ800" s="104" t="s">
        <v>743</v>
      </c>
      <c r="DA800" s="113" t="n">
        <f aca="false" ca="true" dt2D="false" dtr="false" t="normal">SUBTOTAL(9, DB800:DP800)</f>
        <v>12234614.59</v>
      </c>
      <c r="DB800" s="106" t="n">
        <v>0</v>
      </c>
      <c r="DC800" s="114" t="n">
        <v>0</v>
      </c>
      <c r="DD800" s="114" t="n">
        <v>0</v>
      </c>
      <c r="DE800" s="114" t="n">
        <v>0</v>
      </c>
      <c r="DF800" s="114" t="n">
        <v>0</v>
      </c>
      <c r="DG800" s="114" t="n"/>
      <c r="DH800" s="106" t="n"/>
      <c r="DI800" s="114" t="n">
        <v>0</v>
      </c>
      <c r="DJ800" s="114" t="n">
        <v>12234614.59</v>
      </c>
      <c r="DK800" s="114" t="n">
        <v>0</v>
      </c>
      <c r="DL800" s="114" t="n">
        <v>0</v>
      </c>
      <c r="DM800" s="114" t="n">
        <v>0</v>
      </c>
      <c r="DN800" s="114" t="n"/>
      <c r="DO800" s="114" t="n"/>
      <c r="DP800" s="240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</row>
    <row customFormat="true" hidden="false" ht="15" outlineLevel="0" r="801" s="1">
      <c r="A801" s="183" t="n">
        <f aca="false" ca="false" dt2D="false" dtr="false" t="normal">+A800+1</f>
        <v>779</v>
      </c>
      <c r="B801" s="117" t="n">
        <f aca="false" ca="false" dt2D="false" dtr="false" t="normal">+B800+1</f>
        <v>319</v>
      </c>
      <c r="C801" s="117" t="s">
        <v>253</v>
      </c>
      <c r="D801" s="117" t="s">
        <v>744</v>
      </c>
      <c r="E801" s="201" t="n">
        <v>1981</v>
      </c>
      <c r="F801" s="201" t="n">
        <v>1981</v>
      </c>
      <c r="G801" s="201" t="s">
        <v>68</v>
      </c>
      <c r="H801" s="201" t="n">
        <v>4</v>
      </c>
      <c r="I801" s="201" t="n">
        <v>2</v>
      </c>
      <c r="J801" s="114" t="n">
        <v>1312.5</v>
      </c>
      <c r="K801" s="114" t="n">
        <v>1312.5</v>
      </c>
      <c r="L801" s="114" t="n">
        <v>0</v>
      </c>
      <c r="M801" s="202" t="n">
        <v>60</v>
      </c>
      <c r="N801" s="108" t="n">
        <f aca="false" ca="false" dt2D="false" dtr="false" t="normal">SUM(P801:T801)</f>
        <v>5831102.690000001</v>
      </c>
      <c r="O801" s="114" t="n"/>
      <c r="P801" s="114" t="n"/>
      <c r="Q801" s="114" t="n"/>
      <c r="R801" s="113" t="n">
        <v>169987.73</v>
      </c>
      <c r="S801" s="113" t="n">
        <v>4469610.44</v>
      </c>
      <c r="T801" s="113" t="n">
        <v>1191504.52</v>
      </c>
      <c r="U801" s="114" t="n">
        <v>6243.27346571947</v>
      </c>
      <c r="V801" s="114" t="n">
        <v>6243.27346571947</v>
      </c>
      <c r="W801" s="110" t="n">
        <v>2024</v>
      </c>
      <c r="X801" s="9" t="e">
        <f aca="false" ca="false" dt2D="false" dtr="false" t="normal">+#REF!-'[3]Приложение №1'!$P1657</f>
        <v>#REF!</v>
      </c>
      <c r="Z801" s="113" t="n">
        <f aca="false" ca="false" dt2D="false" dtr="false" t="normal">SUM(AA801:AO801)</f>
        <v>36563550.31999999</v>
      </c>
      <c r="AA801" s="106" t="n">
        <v>4266007.59560976</v>
      </c>
      <c r="AB801" s="106" t="n">
        <v>1955020.13170464</v>
      </c>
      <c r="AC801" s="106" t="n">
        <v>1978258.19473128</v>
      </c>
      <c r="AD801" s="106" t="n">
        <v>1287470.5310544</v>
      </c>
      <c r="AE801" s="106" t="n">
        <v>0</v>
      </c>
      <c r="AF801" s="106" t="n"/>
      <c r="AG801" s="106" t="n">
        <v>129640.86798432</v>
      </c>
      <c r="AH801" s="106" t="n">
        <v>0</v>
      </c>
      <c r="AI801" s="106" t="n">
        <v>10198525.1661216</v>
      </c>
      <c r="AJ801" s="106" t="n">
        <v>0</v>
      </c>
      <c r="AK801" s="106" t="n">
        <v>5183310.52597512</v>
      </c>
      <c r="AL801" s="106" t="n">
        <v>7021006.77849648</v>
      </c>
      <c r="AM801" s="106" t="n">
        <v>3478479.1008</v>
      </c>
      <c r="AN801" s="114" t="n">
        <v>365635.5032</v>
      </c>
      <c r="AO801" s="115" t="n">
        <v>700195.9243224</v>
      </c>
      <c r="AP801" s="112" t="n">
        <f aca="false" ca="false" dt2D="false" dtr="false" t="normal">+N801-'[1]Приложение №2'!E802</f>
        <v>3569160.910000001</v>
      </c>
      <c r="AQ801" s="1" t="n">
        <f aca="false" ca="false" dt2D="false" dtr="false" t="normal">461712.25-425599.52</f>
        <v>36112.72999999998</v>
      </c>
      <c r="AR801" s="3" t="n">
        <f aca="false" ca="false" dt2D="false" dtr="false" t="normal">+(K801*10+L801*20)*12*0.85</f>
        <v>133875</v>
      </c>
      <c r="AS801" s="3" t="n">
        <f aca="false" ca="false" dt2D="false" dtr="false" t="normal">+(K801*10+L801*20)*12*30-255389.56</f>
        <v>4469610.44</v>
      </c>
      <c r="AT801" s="9" t="n">
        <f aca="false" ca="false" dt2D="false" dtr="false" t="normal">+S801-AS801</f>
        <v>0</v>
      </c>
      <c r="AU801" s="9" t="e">
        <f aca="false" ca="false" dt2D="false" dtr="false" t="normal">+P801-'[2]Приложение №1'!$P412</f>
        <v>#REF!</v>
      </c>
      <c r="AV801" s="9" t="e">
        <f aca="false" ca="false" dt2D="false" dtr="false" t="normal">+Q801-'[2]Приложение №1'!$Q412</f>
        <v>#REF!</v>
      </c>
      <c r="AW801" s="113" t="n">
        <f aca="false" ca="true" dt2D="false" dtr="false" t="normal">SUBTOTAL(9, AX801:BL801)</f>
        <v>8194296.423756806</v>
      </c>
      <c r="AX801" s="106" t="n"/>
      <c r="AY801" s="106" t="n"/>
      <c r="AZ801" s="106" t="n">
        <v>2187835.78837976</v>
      </c>
      <c r="BA801" s="106" t="n"/>
      <c r="BB801" s="106" t="n"/>
      <c r="BC801" s="106" t="n"/>
      <c r="BD801" s="106" t="n"/>
      <c r="BE801" s="106" t="n"/>
      <c r="BF801" s="106" t="n"/>
      <c r="BG801" s="106" t="n"/>
      <c r="BH801" s="106" t="n"/>
      <c r="BI801" s="106" t="n">
        <v>5831102.69190865</v>
      </c>
      <c r="BJ801" s="106" t="n"/>
      <c r="BK801" s="114" t="n"/>
      <c r="BL801" s="115" t="n">
        <v>175357.943468396</v>
      </c>
      <c r="BM801" s="113" t="n">
        <f aca="false" ca="true" dt2D="false" dtr="false" t="normal">SUBTOTAL(9, BN801:CB801)</f>
        <v>8194296.423756806</v>
      </c>
      <c r="BN801" s="106" t="n"/>
      <c r="BO801" s="106" t="n"/>
      <c r="BP801" s="106" t="n">
        <v>2187835.78837976</v>
      </c>
      <c r="BQ801" s="106" t="n"/>
      <c r="BR801" s="106" t="n"/>
      <c r="BS801" s="106" t="n"/>
      <c r="BT801" s="106" t="n"/>
      <c r="BU801" s="106" t="n"/>
      <c r="BV801" s="106" t="n"/>
      <c r="BW801" s="106" t="n"/>
      <c r="BX801" s="106" t="n"/>
      <c r="BY801" s="106" t="n">
        <v>5831102.69190865</v>
      </c>
      <c r="BZ801" s="106" t="n"/>
      <c r="CA801" s="114" t="n"/>
      <c r="CB801" s="115" t="n">
        <v>175357.943468396</v>
      </c>
      <c r="CD801" s="137" t="n"/>
      <c r="CE801" s="9" t="n"/>
      <c r="CH801" s="113" t="n">
        <f aca="false" ca="true" dt2D="false" dtr="false" t="normal">SUBTOTAL(9, CI801:CW801)</f>
        <v>6006460.630000001</v>
      </c>
      <c r="CI801" s="106" t="n"/>
      <c r="CJ801" s="114" t="n"/>
      <c r="CK801" s="114" t="n"/>
      <c r="CL801" s="114" t="n"/>
      <c r="CM801" s="114" t="n"/>
      <c r="CN801" s="114" t="n"/>
      <c r="CO801" s="106" t="n"/>
      <c r="CP801" s="114" t="n"/>
      <c r="CQ801" s="114" t="n"/>
      <c r="CR801" s="114" t="n"/>
      <c r="CS801" s="114" t="n"/>
      <c r="CT801" s="114" t="n">
        <v>5831102.69</v>
      </c>
      <c r="CU801" s="114" t="n"/>
      <c r="CV801" s="114" t="n"/>
      <c r="CW801" s="115" t="n">
        <v>175357.94</v>
      </c>
      <c r="CX801" s="3" t="n">
        <f aca="false" ca="false" dt2D="false" dtr="false" t="normal">+N801-CH801</f>
        <v>-175357.93999999948</v>
      </c>
      <c r="CZ801" s="104" t="s">
        <v>744</v>
      </c>
      <c r="DA801" s="113" t="n">
        <f aca="false" ca="true" dt2D="false" dtr="false" t="normal">SUBTOTAL(9, DB801:DP801)</f>
        <v>5831102.69</v>
      </c>
      <c r="DB801" s="106" t="n"/>
      <c r="DC801" s="114" t="n"/>
      <c r="DD801" s="114" t="n"/>
      <c r="DE801" s="114" t="n"/>
      <c r="DF801" s="114" t="n"/>
      <c r="DG801" s="114" t="n"/>
      <c r="DH801" s="106" t="n"/>
      <c r="DI801" s="114" t="n"/>
      <c r="DJ801" s="114" t="n"/>
      <c r="DK801" s="114" t="n"/>
      <c r="DL801" s="114" t="n"/>
      <c r="DM801" s="114" t="n">
        <v>5831102.69</v>
      </c>
      <c r="DN801" s="114" t="n"/>
      <c r="DO801" s="114" t="n"/>
      <c r="DP801" s="240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</row>
    <row customFormat="true" hidden="false" ht="15" outlineLevel="0" r="802" s="1">
      <c r="A802" s="183" t="n">
        <f aca="false" ca="false" dt2D="false" dtr="false" t="normal">+A801+1</f>
        <v>780</v>
      </c>
      <c r="B802" s="117" t="n">
        <f aca="false" ca="false" dt2D="false" dtr="false" t="normal">+B801+1</f>
        <v>320</v>
      </c>
      <c r="C802" s="117" t="s">
        <v>428</v>
      </c>
      <c r="D802" s="117" t="s">
        <v>745</v>
      </c>
      <c r="E802" s="201" t="n">
        <v>1987</v>
      </c>
      <c r="F802" s="201" t="n">
        <v>2013</v>
      </c>
      <c r="G802" s="201" t="s">
        <v>68</v>
      </c>
      <c r="H802" s="201" t="n">
        <v>3</v>
      </c>
      <c r="I802" s="201" t="n">
        <v>1</v>
      </c>
      <c r="J802" s="114" t="n">
        <v>801.1</v>
      </c>
      <c r="K802" s="114" t="n">
        <v>730.3</v>
      </c>
      <c r="L802" s="114" t="n">
        <v>0</v>
      </c>
      <c r="M802" s="202" t="n">
        <v>20</v>
      </c>
      <c r="N802" s="108" t="n">
        <f aca="false" ca="false" dt2D="false" dtr="false" t="normal">SUM(P802:T802)</f>
        <v>1775821.5</v>
      </c>
      <c r="O802" s="114" t="n"/>
      <c r="P802" s="114" t="n"/>
      <c r="Q802" s="114" t="n"/>
      <c r="R802" s="113" t="n">
        <v>50734.6</v>
      </c>
      <c r="S802" s="113" t="n">
        <v>1011413.57</v>
      </c>
      <c r="T802" s="114" t="n">
        <v>713673.33</v>
      </c>
      <c r="U802" s="114" t="n">
        <v>2479.97198800767</v>
      </c>
      <c r="V802" s="114" t="n">
        <v>2479.97198800767</v>
      </c>
      <c r="W802" s="110" t="n">
        <v>2024</v>
      </c>
      <c r="X802" s="9" t="e">
        <f aca="false" ca="false" dt2D="false" dtr="false" t="normal">+#REF!-'[9]Приложение №1'!$P860</f>
        <v>#REF!</v>
      </c>
      <c r="Z802" s="113" t="n">
        <f aca="false" ca="false" dt2D="false" dtr="false" t="normal">SUM(AA802:AO802)</f>
        <v>11533143.700000001</v>
      </c>
      <c r="AA802" s="106" t="n">
        <v>2498530.60475382</v>
      </c>
      <c r="AB802" s="106" t="n">
        <v>1521682.50827208</v>
      </c>
      <c r="AC802" s="106" t="n">
        <v>0</v>
      </c>
      <c r="AD802" s="106" t="n">
        <v>0</v>
      </c>
      <c r="AE802" s="106" t="n">
        <v>0</v>
      </c>
      <c r="AF802" s="106" t="n"/>
      <c r="AG802" s="106" t="n">
        <v>230726.84989368</v>
      </c>
      <c r="AH802" s="106" t="n">
        <v>0</v>
      </c>
      <c r="AI802" s="106" t="n">
        <v>0</v>
      </c>
      <c r="AJ802" s="106" t="n">
        <v>0</v>
      </c>
      <c r="AK802" s="106" t="n">
        <v>5869999.6362147</v>
      </c>
      <c r="AL802" s="106" t="n">
        <v>0</v>
      </c>
      <c r="AM802" s="106" t="n">
        <v>1075548.2132</v>
      </c>
      <c r="AN802" s="114" t="n">
        <v>115331.437</v>
      </c>
      <c r="AO802" s="115" t="n">
        <v>221324.45066572</v>
      </c>
      <c r="AP802" s="112" t="n">
        <f aca="false" ca="false" dt2D="false" dtr="false" t="normal">+N802-'Приложение №2'!E802</f>
        <v>0</v>
      </c>
      <c r="AQ802" s="1" t="n">
        <f aca="false" ca="false" dt2D="false" dtr="false" t="normal">366713.48-70487.32</f>
        <v>296226.16</v>
      </c>
      <c r="AR802" s="3" t="n">
        <f aca="false" ca="false" dt2D="false" dtr="false" t="normal">+(K802*10+L802*20)*12*0.85</f>
        <v>74490.59999999999</v>
      </c>
      <c r="AS802" s="3" t="n">
        <f aca="false" ca="false" dt2D="false" dtr="false" t="normal">+(K802*10+L802*20)*12*30-373794.5</f>
        <v>2255285.5</v>
      </c>
      <c r="AT802" s="9" t="n">
        <f aca="false" ca="false" dt2D="false" dtr="false" t="normal">+S802-AS802</f>
        <v>-1243871.9300000002</v>
      </c>
      <c r="AU802" s="9" t="e">
        <f aca="false" ca="false" dt2D="false" dtr="false" t="normal">+P802-'[5]Приложение №1'!$P437</f>
        <v>#REF!</v>
      </c>
      <c r="AV802" s="9" t="e">
        <f aca="false" ca="false" dt2D="false" dtr="false" t="normal">+Q802-'[5]Приложение №1'!$Q437</f>
        <v>#REF!</v>
      </c>
      <c r="AW802" s="113" t="n">
        <f aca="false" ca="true" dt2D="false" dtr="false" t="normal">SUBTOTAL(9, AX802:BL802)</f>
        <v>1811123.542842</v>
      </c>
      <c r="AX802" s="106" t="n"/>
      <c r="AY802" s="106" t="n">
        <v>1775821.500432</v>
      </c>
      <c r="AZ802" s="106" t="n">
        <v>0</v>
      </c>
      <c r="BA802" s="106" t="n">
        <v>0</v>
      </c>
      <c r="BB802" s="106" t="n">
        <v>0</v>
      </c>
      <c r="BC802" s="106" t="n"/>
      <c r="BD802" s="106" t="n"/>
      <c r="BE802" s="106" t="n">
        <v>0</v>
      </c>
      <c r="BF802" s="106" t="n">
        <v>0</v>
      </c>
      <c r="BG802" s="106" t="n">
        <v>0</v>
      </c>
      <c r="BH802" s="106" t="n"/>
      <c r="BI802" s="106" t="n">
        <v>0</v>
      </c>
      <c r="BJ802" s="106" t="n"/>
      <c r="BK802" s="114" t="n"/>
      <c r="BL802" s="115" t="n">
        <v>35302.04241</v>
      </c>
      <c r="BM802" s="113" t="n">
        <f aca="false" ca="true" dt2D="false" dtr="false" t="normal">SUBTOTAL(9, BN802:CB802)</f>
        <v>1811123.542842</v>
      </c>
      <c r="BN802" s="106" t="n"/>
      <c r="BO802" s="106" t="n">
        <v>1775821.500432</v>
      </c>
      <c r="BP802" s="106" t="n">
        <v>0</v>
      </c>
      <c r="BQ802" s="106" t="n">
        <v>0</v>
      </c>
      <c r="BR802" s="106" t="n">
        <v>0</v>
      </c>
      <c r="BS802" s="106" t="n"/>
      <c r="BT802" s="106" t="n"/>
      <c r="BU802" s="106" t="n">
        <v>0</v>
      </c>
      <c r="BV802" s="106" t="n">
        <v>0</v>
      </c>
      <c r="BW802" s="106" t="n">
        <v>0</v>
      </c>
      <c r="BX802" s="106" t="n"/>
      <c r="BY802" s="106" t="n">
        <v>0</v>
      </c>
      <c r="BZ802" s="106" t="n"/>
      <c r="CA802" s="114" t="n"/>
      <c r="CB802" s="115" t="n">
        <v>35302.04241</v>
      </c>
      <c r="CD802" s="116" t="e">
        <f aca="false" ca="false" dt2D="false" dtr="false" t="normal">+#REF!+1</f>
        <v>#REF!</v>
      </c>
      <c r="CE802" s="117" t="e">
        <f aca="false" ca="false" dt2D="false" dtr="false" t="normal">+#REF!+1</f>
        <v>#REF!</v>
      </c>
      <c r="CF802" s="104" t="s">
        <v>428</v>
      </c>
      <c r="CG802" s="104" t="s">
        <v>745</v>
      </c>
      <c r="CH802" s="108" t="n">
        <f aca="false" ca="true" dt2D="false" dtr="false" t="normal">SUBTOTAL(9, CI802:CW802)</f>
        <v>1811123.54</v>
      </c>
      <c r="CI802" s="106" t="n"/>
      <c r="CJ802" s="114" t="n">
        <v>1775821.5</v>
      </c>
      <c r="CK802" s="114" t="n">
        <v>0</v>
      </c>
      <c r="CL802" s="114" t="n">
        <v>0</v>
      </c>
      <c r="CM802" s="114" t="n">
        <v>0</v>
      </c>
      <c r="CN802" s="114" t="n"/>
      <c r="CO802" s="106" t="n"/>
      <c r="CP802" s="114" t="n">
        <v>0</v>
      </c>
      <c r="CQ802" s="114" t="n">
        <v>0</v>
      </c>
      <c r="CR802" s="114" t="n">
        <v>0</v>
      </c>
      <c r="CS802" s="114" t="n"/>
      <c r="CT802" s="114" t="n">
        <v>0</v>
      </c>
      <c r="CU802" s="114" t="n"/>
      <c r="CV802" s="114" t="n"/>
      <c r="CW802" s="115" t="n">
        <v>35302.04</v>
      </c>
      <c r="CX802" s="3" t="n">
        <f aca="false" ca="false" dt2D="false" dtr="false" t="normal">+N802-CH802</f>
        <v>-35302.04000000004</v>
      </c>
      <c r="CZ802" s="104" t="s">
        <v>745</v>
      </c>
      <c r="DA802" s="113" t="n">
        <f aca="false" ca="true" dt2D="false" dtr="false" t="normal">SUBTOTAL(9, DB802:DP802)</f>
        <v>1775821.5</v>
      </c>
      <c r="DB802" s="106" t="n"/>
      <c r="DC802" s="114" t="n">
        <v>1775821.5</v>
      </c>
      <c r="DD802" s="114" t="n">
        <v>0</v>
      </c>
      <c r="DE802" s="114" t="n">
        <v>0</v>
      </c>
      <c r="DF802" s="114" t="n">
        <v>0</v>
      </c>
      <c r="DG802" s="114" t="n"/>
      <c r="DH802" s="106" t="n"/>
      <c r="DI802" s="114" t="n">
        <v>0</v>
      </c>
      <c r="DJ802" s="114" t="n">
        <v>0</v>
      </c>
      <c r="DK802" s="114" t="n">
        <v>0</v>
      </c>
      <c r="DL802" s="114" t="n"/>
      <c r="DM802" s="114" t="n">
        <v>0</v>
      </c>
      <c r="DN802" s="114" t="n"/>
      <c r="DO802" s="114" t="n"/>
      <c r="DP802" s="240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</row>
    <row customFormat="true" hidden="false" ht="15" outlineLevel="0" r="803" s="1">
      <c r="A803" s="183" t="n">
        <f aca="false" ca="false" dt2D="false" dtr="false" t="normal">+A802+1</f>
        <v>781</v>
      </c>
      <c r="B803" s="117" t="n">
        <f aca="false" ca="false" dt2D="false" dtr="false" t="normal">+B802+1</f>
        <v>321</v>
      </c>
      <c r="C803" s="104" t="s">
        <v>428</v>
      </c>
      <c r="D803" s="104" t="s">
        <v>509</v>
      </c>
      <c r="E803" s="105" t="n">
        <v>1989</v>
      </c>
      <c r="F803" s="105" t="n">
        <v>2013</v>
      </c>
      <c r="G803" s="105" t="s">
        <v>68</v>
      </c>
      <c r="H803" s="105" t="n">
        <v>4</v>
      </c>
      <c r="I803" s="105" t="n">
        <v>2</v>
      </c>
      <c r="J803" s="106" t="n">
        <v>1529.1</v>
      </c>
      <c r="K803" s="106" t="n">
        <v>1348.1</v>
      </c>
      <c r="L803" s="106" t="n">
        <v>0</v>
      </c>
      <c r="M803" s="107" t="n">
        <v>46</v>
      </c>
      <c r="N803" s="108" t="n">
        <f aca="false" ca="false" dt2D="false" dtr="false" t="normal">SUM(P803:T803)</f>
        <v>539640.37</v>
      </c>
      <c r="O803" s="106" t="n"/>
      <c r="P803" s="114" t="n"/>
      <c r="Q803" s="114" t="n"/>
      <c r="R803" s="114" t="n"/>
      <c r="S803" s="113" t="n">
        <v>539640.37</v>
      </c>
      <c r="T803" s="114" t="n"/>
      <c r="U803" s="106" t="n">
        <v>5519.69417137156</v>
      </c>
      <c r="V803" s="106" t="n">
        <v>5519.69417137156</v>
      </c>
      <c r="W803" s="110" t="n">
        <v>2024</v>
      </c>
      <c r="X803" s="9" t="e">
        <f aca="false" ca="false" dt2D="false" dtr="false" t="normal">+#REF!-'[9]Приложение №1'!$P1679</f>
        <v>#REF!</v>
      </c>
      <c r="Z803" s="113" t="n">
        <f aca="false" ca="false" dt2D="false" dtr="false" t="normal">SUM(AA803:AO803)</f>
        <v>12006150.479999999</v>
      </c>
      <c r="AA803" s="106" t="n">
        <v>2778320.4092007</v>
      </c>
      <c r="AB803" s="106" t="n">
        <v>1283573.09968482</v>
      </c>
      <c r="AC803" s="106" t="n">
        <v>0</v>
      </c>
      <c r="AD803" s="106" t="n">
        <v>0</v>
      </c>
      <c r="AE803" s="106" t="n">
        <v>0</v>
      </c>
      <c r="AF803" s="106" t="n"/>
      <c r="AG803" s="106" t="n">
        <v>0</v>
      </c>
      <c r="AH803" s="106" t="n">
        <v>0</v>
      </c>
      <c r="AI803" s="106" t="n">
        <v>6528512.288718</v>
      </c>
      <c r="AJ803" s="106" t="n">
        <v>0</v>
      </c>
      <c r="AK803" s="106" t="n">
        <v>0</v>
      </c>
      <c r="AL803" s="106" t="n">
        <v>0</v>
      </c>
      <c r="AM803" s="106" t="n">
        <v>1064092.452</v>
      </c>
      <c r="AN803" s="114" t="n">
        <v>120061.5048</v>
      </c>
      <c r="AO803" s="115" t="n">
        <v>231590.72559648</v>
      </c>
      <c r="AP803" s="112" t="n">
        <f aca="false" ca="false" dt2D="false" dtr="false" t="normal">+N803-'Приложение №2'!E803</f>
        <v>0</v>
      </c>
      <c r="AQ803" s="1" t="n">
        <v>579070.04</v>
      </c>
      <c r="AR803" s="3" t="n">
        <f aca="false" ca="false" dt2D="false" dtr="false" t="normal">+(K803*10+L803*20)*12*0.85</f>
        <v>137506.19999999998</v>
      </c>
      <c r="AS803" s="3" t="n">
        <f aca="false" ca="false" dt2D="false" dtr="false" t="normal">+(K803*10+L803*20)*12*30</f>
        <v>4853160</v>
      </c>
      <c r="AT803" s="9" t="n">
        <f aca="false" ca="false" dt2D="false" dtr="false" t="normal">+S803-AS803</f>
        <v>-4313519.63</v>
      </c>
      <c r="AU803" s="9" t="e">
        <f aca="false" ca="false" dt2D="false" dtr="false" t="normal">+P803-'[5]Приложение №1'!$P431</f>
        <v>#REF!</v>
      </c>
      <c r="AV803" s="9" t="e">
        <f aca="false" ca="false" dt2D="false" dtr="false" t="normal">+Q803-'[5]Приложение №1'!$Q431</f>
        <v>#REF!</v>
      </c>
      <c r="AW803" s="113" t="n">
        <f aca="false" ca="true" dt2D="false" dtr="false" t="normal">SUBTOTAL(9, AX803:BL803)</f>
        <v>7441099.712426</v>
      </c>
      <c r="AX803" s="106" t="n"/>
      <c r="AY803" s="106" t="n">
        <v>539640.37</v>
      </c>
      <c r="AZ803" s="106" t="n">
        <v>0</v>
      </c>
      <c r="BA803" s="106" t="n">
        <v>0</v>
      </c>
      <c r="BB803" s="106" t="n">
        <v>0</v>
      </c>
      <c r="BC803" s="106" t="n"/>
      <c r="BD803" s="106" t="n"/>
      <c r="BE803" s="106" t="n">
        <v>0</v>
      </c>
      <c r="BF803" s="106" t="n">
        <v>6713480.51</v>
      </c>
      <c r="BG803" s="106" t="n">
        <v>0</v>
      </c>
      <c r="BH803" s="106" t="n">
        <v>0</v>
      </c>
      <c r="BI803" s="106" t="n">
        <v>0</v>
      </c>
      <c r="BJ803" s="106" t="n"/>
      <c r="BK803" s="114" t="n"/>
      <c r="BL803" s="187" t="n">
        <v>187978.832426</v>
      </c>
      <c r="BM803" s="113" t="n">
        <f aca="false" ca="true" dt2D="false" dtr="false" t="normal">SUBTOTAL(9, BN803:CB803)</f>
        <v>7441099.712426</v>
      </c>
      <c r="BN803" s="106" t="n"/>
      <c r="BO803" s="106" t="n">
        <v>539640.37</v>
      </c>
      <c r="BP803" s="106" t="n">
        <v>0</v>
      </c>
      <c r="BQ803" s="106" t="n">
        <v>0</v>
      </c>
      <c r="BR803" s="106" t="n">
        <v>0</v>
      </c>
      <c r="BS803" s="106" t="n"/>
      <c r="BT803" s="106" t="n"/>
      <c r="BU803" s="106" t="n">
        <v>0</v>
      </c>
      <c r="BV803" s="106" t="n">
        <v>6713480.51</v>
      </c>
      <c r="BW803" s="106" t="n">
        <v>0</v>
      </c>
      <c r="BX803" s="106" t="n">
        <v>0</v>
      </c>
      <c r="BY803" s="106" t="n">
        <v>0</v>
      </c>
      <c r="BZ803" s="106" t="n"/>
      <c r="CA803" s="114" t="n"/>
      <c r="CB803" s="115" t="n">
        <v>187978.832426</v>
      </c>
      <c r="CD803" s="116" t="e">
        <f aca="false" ca="false" dt2D="false" dtr="false" t="normal">+CD802+1</f>
        <v>#REF!</v>
      </c>
      <c r="CE803" s="117" t="e">
        <f aca="false" ca="false" dt2D="false" dtr="false" t="normal">+CE802+1</f>
        <v>#REF!</v>
      </c>
      <c r="CF803" s="104" t="s">
        <v>428</v>
      </c>
      <c r="CG803" s="117" t="s">
        <v>509</v>
      </c>
      <c r="CH803" s="108" t="n">
        <f aca="false" ca="true" dt2D="false" dtr="false" t="normal">SUBTOTAL(9, CI803:CW803)</f>
        <v>727619.2</v>
      </c>
      <c r="CI803" s="106" t="n"/>
      <c r="CJ803" s="114" t="n">
        <v>539640.37</v>
      </c>
      <c r="CK803" s="114" t="n">
        <v>0</v>
      </c>
      <c r="CL803" s="114" t="n">
        <v>0</v>
      </c>
      <c r="CM803" s="114" t="n">
        <v>0</v>
      </c>
      <c r="CN803" s="114" t="n"/>
      <c r="CO803" s="106" t="n"/>
      <c r="CP803" s="114" t="n">
        <v>0</v>
      </c>
      <c r="CQ803" s="114" t="n"/>
      <c r="CR803" s="114" t="n">
        <v>0</v>
      </c>
      <c r="CS803" s="114" t="n">
        <v>0</v>
      </c>
      <c r="CT803" s="114" t="n">
        <v>0</v>
      </c>
      <c r="CU803" s="114" t="n"/>
      <c r="CV803" s="114" t="n"/>
      <c r="CW803" s="115" t="n">
        <v>187978.83</v>
      </c>
      <c r="CX803" s="3" t="n">
        <f aca="false" ca="false" dt2D="false" dtr="false" t="normal">+N803-CH803</f>
        <v>-187978.82999999996</v>
      </c>
      <c r="CZ803" s="117" t="s">
        <v>509</v>
      </c>
      <c r="DA803" s="113" t="n">
        <f aca="false" ca="true" dt2D="false" dtr="false" t="normal">SUBTOTAL(9, DB803:DP803)</f>
        <v>539640.37</v>
      </c>
      <c r="DB803" s="106" t="n"/>
      <c r="DC803" s="114" t="n">
        <v>539640.37</v>
      </c>
      <c r="DD803" s="114" t="n">
        <v>0</v>
      </c>
      <c r="DE803" s="114" t="n">
        <v>0</v>
      </c>
      <c r="DF803" s="114" t="n">
        <v>0</v>
      </c>
      <c r="DG803" s="114" t="n"/>
      <c r="DH803" s="106" t="n"/>
      <c r="DI803" s="114" t="n">
        <v>0</v>
      </c>
      <c r="DJ803" s="114" t="n"/>
      <c r="DK803" s="114" t="n">
        <v>0</v>
      </c>
      <c r="DL803" s="114" t="n">
        <v>0</v>
      </c>
      <c r="DM803" s="114" t="n">
        <v>0</v>
      </c>
      <c r="DN803" s="114" t="n"/>
      <c r="DO803" s="114" t="n"/>
      <c r="DP803" s="240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</row>
    <row customFormat="true" hidden="false" ht="15" outlineLevel="0" r="804" s="1">
      <c r="A804" s="183" t="n">
        <f aca="false" ca="false" dt2D="false" dtr="false" t="normal">+A803+1</f>
        <v>782</v>
      </c>
      <c r="B804" s="117" t="n">
        <f aca="false" ca="false" dt2D="false" dtr="false" t="normal">+B803+1</f>
        <v>322</v>
      </c>
      <c r="C804" s="117" t="s">
        <v>428</v>
      </c>
      <c r="D804" s="117" t="s">
        <v>746</v>
      </c>
      <c r="E804" s="201" t="n">
        <v>1989</v>
      </c>
      <c r="F804" s="201" t="n">
        <v>2013</v>
      </c>
      <c r="G804" s="201" t="s">
        <v>68</v>
      </c>
      <c r="H804" s="201" t="n">
        <v>4</v>
      </c>
      <c r="I804" s="201" t="n">
        <v>1</v>
      </c>
      <c r="J804" s="114" t="n">
        <v>875.7</v>
      </c>
      <c r="K804" s="114" t="n">
        <v>808.7</v>
      </c>
      <c r="L804" s="114" t="n">
        <v>67</v>
      </c>
      <c r="M804" s="202" t="n">
        <v>23</v>
      </c>
      <c r="N804" s="108" t="n">
        <f aca="false" ca="false" dt2D="false" dtr="false" t="normal">SUM(P804:T804)</f>
        <v>3560293.71</v>
      </c>
      <c r="O804" s="114" t="n"/>
      <c r="P804" s="114" t="n"/>
      <c r="Q804" s="114" t="n"/>
      <c r="R804" s="113" t="n">
        <v>517323.2</v>
      </c>
      <c r="S804" s="113" t="n">
        <v>2182564.69</v>
      </c>
      <c r="T804" s="114" t="n">
        <v>860405.82</v>
      </c>
      <c r="U804" s="114" t="n">
        <v>4085.37235742834</v>
      </c>
      <c r="V804" s="114" t="n">
        <v>4085.37235742834</v>
      </c>
      <c r="W804" s="110" t="n">
        <v>2024</v>
      </c>
      <c r="X804" s="9" t="e">
        <f aca="false" ca="false" dt2D="false" dtr="false" t="normal">+#REF!-'[9]Приложение №1'!$P1680</f>
        <v>#REF!</v>
      </c>
      <c r="Z804" s="113" t="n">
        <f aca="false" ca="false" dt2D="false" dtr="false" t="normal">SUM(AA804:AO804)</f>
        <v>3689249.02</v>
      </c>
      <c r="AA804" s="106" t="n">
        <v>1648298.3059179</v>
      </c>
      <c r="AB804" s="106" t="n">
        <v>761507.33362662</v>
      </c>
      <c r="AC804" s="106" t="n">
        <v>771439.24014654</v>
      </c>
      <c r="AD804" s="106" t="n">
        <v>0</v>
      </c>
      <c r="AE804" s="106" t="n">
        <v>0</v>
      </c>
      <c r="AF804" s="106" t="n"/>
      <c r="AG804" s="106" t="n">
        <v>75038.98282524</v>
      </c>
      <c r="AH804" s="106" t="n">
        <v>0</v>
      </c>
      <c r="AI804" s="106" t="n">
        <v>0</v>
      </c>
      <c r="AJ804" s="106" t="n">
        <v>0</v>
      </c>
      <c r="AK804" s="106" t="n">
        <v>0</v>
      </c>
      <c r="AL804" s="106" t="n">
        <v>0</v>
      </c>
      <c r="AM804" s="106" t="n">
        <v>324864.3343</v>
      </c>
      <c r="AN804" s="114" t="n">
        <v>36892.4902</v>
      </c>
      <c r="AO804" s="115" t="n">
        <v>71208.3329837</v>
      </c>
      <c r="AP804" s="112" t="n">
        <f aca="false" ca="false" dt2D="false" dtr="false" t="normal">+N804-'Приложение №2'!E804</f>
        <v>0</v>
      </c>
      <c r="AQ804" s="1" t="n">
        <v>399380.74</v>
      </c>
      <c r="AR804" s="3" t="n">
        <f aca="false" ca="false" dt2D="false" dtr="false" t="normal">+(K804*10+L804*20)*12*0.85</f>
        <v>96155.4</v>
      </c>
      <c r="AS804" s="3" t="n">
        <f aca="false" ca="false" dt2D="false" dtr="false" t="normal">+(K804*10+L804*20)*12*30</f>
        <v>3393720</v>
      </c>
      <c r="AT804" s="9" t="n">
        <f aca="false" ca="false" dt2D="false" dtr="false" t="normal">+S804-AS804</f>
        <v>-1211155.31</v>
      </c>
      <c r="AU804" s="9" t="e">
        <f aca="false" ca="false" dt2D="false" dtr="false" t="normal">+P804-'[5]Приложение №1'!$P432</f>
        <v>#REF!</v>
      </c>
      <c r="AV804" s="9" t="e">
        <f aca="false" ca="false" dt2D="false" dtr="false" t="normal">+Q804-'[5]Приложение №1'!$Q432</f>
        <v>#REF!</v>
      </c>
      <c r="AW804" s="113" t="n">
        <f aca="false" ca="true" dt2D="false" dtr="false" t="normal">SUBTOTAL(9, AX804:BL804)</f>
        <v>3577560.5734</v>
      </c>
      <c r="AX804" s="106" t="n">
        <v>1767665.613168</v>
      </c>
      <c r="AY804" s="106" t="n">
        <v>815853.271338</v>
      </c>
      <c r="AZ804" s="106" t="n">
        <v>842442.909798</v>
      </c>
      <c r="BA804" s="106" t="n">
        <v>0</v>
      </c>
      <c r="BB804" s="106" t="n">
        <v>0</v>
      </c>
      <c r="BC804" s="106" t="n"/>
      <c r="BD804" s="106" t="n">
        <v>75038.98282524</v>
      </c>
      <c r="BE804" s="106" t="n">
        <v>0</v>
      </c>
      <c r="BF804" s="106" t="n">
        <v>0</v>
      </c>
      <c r="BG804" s="106" t="n">
        <v>0</v>
      </c>
      <c r="BH804" s="106" t="n">
        <v>0</v>
      </c>
      <c r="BI804" s="106" t="n">
        <v>0</v>
      </c>
      <c r="BJ804" s="106" t="n"/>
      <c r="BK804" s="114" t="n"/>
      <c r="BL804" s="115" t="n">
        <v>76559.79627076</v>
      </c>
      <c r="BM804" s="113" t="n">
        <f aca="false" ca="true" dt2D="false" dtr="false" t="normal">SUBTOTAL(9, BN804:CB804)</f>
        <v>3577560.5734</v>
      </c>
      <c r="BN804" s="106" t="n">
        <v>1767665.613168</v>
      </c>
      <c r="BO804" s="106" t="n">
        <v>815853.271338</v>
      </c>
      <c r="BP804" s="106" t="n">
        <v>842442.909798</v>
      </c>
      <c r="BQ804" s="106" t="n">
        <v>0</v>
      </c>
      <c r="BR804" s="106" t="n">
        <v>0</v>
      </c>
      <c r="BS804" s="106" t="n"/>
      <c r="BT804" s="106" t="n">
        <v>75038.98282524</v>
      </c>
      <c r="BU804" s="106" t="n">
        <v>0</v>
      </c>
      <c r="BV804" s="106" t="n">
        <v>0</v>
      </c>
      <c r="BW804" s="106" t="n">
        <v>0</v>
      </c>
      <c r="BX804" s="106" t="n">
        <v>0</v>
      </c>
      <c r="BY804" s="106" t="n">
        <v>0</v>
      </c>
      <c r="BZ804" s="106" t="n"/>
      <c r="CA804" s="114" t="n"/>
      <c r="CB804" s="115" t="n">
        <v>76559.79627076</v>
      </c>
      <c r="CD804" s="116" t="e">
        <f aca="false" ca="false" dt2D="false" dtr="false" t="normal">+CD803+1</f>
        <v>#REF!</v>
      </c>
      <c r="CE804" s="117" t="e">
        <f aca="false" ca="false" dt2D="false" dtr="false" t="normal">+CE803+1</f>
        <v>#REF!</v>
      </c>
      <c r="CF804" s="104" t="s">
        <v>428</v>
      </c>
      <c r="CG804" s="104" t="s">
        <v>746</v>
      </c>
      <c r="CH804" s="108" t="n">
        <f aca="false" ca="true" dt2D="false" dtr="false" t="normal">SUBTOTAL(9, CI804:CW804)</f>
        <v>3636853.51</v>
      </c>
      <c r="CI804" s="106" t="n">
        <v>1901997.53</v>
      </c>
      <c r="CJ804" s="114" t="n">
        <v>815853.27</v>
      </c>
      <c r="CK804" s="114" t="n">
        <v>842442.91</v>
      </c>
      <c r="CL804" s="114" t="n">
        <v>0</v>
      </c>
      <c r="CM804" s="114" t="n">
        <v>0</v>
      </c>
      <c r="CN804" s="114" t="n"/>
      <c r="CO804" s="106" t="n"/>
      <c r="CP804" s="114" t="n">
        <v>0</v>
      </c>
      <c r="CQ804" s="114" t="n">
        <v>0</v>
      </c>
      <c r="CR804" s="114" t="n">
        <v>0</v>
      </c>
      <c r="CS804" s="114" t="n">
        <v>0</v>
      </c>
      <c r="CT804" s="114" t="n">
        <v>0</v>
      </c>
      <c r="CU804" s="114" t="n"/>
      <c r="CV804" s="114" t="n"/>
      <c r="CW804" s="115" t="n">
        <v>76559.8</v>
      </c>
      <c r="CX804" s="3" t="n">
        <f aca="false" ca="false" dt2D="false" dtr="false" t="normal">+N804-CH804</f>
        <v>-76559.79999999981</v>
      </c>
      <c r="CZ804" s="104" t="s">
        <v>746</v>
      </c>
      <c r="DA804" s="113" t="n">
        <f aca="false" ca="true" dt2D="false" dtr="false" t="normal">SUBTOTAL(9, DB804:DP804)</f>
        <v>3560293.71</v>
      </c>
      <c r="DB804" s="106" t="n">
        <v>1901997.53</v>
      </c>
      <c r="DC804" s="114" t="n">
        <v>815853.27</v>
      </c>
      <c r="DD804" s="114" t="n">
        <v>842442.91</v>
      </c>
      <c r="DE804" s="114" t="n">
        <v>0</v>
      </c>
      <c r="DF804" s="114" t="n">
        <v>0</v>
      </c>
      <c r="DG804" s="114" t="n"/>
      <c r="DH804" s="106" t="n"/>
      <c r="DI804" s="114" t="n">
        <v>0</v>
      </c>
      <c r="DJ804" s="114" t="n">
        <v>0</v>
      </c>
      <c r="DK804" s="114" t="n">
        <v>0</v>
      </c>
      <c r="DL804" s="114" t="n">
        <v>0</v>
      </c>
      <c r="DM804" s="114" t="n">
        <v>0</v>
      </c>
      <c r="DN804" s="114" t="n"/>
      <c r="DO804" s="114" t="n"/>
      <c r="DP804" s="240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</row>
    <row customFormat="true" hidden="false" ht="15" outlineLevel="0" r="805" s="1">
      <c r="A805" s="183" t="n">
        <f aca="false" ca="false" dt2D="false" dtr="false" t="normal">+A804+1</f>
        <v>783</v>
      </c>
      <c r="B805" s="117" t="n">
        <f aca="false" ca="false" dt2D="false" dtr="false" t="normal">+B804+1</f>
        <v>323</v>
      </c>
      <c r="C805" s="117" t="s">
        <v>428</v>
      </c>
      <c r="D805" s="117" t="s">
        <v>429</v>
      </c>
      <c r="E805" s="105" t="n">
        <v>1992</v>
      </c>
      <c r="F805" s="105" t="n">
        <v>2013</v>
      </c>
      <c r="G805" s="105" t="s">
        <v>68</v>
      </c>
      <c r="H805" s="105" t="n">
        <v>5</v>
      </c>
      <c r="I805" s="105" t="n">
        <v>3</v>
      </c>
      <c r="J805" s="106" t="n">
        <v>3334.6</v>
      </c>
      <c r="K805" s="106" t="n">
        <v>2949.9</v>
      </c>
      <c r="L805" s="106" t="n">
        <v>0</v>
      </c>
      <c r="M805" s="107" t="n">
        <v>91</v>
      </c>
      <c r="N805" s="108" t="n">
        <f aca="false" ca="false" dt2D="false" dtr="false" t="normal">SUM(P805:T805)</f>
        <v>15671022.44</v>
      </c>
      <c r="O805" s="114" t="n"/>
      <c r="P805" s="114" t="n"/>
      <c r="Q805" s="114" t="n"/>
      <c r="R805" s="113" t="n">
        <v>1250103.69</v>
      </c>
      <c r="S805" s="113" t="n">
        <v>9486135.27</v>
      </c>
      <c r="T805" s="113" t="n">
        <v>4934783.48</v>
      </c>
      <c r="U805" s="106" t="n">
        <v>6090.189213932</v>
      </c>
      <c r="V805" s="106" t="n">
        <v>6090.189213932</v>
      </c>
      <c r="W805" s="110" t="n">
        <v>2024</v>
      </c>
      <c r="X805" s="9" t="e">
        <f aca="false" ca="false" dt2D="false" dtr="false" t="normal">+#REF!-'[9]Приложение №1'!$P2086</f>
        <v>#REF!</v>
      </c>
      <c r="Z805" s="113" t="n">
        <f aca="false" ca="false" dt2D="false" dtr="false" t="normal">SUM(AA805:AO805)</f>
        <v>24232773.930000003</v>
      </c>
      <c r="AA805" s="106" t="n">
        <v>6144661.3698834</v>
      </c>
      <c r="AB805" s="106" t="n">
        <v>2838809.38080264</v>
      </c>
      <c r="AC805" s="106" t="n">
        <v>2875834.366944</v>
      </c>
      <c r="AD805" s="106" t="n">
        <v>1857721.65669048</v>
      </c>
      <c r="AE805" s="106" t="n">
        <v>0</v>
      </c>
      <c r="AF805" s="106" t="n"/>
      <c r="AG805" s="106" t="n">
        <v>0</v>
      </c>
      <c r="AH805" s="106" t="n">
        <v>0</v>
      </c>
      <c r="AI805" s="106" t="n">
        <v>0</v>
      </c>
      <c r="AJ805" s="106" t="n">
        <v>0</v>
      </c>
      <c r="AK805" s="106" t="n">
        <v>7458847.86990546</v>
      </c>
      <c r="AL805" s="106" t="n">
        <v>0</v>
      </c>
      <c r="AM805" s="106" t="n">
        <v>2351498.0564</v>
      </c>
      <c r="AN805" s="114" t="n">
        <v>242327.7393</v>
      </c>
      <c r="AO805" s="115" t="n">
        <v>463073.49007402</v>
      </c>
      <c r="AP805" s="112" t="n">
        <f aca="false" ca="false" dt2D="false" dtr="false" t="normal">+N805-'Приложение №2'!E813</f>
        <v>8282279.3</v>
      </c>
      <c r="AQ805" s="1" t="n">
        <v>1192628.99</v>
      </c>
      <c r="AR805" s="3" t="n">
        <f aca="false" ca="false" dt2D="false" dtr="false" t="normal">+(K805*10+L805*20)*12*0.85</f>
        <v>300889.8</v>
      </c>
      <c r="AS805" s="3" t="n">
        <f aca="false" ca="false" dt2D="false" dtr="false" t="normal">+(K805*10+L805*20)*12*30</f>
        <v>10619640</v>
      </c>
      <c r="AT805" s="9" t="n">
        <f aca="false" ca="false" dt2D="false" dtr="false" t="normal">+S805-AS805</f>
        <v>-1133504.7300000004</v>
      </c>
      <c r="AU805" s="9" t="e">
        <f aca="false" ca="false" dt2D="false" dtr="false" t="normal">+P805-'[5]Приложение №1'!$P838</f>
        <v>#REF!</v>
      </c>
      <c r="AV805" s="9" t="e">
        <f aca="false" ca="false" dt2D="false" dtr="false" t="normal">+Q805-'[5]Приложение №1'!$Q838</f>
        <v>#REF!</v>
      </c>
      <c r="AW805" s="113" t="n">
        <f aca="false" ca="true" dt2D="false" dtr="false" t="normal">SUBTOTAL(9, AX805:BL805)</f>
        <v>17965449.162178</v>
      </c>
      <c r="AX805" s="106" t="n">
        <v>6428842.39</v>
      </c>
      <c r="AY805" s="106" t="n">
        <v>1825378.91</v>
      </c>
      <c r="AZ805" s="106" t="n">
        <v>1830078.26</v>
      </c>
      <c r="BA805" s="106" t="n"/>
      <c r="BB805" s="106" t="n">
        <v>0</v>
      </c>
      <c r="BC805" s="106" t="n"/>
      <c r="BD805" s="106" t="n"/>
      <c r="BE805" s="106" t="n">
        <v>0</v>
      </c>
      <c r="BF805" s="106" t="n">
        <v>0</v>
      </c>
      <c r="BG805" s="106" t="n">
        <v>0</v>
      </c>
      <c r="BH805" s="106" t="n">
        <v>7416801.14</v>
      </c>
      <c r="BI805" s="106" t="n">
        <v>0</v>
      </c>
      <c r="BJ805" s="106" t="n"/>
      <c r="BK805" s="114" t="n"/>
      <c r="BL805" s="187" t="n">
        <v>464348.462178</v>
      </c>
      <c r="BM805" s="113" t="n">
        <f aca="false" ca="true" dt2D="false" dtr="false" t="normal">SUBTOTAL(9, BN805:CB805)</f>
        <v>17965449.162178</v>
      </c>
      <c r="BN805" s="106" t="n">
        <v>6428842.39</v>
      </c>
      <c r="BO805" s="106" t="n">
        <v>1825378.91</v>
      </c>
      <c r="BP805" s="106" t="n">
        <v>1830078.26</v>
      </c>
      <c r="BQ805" s="106" t="n"/>
      <c r="BR805" s="106" t="n">
        <v>0</v>
      </c>
      <c r="BS805" s="106" t="n"/>
      <c r="BT805" s="106" t="n"/>
      <c r="BU805" s="106" t="n">
        <v>0</v>
      </c>
      <c r="BV805" s="106" t="n">
        <v>0</v>
      </c>
      <c r="BW805" s="106" t="n">
        <v>0</v>
      </c>
      <c r="BX805" s="106" t="n">
        <v>7416801.14</v>
      </c>
      <c r="BY805" s="106" t="n">
        <v>0</v>
      </c>
      <c r="BZ805" s="106" t="n"/>
      <c r="CA805" s="114" t="n"/>
      <c r="CB805" s="115" t="n">
        <v>464348.462178</v>
      </c>
      <c r="CD805" s="116" t="e">
        <f aca="false" ca="false" dt2D="false" dtr="false" t="normal">+CD804+1</f>
        <v>#REF!</v>
      </c>
      <c r="CE805" s="117" t="e">
        <f aca="false" ca="false" dt2D="false" dtr="false" t="normal">+CE804+1</f>
        <v>#REF!</v>
      </c>
      <c r="CF805" s="104" t="s">
        <v>428</v>
      </c>
      <c r="CG805" s="117" t="s">
        <v>429</v>
      </c>
      <c r="CH805" s="108" t="n">
        <f aca="false" ca="true" dt2D="false" dtr="false" t="normal">SUBTOTAL(9, CI805:CW805)</f>
        <v>16135370.9</v>
      </c>
      <c r="CI805" s="106" t="n">
        <v>6428842.39</v>
      </c>
      <c r="CJ805" s="114" t="n">
        <v>1825378.91</v>
      </c>
      <c r="CK805" s="114" t="n"/>
      <c r="CL805" s="114" t="n"/>
      <c r="CM805" s="114" t="n">
        <v>0</v>
      </c>
      <c r="CN805" s="114" t="n"/>
      <c r="CO805" s="106" t="n"/>
      <c r="CP805" s="114" t="n">
        <v>0</v>
      </c>
      <c r="CQ805" s="114" t="n">
        <v>0</v>
      </c>
      <c r="CR805" s="114" t="n">
        <v>0</v>
      </c>
      <c r="CS805" s="114" t="n">
        <v>7416801.14</v>
      </c>
      <c r="CT805" s="114" t="n">
        <v>0</v>
      </c>
      <c r="CU805" s="114" t="n"/>
      <c r="CV805" s="114" t="n"/>
      <c r="CW805" s="115" t="n">
        <v>464348.46</v>
      </c>
      <c r="CX805" s="3" t="n">
        <f aca="false" ca="false" dt2D="false" dtr="false" t="normal">+N805-CH805</f>
        <v>-464348.4600000009</v>
      </c>
      <c r="CZ805" s="117" t="s">
        <v>429</v>
      </c>
      <c r="DA805" s="113" t="n">
        <f aca="false" ca="true" dt2D="false" dtr="false" t="normal">SUBTOTAL(9, DB805:DP805)</f>
        <v>15671022.44</v>
      </c>
      <c r="DB805" s="106" t="n">
        <v>6428842.39</v>
      </c>
      <c r="DC805" s="114" t="n">
        <v>1825378.91</v>
      </c>
      <c r="DD805" s="114" t="n"/>
      <c r="DE805" s="114" t="n"/>
      <c r="DF805" s="114" t="n">
        <v>0</v>
      </c>
      <c r="DG805" s="114" t="n"/>
      <c r="DH805" s="106" t="n"/>
      <c r="DI805" s="114" t="n">
        <v>0</v>
      </c>
      <c r="DJ805" s="114" t="n">
        <v>0</v>
      </c>
      <c r="DK805" s="114" t="n">
        <v>0</v>
      </c>
      <c r="DL805" s="114" t="n">
        <v>7416801.14</v>
      </c>
      <c r="DM805" s="114" t="n">
        <v>0</v>
      </c>
      <c r="DN805" s="114" t="n"/>
      <c r="DO805" s="114" t="n"/>
      <c r="DP805" s="240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</row>
    <row customFormat="true" hidden="false" ht="15" outlineLevel="0" r="806" s="1">
      <c r="A806" s="183" t="n">
        <f aca="false" ca="false" dt2D="false" dtr="false" t="normal">+A805+1</f>
        <v>784</v>
      </c>
      <c r="B806" s="117" t="n">
        <f aca="false" ca="false" dt2D="false" dtr="false" t="normal">+B805+1</f>
        <v>324</v>
      </c>
      <c r="C806" s="117" t="s">
        <v>428</v>
      </c>
      <c r="D806" s="117" t="s">
        <v>747</v>
      </c>
      <c r="E806" s="201" t="n">
        <v>1993</v>
      </c>
      <c r="F806" s="201" t="n">
        <v>2013</v>
      </c>
      <c r="G806" s="201" t="s">
        <v>68</v>
      </c>
      <c r="H806" s="201" t="n">
        <v>4</v>
      </c>
      <c r="I806" s="201" t="n">
        <v>2</v>
      </c>
      <c r="J806" s="114" t="n">
        <v>1957.1</v>
      </c>
      <c r="K806" s="114" t="n">
        <v>1782.2</v>
      </c>
      <c r="L806" s="114" t="n">
        <v>0</v>
      </c>
      <c r="M806" s="202" t="n">
        <v>51</v>
      </c>
      <c r="N806" s="108" t="n">
        <f aca="false" ca="false" dt2D="false" dtr="false" t="normal">SUM(P806:T806)</f>
        <v>7602627.300000001</v>
      </c>
      <c r="O806" s="114" t="n"/>
      <c r="P806" s="113" t="n"/>
      <c r="Q806" s="114" t="n"/>
      <c r="R806" s="113" t="n">
        <v>863657.63</v>
      </c>
      <c r="S806" s="113" t="n">
        <v>6249665.94</v>
      </c>
      <c r="T806" s="3" t="n">
        <v>489303.73</v>
      </c>
      <c r="U806" s="114" t="n">
        <v>4359.15236785995</v>
      </c>
      <c r="V806" s="114" t="n">
        <v>4359.15236785995</v>
      </c>
      <c r="W806" s="110" t="n">
        <v>2024</v>
      </c>
      <c r="X806" s="9" t="e">
        <f aca="false" ca="false" dt2D="false" dtr="false" t="normal">+#REF!-'[9]Приложение №1'!$P1251</f>
        <v>#REF!</v>
      </c>
      <c r="Z806" s="113" t="n">
        <f aca="false" ca="false" dt2D="false" dtr="false" t="normal">SUM(AA806:AO806)</f>
        <v>9192230.629999999</v>
      </c>
      <c r="AA806" s="106" t="n">
        <v>3604821.641694</v>
      </c>
      <c r="AB806" s="106" t="n">
        <v>1665413.416611</v>
      </c>
      <c r="AC806" s="106" t="n">
        <v>1687134.46937952</v>
      </c>
      <c r="AD806" s="106" t="n">
        <v>1089849.356883</v>
      </c>
      <c r="AE806" s="106" t="n">
        <v>0</v>
      </c>
      <c r="AF806" s="106" t="n"/>
      <c r="AG806" s="106" t="n">
        <v>0</v>
      </c>
      <c r="AH806" s="106" t="n">
        <v>0</v>
      </c>
      <c r="AI806" s="106" t="n">
        <v>0</v>
      </c>
      <c r="AJ806" s="106" t="n">
        <v>0</v>
      </c>
      <c r="AK806" s="106" t="n">
        <v>0</v>
      </c>
      <c r="AL806" s="106" t="n">
        <v>0</v>
      </c>
      <c r="AM806" s="106" t="n">
        <v>877113.0605</v>
      </c>
      <c r="AN806" s="114" t="n">
        <v>91922.3063</v>
      </c>
      <c r="AO806" s="115" t="n">
        <v>175976.37863248</v>
      </c>
      <c r="AP806" s="112" t="n">
        <f aca="false" ca="false" dt2D="false" dtr="false" t="normal">+N806-'Приложение №2'!E806</f>
        <v>0</v>
      </c>
      <c r="AQ806" s="1" t="n">
        <v>681873.22</v>
      </c>
      <c r="AR806" s="3" t="n">
        <f aca="false" ca="false" dt2D="false" dtr="false" t="normal">+(K806*10+L806*20)*12*0.85</f>
        <v>181784.4</v>
      </c>
      <c r="AS806" s="3" t="n">
        <f aca="false" ca="false" dt2D="false" dtr="false" t="normal">+(K806*10+L806*20)*12*30</f>
        <v>6415920</v>
      </c>
      <c r="AT806" s="9" t="n">
        <f aca="false" ca="false" dt2D="false" dtr="false" t="normal">+S806-AS806</f>
        <v>-166254.0599999996</v>
      </c>
      <c r="AU806" s="9" t="e">
        <f aca="false" ca="false" dt2D="false" dtr="false" t="normal">+P806-'[5]Приложение №1'!$P434</f>
        <v>#REF!</v>
      </c>
      <c r="AV806" s="9" t="e">
        <f aca="false" ca="false" dt2D="false" dtr="false" t="normal">+Q806-'[5]Приложение №1'!$Q434</f>
        <v>#REF!</v>
      </c>
      <c r="AW806" s="113" t="n">
        <f aca="false" ca="true" dt2D="false" dtr="false" t="normal">SUBTOTAL(9, AX806:BL806)</f>
        <v>7768881.35</v>
      </c>
      <c r="AX806" s="106" t="n">
        <v>3912372.017862</v>
      </c>
      <c r="AY806" s="106" t="n">
        <v>1821795.805494</v>
      </c>
      <c r="AZ806" s="106" t="n">
        <v>1868459.465754</v>
      </c>
      <c r="BA806" s="106" t="n"/>
      <c r="BB806" s="106" t="n">
        <v>0</v>
      </c>
      <c r="BC806" s="106" t="n"/>
      <c r="BD806" s="106" t="n"/>
      <c r="BE806" s="106" t="n">
        <v>0</v>
      </c>
      <c r="BF806" s="106" t="n">
        <v>0</v>
      </c>
      <c r="BG806" s="106" t="n">
        <v>0</v>
      </c>
      <c r="BH806" s="106" t="n">
        <v>0</v>
      </c>
      <c r="BI806" s="106" t="n">
        <v>0</v>
      </c>
      <c r="BJ806" s="106" t="n"/>
      <c r="BK806" s="114" t="n"/>
      <c r="BL806" s="115" t="n">
        <v>166254.06089</v>
      </c>
      <c r="BM806" s="113" t="n">
        <f aca="false" ca="true" dt2D="false" dtr="false" t="normal">SUBTOTAL(9, BN806:CB806)</f>
        <v>7768881.35</v>
      </c>
      <c r="BN806" s="106" t="n">
        <v>3912372.017862</v>
      </c>
      <c r="BO806" s="106" t="n">
        <v>1821795.805494</v>
      </c>
      <c r="BP806" s="106" t="n">
        <v>1868459.465754</v>
      </c>
      <c r="BQ806" s="106" t="n"/>
      <c r="BR806" s="106" t="n">
        <v>0</v>
      </c>
      <c r="BS806" s="106" t="n"/>
      <c r="BT806" s="106" t="n"/>
      <c r="BU806" s="106" t="n">
        <v>0</v>
      </c>
      <c r="BV806" s="106" t="n">
        <v>0</v>
      </c>
      <c r="BW806" s="106" t="n">
        <v>0</v>
      </c>
      <c r="BX806" s="106" t="n">
        <v>0</v>
      </c>
      <c r="BY806" s="106" t="n">
        <v>0</v>
      </c>
      <c r="BZ806" s="106" t="n"/>
      <c r="CA806" s="114" t="n"/>
      <c r="CB806" s="115" t="n">
        <v>166254.06089</v>
      </c>
      <c r="CD806" s="116" t="e">
        <f aca="false" ca="false" dt2D="false" dtr="false" t="normal">+CD805+1</f>
        <v>#REF!</v>
      </c>
      <c r="CE806" s="117" t="e">
        <f aca="false" ca="false" dt2D="false" dtr="false" t="normal">+CE805+1</f>
        <v>#REF!</v>
      </c>
      <c r="CF806" s="104" t="s">
        <v>428</v>
      </c>
      <c r="CG806" s="104" t="s">
        <v>747</v>
      </c>
      <c r="CH806" s="108" t="n">
        <f aca="false" ca="true" dt2D="false" dtr="false" t="normal">SUBTOTAL(9, CI806:CW806)</f>
        <v>7768881.359999999</v>
      </c>
      <c r="CI806" s="106" t="n">
        <v>3912372.02</v>
      </c>
      <c r="CJ806" s="114" t="n">
        <v>1821795.81</v>
      </c>
      <c r="CK806" s="114" t="n">
        <v>1868459.47</v>
      </c>
      <c r="CL806" s="114" t="n"/>
      <c r="CM806" s="114" t="n">
        <v>0</v>
      </c>
      <c r="CN806" s="114" t="n"/>
      <c r="CO806" s="106" t="n"/>
      <c r="CP806" s="114" t="n">
        <v>0</v>
      </c>
      <c r="CQ806" s="114" t="n">
        <v>0</v>
      </c>
      <c r="CR806" s="114" t="n">
        <v>0</v>
      </c>
      <c r="CS806" s="114" t="n">
        <v>0</v>
      </c>
      <c r="CT806" s="114" t="n">
        <v>0</v>
      </c>
      <c r="CU806" s="114" t="n"/>
      <c r="CV806" s="114" t="n"/>
      <c r="CW806" s="115" t="n">
        <v>166254.06</v>
      </c>
      <c r="CX806" s="3" t="n">
        <f aca="false" ca="false" dt2D="false" dtr="false" t="normal">+N806-CH806</f>
        <v>-166254.05999999866</v>
      </c>
      <c r="CZ806" s="104" t="s">
        <v>747</v>
      </c>
      <c r="DA806" s="113" t="n">
        <f aca="false" ca="true" dt2D="false" dtr="false" t="normal">SUBTOTAL(9, DB806:DP806)</f>
        <v>7602627.3</v>
      </c>
      <c r="DB806" s="106" t="n">
        <v>3912372.02</v>
      </c>
      <c r="DC806" s="114" t="n">
        <v>1821795.81</v>
      </c>
      <c r="DD806" s="114" t="n">
        <v>1868459.47</v>
      </c>
      <c r="DE806" s="114" t="n"/>
      <c r="DF806" s="114" t="n">
        <v>0</v>
      </c>
      <c r="DG806" s="114" t="n"/>
      <c r="DH806" s="106" t="n"/>
      <c r="DI806" s="114" t="n">
        <v>0</v>
      </c>
      <c r="DJ806" s="114" t="n">
        <v>0</v>
      </c>
      <c r="DK806" s="114" t="n">
        <v>0</v>
      </c>
      <c r="DL806" s="114" t="n">
        <v>0</v>
      </c>
      <c r="DM806" s="114" t="n">
        <v>0</v>
      </c>
      <c r="DN806" s="114" t="n"/>
      <c r="DO806" s="114" t="n"/>
      <c r="DP806" s="240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</row>
    <row customFormat="true" hidden="false" ht="15" outlineLevel="0" r="807" s="1">
      <c r="A807" s="183" t="n">
        <f aca="false" ca="false" dt2D="false" dtr="false" t="normal">+A806+1</f>
        <v>785</v>
      </c>
      <c r="B807" s="117" t="n">
        <f aca="false" ca="false" dt2D="false" dtr="false" t="normal">+B806+1</f>
        <v>325</v>
      </c>
      <c r="C807" s="117" t="s">
        <v>428</v>
      </c>
      <c r="D807" s="117" t="s">
        <v>748</v>
      </c>
      <c r="E807" s="201" t="n">
        <v>1995</v>
      </c>
      <c r="F807" s="201" t="n">
        <v>2013</v>
      </c>
      <c r="G807" s="201" t="s">
        <v>68</v>
      </c>
      <c r="H807" s="201" t="n">
        <v>5</v>
      </c>
      <c r="I807" s="201" t="n">
        <v>3</v>
      </c>
      <c r="J807" s="114" t="n">
        <v>3373.2</v>
      </c>
      <c r="K807" s="114" t="n">
        <v>2966.3</v>
      </c>
      <c r="L807" s="114" t="n">
        <v>0</v>
      </c>
      <c r="M807" s="202" t="n">
        <v>107</v>
      </c>
      <c r="N807" s="108" t="n">
        <f aca="false" ca="false" dt2D="false" dtr="false" t="normal">SUM(P807:T807)</f>
        <v>9946531.61</v>
      </c>
      <c r="O807" s="114" t="n"/>
      <c r="P807" s="114" t="n"/>
      <c r="Q807" s="114" t="n"/>
      <c r="R807" s="113" t="n">
        <v>1643881.39</v>
      </c>
      <c r="S807" s="113" t="n">
        <v>8302650.22</v>
      </c>
      <c r="T807" s="114" t="n"/>
      <c r="U807" s="114" t="n">
        <v>3426.50511074402</v>
      </c>
      <c r="V807" s="114" t="n">
        <v>3426.50511074402</v>
      </c>
      <c r="W807" s="110" t="n">
        <v>2024</v>
      </c>
      <c r="X807" s="9" t="e">
        <f aca="false" ca="false" dt2D="false" dtr="false" t="normal">+#REF!-'[9]Приложение №1'!$P1252</f>
        <v>#REF!</v>
      </c>
      <c r="Z807" s="113" t="n">
        <f aca="false" ca="false" dt2D="false" dtr="false" t="normal">SUM(AA807:AO807)</f>
        <v>12550430.99</v>
      </c>
      <c r="AA807" s="106" t="n">
        <v>6235881.25191486</v>
      </c>
      <c r="AB807" s="106" t="n">
        <v>2880952.60651086</v>
      </c>
      <c r="AC807" s="106" t="n">
        <v>0</v>
      </c>
      <c r="AD807" s="106" t="n">
        <v>1885300.26106884</v>
      </c>
      <c r="AE807" s="106" t="n">
        <v>0</v>
      </c>
      <c r="AF807" s="106" t="n"/>
      <c r="AG807" s="106" t="n">
        <v>0</v>
      </c>
      <c r="AH807" s="106" t="n">
        <v>0</v>
      </c>
      <c r="AI807" s="106" t="n">
        <v>0</v>
      </c>
      <c r="AJ807" s="106" t="n">
        <v>0</v>
      </c>
      <c r="AK807" s="106" t="n">
        <v>0</v>
      </c>
      <c r="AL807" s="106" t="n">
        <v>0</v>
      </c>
      <c r="AM807" s="106" t="n">
        <v>1182198.1705</v>
      </c>
      <c r="AN807" s="114" t="n">
        <v>125504.3099</v>
      </c>
      <c r="AO807" s="115" t="n">
        <v>240594.39010544</v>
      </c>
      <c r="AP807" s="112" t="n">
        <f aca="false" ca="false" dt2D="false" dtr="false" t="normal">+N807-'Приложение №2'!E807</f>
        <v>0</v>
      </c>
      <c r="AQ807" s="1" t="n">
        <v>1341318.79</v>
      </c>
      <c r="AR807" s="3" t="n">
        <f aca="false" ca="false" dt2D="false" dtr="false" t="normal">+(K807*10+L807*20)*12*0.85</f>
        <v>302562.6</v>
      </c>
      <c r="AS807" s="3" t="n">
        <f aca="false" ca="false" dt2D="false" dtr="false" t="normal">+(K807*10+L807*20)*12*30</f>
        <v>10678680</v>
      </c>
      <c r="AT807" s="9" t="n">
        <f aca="false" ca="false" dt2D="false" dtr="false" t="normal">+S807-AS807</f>
        <v>-2376029.7800000003</v>
      </c>
      <c r="AU807" s="9" t="e">
        <f aca="false" ca="false" dt2D="false" dtr="false" t="normal">+P807-'[5]Приложение №1'!$P435</f>
        <v>#REF!</v>
      </c>
      <c r="AV807" s="9" t="e">
        <f aca="false" ca="false" dt2D="false" dtr="false" t="normal">+Q807-'[5]Приложение №1'!$Q435</f>
        <v>#REF!</v>
      </c>
      <c r="AW807" s="113" t="n">
        <f aca="false" ca="true" dt2D="false" dtr="false" t="normal">SUBTOTAL(9, AX807:BL807)</f>
        <v>10164042.110000001</v>
      </c>
      <c r="AX807" s="106" t="n">
        <v>6784576.150674</v>
      </c>
      <c r="AY807" s="106" t="n">
        <v>3161955.458172</v>
      </c>
      <c r="AZ807" s="106" t="n">
        <v>0</v>
      </c>
      <c r="BA807" s="106" t="n"/>
      <c r="BB807" s="106" t="n">
        <v>0</v>
      </c>
      <c r="BC807" s="106" t="n"/>
      <c r="BD807" s="106" t="n"/>
      <c r="BE807" s="106" t="n">
        <v>0</v>
      </c>
      <c r="BF807" s="106" t="n">
        <v>0</v>
      </c>
      <c r="BG807" s="106" t="n">
        <v>0</v>
      </c>
      <c r="BH807" s="106" t="n">
        <v>0</v>
      </c>
      <c r="BI807" s="106" t="n">
        <v>0</v>
      </c>
      <c r="BJ807" s="106" t="n"/>
      <c r="BK807" s="114" t="n"/>
      <c r="BL807" s="115" t="n">
        <v>217510.501154</v>
      </c>
      <c r="BM807" s="113" t="n">
        <f aca="false" ca="true" dt2D="false" dtr="false" t="normal">SUBTOTAL(9, BN807:CB807)</f>
        <v>10164042.110000001</v>
      </c>
      <c r="BN807" s="106" t="n">
        <v>6784576.150674</v>
      </c>
      <c r="BO807" s="106" t="n">
        <v>3161955.458172</v>
      </c>
      <c r="BP807" s="106" t="n">
        <v>0</v>
      </c>
      <c r="BQ807" s="106" t="n"/>
      <c r="BR807" s="106" t="n">
        <v>0</v>
      </c>
      <c r="BS807" s="106" t="n"/>
      <c r="BT807" s="106" t="n"/>
      <c r="BU807" s="106" t="n">
        <v>0</v>
      </c>
      <c r="BV807" s="106" t="n">
        <v>0</v>
      </c>
      <c r="BW807" s="106" t="n">
        <v>0</v>
      </c>
      <c r="BX807" s="106" t="n">
        <v>0</v>
      </c>
      <c r="BY807" s="106" t="n">
        <v>0</v>
      </c>
      <c r="BZ807" s="106" t="n"/>
      <c r="CA807" s="114" t="n"/>
      <c r="CB807" s="115" t="n">
        <v>217510.501154</v>
      </c>
      <c r="CD807" s="116" t="e">
        <f aca="false" ca="false" dt2D="false" dtr="false" t="normal">+CD806+1</f>
        <v>#REF!</v>
      </c>
      <c r="CE807" s="117" t="e">
        <f aca="false" ca="false" dt2D="false" dtr="false" t="normal">+CE806+1</f>
        <v>#REF!</v>
      </c>
      <c r="CF807" s="104" t="s">
        <v>428</v>
      </c>
      <c r="CG807" s="104" t="s">
        <v>748</v>
      </c>
      <c r="CH807" s="108" t="n">
        <f aca="false" ca="true" dt2D="false" dtr="false" t="normal">SUBTOTAL(9, CI807:CW807)</f>
        <v>10164042.11</v>
      </c>
      <c r="CI807" s="106" t="n">
        <v>6784576.15</v>
      </c>
      <c r="CJ807" s="114" t="n">
        <v>3161955.46</v>
      </c>
      <c r="CK807" s="114" t="n">
        <v>0</v>
      </c>
      <c r="CL807" s="114" t="n"/>
      <c r="CM807" s="114" t="n">
        <v>0</v>
      </c>
      <c r="CN807" s="114" t="n"/>
      <c r="CO807" s="106" t="n"/>
      <c r="CP807" s="114" t="n">
        <v>0</v>
      </c>
      <c r="CQ807" s="114" t="n">
        <v>0</v>
      </c>
      <c r="CR807" s="114" t="n">
        <v>0</v>
      </c>
      <c r="CS807" s="114" t="n">
        <v>0</v>
      </c>
      <c r="CT807" s="114" t="n">
        <v>0</v>
      </c>
      <c r="CU807" s="114" t="n"/>
      <c r="CV807" s="114" t="n"/>
      <c r="CW807" s="115" t="n">
        <v>217510.5</v>
      </c>
      <c r="CX807" s="3" t="n">
        <f aca="false" ca="false" dt2D="false" dtr="false" t="normal">+N807-CH807</f>
        <v>-217510.5</v>
      </c>
      <c r="CZ807" s="104" t="s">
        <v>748</v>
      </c>
      <c r="DA807" s="113" t="n">
        <f aca="false" ca="true" dt2D="false" dtr="false" t="normal">SUBTOTAL(9, DB807:DP807)</f>
        <v>9946531.61</v>
      </c>
      <c r="DB807" s="106" t="n">
        <v>6784576.15</v>
      </c>
      <c r="DC807" s="114" t="n">
        <v>3161955.46</v>
      </c>
      <c r="DD807" s="114" t="n">
        <v>0</v>
      </c>
      <c r="DE807" s="114" t="n"/>
      <c r="DF807" s="114" t="n">
        <v>0</v>
      </c>
      <c r="DG807" s="114" t="n"/>
      <c r="DH807" s="106" t="n"/>
      <c r="DI807" s="114" t="n">
        <v>0</v>
      </c>
      <c r="DJ807" s="114" t="n">
        <v>0</v>
      </c>
      <c r="DK807" s="114" t="n">
        <v>0</v>
      </c>
      <c r="DL807" s="114" t="n">
        <v>0</v>
      </c>
      <c r="DM807" s="114" t="n">
        <v>0</v>
      </c>
      <c r="DN807" s="114" t="n"/>
      <c r="DO807" s="114" t="n"/>
      <c r="DP807" s="240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</row>
    <row customFormat="true" hidden="false" ht="15" outlineLevel="0" r="808" s="129">
      <c r="A808" s="183" t="n">
        <f aca="false" ca="false" dt2D="false" dtr="false" t="normal">+A807+1</f>
        <v>786</v>
      </c>
      <c r="B808" s="117" t="n">
        <f aca="false" ca="false" dt2D="false" dtr="false" t="normal">+B807+1</f>
        <v>326</v>
      </c>
      <c r="C808" s="117" t="s">
        <v>430</v>
      </c>
      <c r="D808" s="117" t="s">
        <v>431</v>
      </c>
      <c r="E808" s="201" t="s">
        <v>432</v>
      </c>
      <c r="F808" s="201" t="s">
        <v>432</v>
      </c>
      <c r="G808" s="201" t="s">
        <v>68</v>
      </c>
      <c r="H808" s="201" t="s">
        <v>187</v>
      </c>
      <c r="I808" s="201" t="s">
        <v>187</v>
      </c>
      <c r="J808" s="114" t="n">
        <v>2120.65</v>
      </c>
      <c r="K808" s="114" t="n">
        <v>1602.1</v>
      </c>
      <c r="L808" s="114" t="n">
        <v>58.3</v>
      </c>
      <c r="M808" s="202" t="n">
        <v>76</v>
      </c>
      <c r="N808" s="108" t="n">
        <f aca="false" ca="false" dt2D="false" dtr="false" t="normal">SUM(P808:T808)</f>
        <v>9925193.08</v>
      </c>
      <c r="O808" s="114" t="n">
        <v>0</v>
      </c>
      <c r="P808" s="113" t="n">
        <v>364389.9</v>
      </c>
      <c r="Q808" s="114" t="n"/>
      <c r="R808" s="114" t="n"/>
      <c r="S808" s="113" t="n">
        <v>1202036</v>
      </c>
      <c r="T808" s="113" t="n">
        <v>8358767.18</v>
      </c>
      <c r="U808" s="114" t="n">
        <v>6468.36085620952</v>
      </c>
      <c r="V808" s="114" t="n">
        <v>1413.283020064</v>
      </c>
      <c r="W808" s="110" t="n">
        <v>2024</v>
      </c>
      <c r="X808" s="129" t="n">
        <v>421077.31</v>
      </c>
      <c r="Y808" s="129" t="n">
        <f aca="false" ca="false" dt2D="false" dtr="false" t="normal">+(K808*9.1+L808*18.19)*12</f>
        <v>187675.044</v>
      </c>
      <c r="AA808" s="130" t="e">
        <f aca="false" ca="false" dt2D="false" dtr="false" t="normal">+N808-'[8]Приложение № 2'!E659</f>
        <v>#REF!</v>
      </c>
      <c r="AD808" s="130" t="e">
        <f aca="false" ca="false" dt2D="false" dtr="false" t="normal">+N808-'[8]Приложение № 2'!E659</f>
        <v>#REF!</v>
      </c>
      <c r="AP808" s="112" t="n">
        <f aca="false" ca="false" dt2D="false" dtr="false" t="normal">+N808-'Приложение №2'!E808</f>
        <v>0</v>
      </c>
      <c r="AQ808" s="121" t="n">
        <f aca="false" ca="false" dt2D="false" dtr="false" t="normal">687400.81-R358</f>
        <v>-184072.7699999999</v>
      </c>
      <c r="AR808" s="3" t="n">
        <f aca="false" ca="false" dt2D="false" dtr="false" t="normal">+(K808*10.5+L808*21)*12*0.85</f>
        <v>184072.77</v>
      </c>
      <c r="AS808" s="3" t="n">
        <f aca="false" ca="false" dt2D="false" dtr="false" t="normal">+(K808*10.5+L808*21)*12*30-S358</f>
        <v>4764160.3999999985</v>
      </c>
      <c r="AT808" s="9" t="n">
        <f aca="false" ca="false" dt2D="false" dtr="false" t="normal">+S808-AS808</f>
        <v>-3562124.3999999985</v>
      </c>
      <c r="AU808" s="9" t="e">
        <f aca="false" ca="false" dt2D="false" dtr="false" t="normal">+P808-'[5]Приложение №1'!$P693</f>
        <v>#REF!</v>
      </c>
      <c r="AV808" s="9" t="e">
        <f aca="false" ca="false" dt2D="false" dtr="false" t="normal">+Q808-'[5]Приложение №1'!$Q693</f>
        <v>#REF!</v>
      </c>
      <c r="AW808" s="186" t="n">
        <f aca="false" ca="true" dt2D="false" dtr="false" t="normal">SUBTOTAL(9, AX808:BL808)</f>
        <v>10362960.927733265</v>
      </c>
      <c r="AX808" s="106" t="n">
        <v>6974205.86</v>
      </c>
      <c r="AY808" s="106" t="n"/>
      <c r="AZ808" s="106" t="n"/>
      <c r="BA808" s="106" t="n">
        <v>3042760.85</v>
      </c>
      <c r="BB808" s="106" t="n">
        <v>0</v>
      </c>
      <c r="BC808" s="106" t="n"/>
      <c r="BD808" s="106" t="n">
        <v>189247.51092297</v>
      </c>
      <c r="BE808" s="106" t="n"/>
      <c r="BF808" s="106" t="n"/>
      <c r="BG808" s="106" t="n"/>
      <c r="BH808" s="106" t="n"/>
      <c r="BI808" s="106" t="n"/>
      <c r="BJ808" s="106" t="n"/>
      <c r="BK808" s="114" t="n"/>
      <c r="BL808" s="115" t="n">
        <v>156746.706810293</v>
      </c>
      <c r="BM808" s="186" t="n">
        <f aca="false" ca="true" dt2D="false" dtr="false" t="normal">SUBTOTAL(9, BN808:CB808)</f>
        <v>10362960.927733265</v>
      </c>
      <c r="BN808" s="106" t="n">
        <v>6974205.86</v>
      </c>
      <c r="BO808" s="106" t="n"/>
      <c r="BP808" s="106" t="n"/>
      <c r="BQ808" s="106" t="n">
        <v>3042760.85</v>
      </c>
      <c r="BR808" s="106" t="n">
        <v>0</v>
      </c>
      <c r="BS808" s="106" t="n"/>
      <c r="BT808" s="106" t="n">
        <v>189247.51092297</v>
      </c>
      <c r="BU808" s="106" t="n"/>
      <c r="BV808" s="106" t="n"/>
      <c r="BW808" s="106" t="n"/>
      <c r="BX808" s="106" t="n"/>
      <c r="BY808" s="106" t="n"/>
      <c r="BZ808" s="106" t="n"/>
      <c r="CA808" s="114" t="n"/>
      <c r="CB808" s="115" t="n">
        <v>156746.706810293</v>
      </c>
      <c r="CD808" s="116" t="e">
        <f aca="false" ca="false" dt2D="false" dtr="false" t="normal">+CD807+1</f>
        <v>#REF!</v>
      </c>
      <c r="CE808" s="117" t="e">
        <f aca="false" ca="false" dt2D="false" dtr="false" t="normal">+CE807+1</f>
        <v>#REF!</v>
      </c>
      <c r="CF808" s="104" t="s">
        <v>430</v>
      </c>
      <c r="CG808" s="104" t="s">
        <v>431</v>
      </c>
      <c r="CH808" s="232" t="n">
        <f aca="false" ca="true" dt2D="false" dtr="false" t="normal">SUBTOTAL(9, CI808:CW808)</f>
        <v>10081939.790000001</v>
      </c>
      <c r="CI808" s="192" t="n">
        <v>6920247.88</v>
      </c>
      <c r="CJ808" s="114" t="n"/>
      <c r="CK808" s="114" t="n"/>
      <c r="CL808" s="243" t="n">
        <v>3004945.2</v>
      </c>
      <c r="CM808" s="114" t="n">
        <v>0</v>
      </c>
      <c r="CN808" s="114" t="n"/>
      <c r="CO808" s="106" t="n"/>
      <c r="CP808" s="114" t="n"/>
      <c r="CQ808" s="114" t="n"/>
      <c r="CR808" s="114" t="n"/>
      <c r="CS808" s="114" t="n"/>
      <c r="CT808" s="114" t="n"/>
      <c r="CU808" s="114" t="n"/>
      <c r="CV808" s="114" t="n"/>
      <c r="CW808" s="115" t="n">
        <v>156746.71</v>
      </c>
      <c r="CX808" s="3" t="n">
        <f aca="false" ca="false" dt2D="false" dtr="false" t="normal">+N808-CH808</f>
        <v>-156746.7100000009</v>
      </c>
      <c r="CZ808" s="104" t="s">
        <v>431</v>
      </c>
      <c r="DA808" s="186" t="n">
        <f aca="false" ca="true" dt2D="false" dtr="false" t="normal">SUBTOTAL(9, DB808:DP808)</f>
        <v>9925193.08</v>
      </c>
      <c r="DB808" s="192" t="n">
        <v>6920247.88</v>
      </c>
      <c r="DC808" s="114" t="n"/>
      <c r="DD808" s="114" t="n"/>
      <c r="DE808" s="243" t="n">
        <v>3004945.2</v>
      </c>
      <c r="DF808" s="114" t="n">
        <v>0</v>
      </c>
      <c r="DG808" s="114" t="n"/>
      <c r="DH808" s="106" t="n"/>
      <c r="DI808" s="114" t="n"/>
      <c r="DJ808" s="114" t="n"/>
      <c r="DK808" s="114" t="n"/>
      <c r="DL808" s="114" t="n"/>
      <c r="DM808" s="114" t="n"/>
      <c r="DN808" s="114" t="n"/>
      <c r="DO808" s="114" t="n"/>
      <c r="DP808" s="240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</row>
    <row customFormat="true" hidden="false" ht="15" outlineLevel="0" r="809" s="129">
      <c r="A809" s="183" t="n">
        <f aca="false" ca="false" dt2D="false" dtr="false" t="normal">+A808+1</f>
        <v>787</v>
      </c>
      <c r="B809" s="117" t="n">
        <f aca="false" ca="false" dt2D="false" dtr="false" t="normal">+B808+1</f>
        <v>327</v>
      </c>
      <c r="C809" s="117" t="s">
        <v>430</v>
      </c>
      <c r="D809" s="117" t="s">
        <v>433</v>
      </c>
      <c r="E809" s="201" t="s">
        <v>432</v>
      </c>
      <c r="F809" s="201" t="s">
        <v>432</v>
      </c>
      <c r="G809" s="201" t="s">
        <v>68</v>
      </c>
      <c r="H809" s="201" t="s">
        <v>187</v>
      </c>
      <c r="I809" s="201" t="s">
        <v>187</v>
      </c>
      <c r="J809" s="114" t="n">
        <v>2747.6</v>
      </c>
      <c r="K809" s="114" t="n">
        <v>2270.63</v>
      </c>
      <c r="L809" s="114" t="n">
        <v>217.6</v>
      </c>
      <c r="M809" s="202" t="n">
        <v>95</v>
      </c>
      <c r="N809" s="108" t="n">
        <f aca="false" ca="false" dt2D="false" dtr="false" t="normal">SUM(P809:T809)</f>
        <v>3941005</v>
      </c>
      <c r="O809" s="114" t="n">
        <v>0</v>
      </c>
      <c r="P809" s="113" t="n">
        <v>1455759.21</v>
      </c>
      <c r="Q809" s="114" t="n"/>
      <c r="R809" s="113" t="n">
        <v>289794.39</v>
      </c>
      <c r="S809" s="113" t="n">
        <v>2195451.4</v>
      </c>
      <c r="T809" s="113" t="n"/>
      <c r="U809" s="114" t="n">
        <v>1908.70009658493</v>
      </c>
      <c r="V809" s="114" t="n">
        <v>1414.283020064</v>
      </c>
      <c r="W809" s="110" t="n">
        <v>2024</v>
      </c>
      <c r="X809" s="129" t="n">
        <v>551877.51</v>
      </c>
      <c r="Y809" s="129" t="n">
        <f aca="false" ca="false" dt2D="false" dtr="false" t="normal">+(K809*9.1+L809*18.19)*12</f>
        <v>295450.524</v>
      </c>
      <c r="AA809" s="130" t="e">
        <f aca="false" ca="false" dt2D="false" dtr="false" t="normal">+N809-'[8]Приложение № 2'!E660</f>
        <v>#REF!</v>
      </c>
      <c r="AD809" s="130" t="e">
        <f aca="false" ca="false" dt2D="false" dtr="false" t="normal">+N809-'[8]Приложение № 2'!E660</f>
        <v>#REF!</v>
      </c>
      <c r="AP809" s="112" t="n">
        <f aca="false" ca="false" dt2D="false" dtr="false" t="normal">+N809-'Приложение №2'!E809</f>
        <v>0</v>
      </c>
      <c r="AQ809" s="121" t="n">
        <f aca="false" ca="false" dt2D="false" dtr="false" t="normal">878513.45-R359</f>
        <v>-289794.39300000016</v>
      </c>
      <c r="AR809" s="3" t="n">
        <f aca="false" ca="false" dt2D="false" dtr="false" t="normal">+(K809*10.5+L809*21)*12*0.85</f>
        <v>289794.393</v>
      </c>
      <c r="AS809" s="3" t="n">
        <f aca="false" ca="false" dt2D="false" dtr="false" t="normal">+(K809*10.5+L809*21)*12*30-S359</f>
        <v>5695202.303</v>
      </c>
      <c r="AT809" s="9" t="n">
        <f aca="false" ca="false" dt2D="false" dtr="false" t="normal">+S809-AS809</f>
        <v>-3499750.9030000004</v>
      </c>
      <c r="AU809" s="9" t="e">
        <f aca="false" ca="false" dt2D="false" dtr="false" t="normal">+P809-'[5]Приложение №1'!$P694</f>
        <v>#REF!</v>
      </c>
      <c r="AV809" s="9" t="e">
        <f aca="false" ca="false" dt2D="false" dtr="false" t="normal">+Q809-'[5]Приложение №1'!$Q694</f>
        <v>#REF!</v>
      </c>
      <c r="AW809" s="186" t="n">
        <f aca="false" ca="true" dt2D="false" dtr="false" t="normal">SUBTOTAL(9, AX809:BL809)</f>
        <v>4333951.700308636</v>
      </c>
      <c r="AX809" s="106" t="n"/>
      <c r="AY809" s="106" t="n"/>
      <c r="AZ809" s="106" t="n"/>
      <c r="BA809" s="106" t="n">
        <v>3971592.55</v>
      </c>
      <c r="BB809" s="106" t="n"/>
      <c r="BC809" s="106" t="n"/>
      <c r="BD809" s="106" t="n"/>
      <c r="BE809" s="106" t="n"/>
      <c r="BF809" s="106" t="n"/>
      <c r="BG809" s="106" t="n"/>
      <c r="BH809" s="106" t="n"/>
      <c r="BI809" s="106" t="n"/>
      <c r="BJ809" s="106" t="n"/>
      <c r="BK809" s="114" t="n"/>
      <c r="BL809" s="115" t="n">
        <v>362359.150308636</v>
      </c>
      <c r="BM809" s="186" t="n">
        <f aca="false" ca="true" dt2D="false" dtr="false" t="normal">SUBTOTAL(9, BN809:CB809)</f>
        <v>4333951.700308636</v>
      </c>
      <c r="BN809" s="106" t="n"/>
      <c r="BO809" s="106" t="n"/>
      <c r="BP809" s="106" t="n"/>
      <c r="BQ809" s="106" t="n">
        <v>3971592.55</v>
      </c>
      <c r="BR809" s="106" t="n"/>
      <c r="BS809" s="106" t="n"/>
      <c r="BT809" s="106" t="n"/>
      <c r="BU809" s="106" t="n"/>
      <c r="BV809" s="106" t="n"/>
      <c r="BW809" s="106" t="n"/>
      <c r="BX809" s="106" t="n"/>
      <c r="BY809" s="106" t="n"/>
      <c r="BZ809" s="106" t="n"/>
      <c r="CA809" s="114" t="n"/>
      <c r="CB809" s="115" t="n">
        <v>362359.150308636</v>
      </c>
      <c r="CD809" s="116" t="e">
        <f aca="false" ca="false" dt2D="false" dtr="false" t="normal">+CD808+1</f>
        <v>#REF!</v>
      </c>
      <c r="CE809" s="117" t="e">
        <f aca="false" ca="false" dt2D="false" dtr="false" t="normal">+CE808+1</f>
        <v>#REF!</v>
      </c>
      <c r="CF809" s="104" t="s">
        <v>430</v>
      </c>
      <c r="CG809" s="104" t="s">
        <v>433</v>
      </c>
      <c r="CH809" s="232" t="n">
        <f aca="false" ca="true" dt2D="false" dtr="false" t="normal">SUBTOTAL(9, CI809:CW809)</f>
        <v>4303364.15</v>
      </c>
      <c r="CI809" s="106" t="n"/>
      <c r="CJ809" s="114" t="n"/>
      <c r="CK809" s="114" t="n"/>
      <c r="CL809" s="243" t="n">
        <v>3941005</v>
      </c>
      <c r="CM809" s="114" t="n"/>
      <c r="CN809" s="114" t="n"/>
      <c r="CO809" s="106" t="n"/>
      <c r="CP809" s="114" t="n"/>
      <c r="CQ809" s="114" t="n"/>
      <c r="CR809" s="114" t="n"/>
      <c r="CS809" s="114" t="n"/>
      <c r="CT809" s="114" t="n"/>
      <c r="CU809" s="114" t="n"/>
      <c r="CV809" s="114" t="n"/>
      <c r="CW809" s="115" t="n">
        <v>362359.15</v>
      </c>
      <c r="CX809" s="3" t="n">
        <f aca="false" ca="false" dt2D="false" dtr="false" t="normal">+N809-CH809</f>
        <v>-362359.1500000004</v>
      </c>
      <c r="CZ809" s="104" t="s">
        <v>433</v>
      </c>
      <c r="DA809" s="186" t="n">
        <f aca="false" ca="true" dt2D="false" dtr="false" t="normal">SUBTOTAL(9, DB809:DP809)</f>
        <v>3941005</v>
      </c>
      <c r="DB809" s="106" t="n"/>
      <c r="DC809" s="114" t="n"/>
      <c r="DD809" s="114" t="n"/>
      <c r="DE809" s="243" t="n">
        <v>3941005</v>
      </c>
      <c r="DF809" s="114" t="n"/>
      <c r="DG809" s="114" t="n"/>
      <c r="DH809" s="106" t="n"/>
      <c r="DI809" s="114" t="n"/>
      <c r="DJ809" s="114" t="n"/>
      <c r="DK809" s="114" t="n"/>
      <c r="DL809" s="114" t="n"/>
      <c r="DM809" s="114" t="n"/>
      <c r="DN809" s="114" t="n"/>
      <c r="DO809" s="114" t="n"/>
      <c r="DP809" s="240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</row>
    <row customFormat="true" hidden="false" ht="15" outlineLevel="0" r="810" s="129">
      <c r="A810" s="183" t="n">
        <f aca="false" ca="false" dt2D="false" dtr="false" t="normal">+A809+1</f>
        <v>788</v>
      </c>
      <c r="B810" s="117" t="n">
        <f aca="false" ca="false" dt2D="false" dtr="false" t="normal">+B809+1</f>
        <v>328</v>
      </c>
      <c r="C810" s="117" t="s">
        <v>430</v>
      </c>
      <c r="D810" s="117" t="s">
        <v>435</v>
      </c>
      <c r="E810" s="201" t="s">
        <v>436</v>
      </c>
      <c r="F810" s="201" t="s">
        <v>436</v>
      </c>
      <c r="G810" s="201" t="s">
        <v>68</v>
      </c>
      <c r="H810" s="201" t="s">
        <v>104</v>
      </c>
      <c r="I810" s="201" t="s">
        <v>187</v>
      </c>
      <c r="J810" s="114" t="n">
        <v>3412.5</v>
      </c>
      <c r="K810" s="114" t="n">
        <v>2249.4</v>
      </c>
      <c r="L810" s="114" t="n">
        <v>936.2</v>
      </c>
      <c r="M810" s="202" t="n">
        <v>105</v>
      </c>
      <c r="N810" s="108" t="n">
        <f aca="false" ca="false" dt2D="false" dtr="false" t="normal">SUM(P810:T810)</f>
        <v>4064127.5999999996</v>
      </c>
      <c r="O810" s="114" t="n">
        <v>0</v>
      </c>
      <c r="P810" s="113" t="n">
        <v>3622682.82</v>
      </c>
      <c r="Q810" s="114" t="n"/>
      <c r="R810" s="113" t="n">
        <v>441444.78</v>
      </c>
      <c r="S810" s="114" t="n">
        <v>0</v>
      </c>
      <c r="T810" s="113" t="n"/>
      <c r="U810" s="114" t="n">
        <v>2506.92447791321</v>
      </c>
      <c r="V810" s="114" t="n">
        <v>1416.283020064</v>
      </c>
      <c r="W810" s="110" t="n">
        <v>2024</v>
      </c>
      <c r="X810" s="129" t="n">
        <v>550816.85</v>
      </c>
      <c r="Y810" s="129" t="n">
        <f aca="false" ca="false" dt2D="false" dtr="false" t="normal">+(K810*9.1+L810*18.19)*12</f>
        <v>449988.216</v>
      </c>
      <c r="AA810" s="130" t="e">
        <f aca="false" ca="false" dt2D="false" dtr="false" t="normal">+N810-'[8]Приложение № 2'!E662</f>
        <v>#REF!</v>
      </c>
      <c r="AD810" s="130" t="e">
        <f aca="false" ca="false" dt2D="false" dtr="false" t="normal">+N810-'[8]Приложение № 2'!E662</f>
        <v>#REF!</v>
      </c>
      <c r="AP810" s="112" t="n">
        <f aca="false" ca="false" dt2D="false" dtr="false" t="normal">+N810-'Приложение №2'!E810</f>
        <v>0</v>
      </c>
      <c r="AQ810" s="121" t="n">
        <f aca="false" ca="false" dt2D="false" dtr="false" t="normal">906295.96-R361</f>
        <v>396556.24389285594</v>
      </c>
      <c r="AR810" s="3" t="n">
        <f aca="false" ca="false" dt2D="false" dtr="false" t="normal">+(K810*10.5+L810*21)*12*0.85</f>
        <v>441444.78</v>
      </c>
      <c r="AS810" s="3" t="n">
        <f aca="false" ca="false" dt2D="false" dtr="false" t="normal">+(K810*10.5+L810*21)*12*30-S361</f>
        <v>1541419.976107102</v>
      </c>
      <c r="AT810" s="9" t="n">
        <f aca="false" ca="false" dt2D="false" dtr="false" t="normal">+S810-AS810</f>
        <v>-1541419.976107102</v>
      </c>
      <c r="AU810" s="9" t="e">
        <f aca="false" ca="false" dt2D="false" dtr="false" t="normal">+P810-'[5]Приложение №1'!$P696</f>
        <v>#REF!</v>
      </c>
      <c r="AV810" s="9" t="e">
        <f aca="false" ca="false" dt2D="false" dtr="false" t="normal">+Q810-'[5]Приложение №1'!$Q696</f>
        <v>#REF!</v>
      </c>
      <c r="AW810" s="186" t="n">
        <f aca="false" ca="true" dt2D="false" dtr="false" t="normal">SUBTOTAL(9, AX810:BL810)</f>
        <v>5639075.920617981</v>
      </c>
      <c r="AX810" s="106" t="n"/>
      <c r="AY810" s="106" t="n"/>
      <c r="AZ810" s="106" t="n"/>
      <c r="BA810" s="106" t="n">
        <v>4936837.75</v>
      </c>
      <c r="BB810" s="106" t="n"/>
      <c r="BC810" s="106" t="n"/>
      <c r="BD810" s="106" t="n"/>
      <c r="BE810" s="106" t="n"/>
      <c r="BF810" s="106" t="n"/>
      <c r="BG810" s="106" t="n"/>
      <c r="BH810" s="106" t="n"/>
      <c r="BI810" s="106" t="n"/>
      <c r="BJ810" s="106" t="n"/>
      <c r="BK810" s="114" t="n"/>
      <c r="BL810" s="115" t="n">
        <v>702238.170617981</v>
      </c>
      <c r="BM810" s="186" t="n">
        <f aca="false" ca="true" dt2D="false" dtr="false" t="normal">SUBTOTAL(9, BN810:CB810)</f>
        <v>5639075.920617981</v>
      </c>
      <c r="BN810" s="106" t="n"/>
      <c r="BO810" s="106" t="n"/>
      <c r="BP810" s="106" t="n"/>
      <c r="BQ810" s="106" t="n">
        <v>4936837.75</v>
      </c>
      <c r="BR810" s="106" t="n"/>
      <c r="BS810" s="106" t="n"/>
      <c r="BT810" s="106" t="n"/>
      <c r="BU810" s="106" t="n"/>
      <c r="BV810" s="106" t="n"/>
      <c r="BW810" s="106" t="n"/>
      <c r="BX810" s="106" t="n"/>
      <c r="BY810" s="106" t="n"/>
      <c r="BZ810" s="106" t="n"/>
      <c r="CA810" s="114" t="n"/>
      <c r="CB810" s="115" t="n">
        <v>702238.170617981</v>
      </c>
      <c r="CD810" s="116" t="e">
        <f aca="false" ca="false" dt2D="false" dtr="false" t="normal">+CD809+1</f>
        <v>#REF!</v>
      </c>
      <c r="CE810" s="117" t="e">
        <f aca="false" ca="false" dt2D="false" dtr="false" t="normal">+CE809+1</f>
        <v>#REF!</v>
      </c>
      <c r="CF810" s="104" t="s">
        <v>430</v>
      </c>
      <c r="CG810" s="104" t="s">
        <v>435</v>
      </c>
      <c r="CH810" s="232" t="n">
        <f aca="false" ca="true" dt2D="false" dtr="false" t="normal">SUBTOTAL(9, CI810:CW810)</f>
        <v>4766365.7700000005</v>
      </c>
      <c r="CI810" s="106" t="n"/>
      <c r="CJ810" s="114" t="n"/>
      <c r="CK810" s="114" t="n"/>
      <c r="CL810" s="243" t="n">
        <v>4064127.6</v>
      </c>
      <c r="CM810" s="114" t="n"/>
      <c r="CN810" s="114" t="n"/>
      <c r="CO810" s="106" t="n"/>
      <c r="CP810" s="114" t="n"/>
      <c r="CQ810" s="114" t="n"/>
      <c r="CR810" s="114" t="n"/>
      <c r="CS810" s="114" t="n"/>
      <c r="CT810" s="114" t="n"/>
      <c r="CU810" s="114" t="n"/>
      <c r="CV810" s="114" t="n"/>
      <c r="CW810" s="115" t="n">
        <v>702238.17</v>
      </c>
      <c r="CX810" s="3" t="n">
        <f aca="false" ca="false" dt2D="false" dtr="false" t="normal">+N810-CH810</f>
        <v>-702238.1700000009</v>
      </c>
      <c r="CZ810" s="104" t="s">
        <v>435</v>
      </c>
      <c r="DA810" s="186" t="n">
        <f aca="false" ca="true" dt2D="false" dtr="false" t="normal">SUBTOTAL(9, DB810:DP810)</f>
        <v>4064127.6</v>
      </c>
      <c r="DB810" s="106" t="n"/>
      <c r="DC810" s="114" t="n"/>
      <c r="DD810" s="114" t="n"/>
      <c r="DE810" s="243" t="n">
        <v>4064127.6</v>
      </c>
      <c r="DF810" s="114" t="n"/>
      <c r="DG810" s="114" t="n"/>
      <c r="DH810" s="106" t="n"/>
      <c r="DI810" s="114" t="n"/>
      <c r="DJ810" s="114" t="n"/>
      <c r="DK810" s="114" t="n"/>
      <c r="DL810" s="114" t="n"/>
      <c r="DM810" s="114" t="n"/>
      <c r="DN810" s="114" t="n"/>
      <c r="DO810" s="114" t="n"/>
      <c r="DP810" s="240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</row>
    <row customFormat="true" hidden="false" ht="15" outlineLevel="0" r="811" s="129">
      <c r="A811" s="183" t="n">
        <f aca="false" ca="false" dt2D="false" dtr="false" t="normal">+A810+1</f>
        <v>789</v>
      </c>
      <c r="B811" s="117" t="n">
        <f aca="false" ca="false" dt2D="false" dtr="false" t="normal">+B810+1</f>
        <v>329</v>
      </c>
      <c r="C811" s="117" t="s">
        <v>430</v>
      </c>
      <c r="D811" s="117" t="s">
        <v>439</v>
      </c>
      <c r="E811" s="201" t="s">
        <v>440</v>
      </c>
      <c r="F811" s="201" t="s">
        <v>440</v>
      </c>
      <c r="G811" s="201" t="s">
        <v>68</v>
      </c>
      <c r="H811" s="201" t="n">
        <v>5</v>
      </c>
      <c r="I811" s="201" t="s">
        <v>232</v>
      </c>
      <c r="J811" s="114" t="n">
        <v>2036.3</v>
      </c>
      <c r="K811" s="114" t="n">
        <v>1337.75</v>
      </c>
      <c r="L811" s="114" t="n">
        <v>476.4</v>
      </c>
      <c r="M811" s="202" t="n">
        <v>93</v>
      </c>
      <c r="N811" s="108" t="n">
        <f aca="false" ca="false" dt2D="false" dtr="false" t="normal">SUM(P811:T811)</f>
        <v>2877862.08</v>
      </c>
      <c r="O811" s="114" t="n">
        <v>0</v>
      </c>
      <c r="P811" s="113" t="n">
        <v>2632544.17</v>
      </c>
      <c r="Q811" s="114" t="n"/>
      <c r="R811" s="113" t="n">
        <v>245317.91</v>
      </c>
      <c r="S811" s="114" t="n">
        <v>0</v>
      </c>
      <c r="T811" s="113" t="n"/>
      <c r="U811" s="114" t="n">
        <v>2665.50989461595</v>
      </c>
      <c r="V811" s="114" t="n">
        <v>1418.283020064</v>
      </c>
      <c r="W811" s="110" t="n">
        <v>2024</v>
      </c>
      <c r="X811" s="129" t="n">
        <v>322443.77</v>
      </c>
      <c r="Y811" s="129" t="n">
        <f aca="false" ca="false" dt2D="false" dtr="false" t="normal">+(K811*9.1+L811*18.19)*12</f>
        <v>250070.89200000002</v>
      </c>
      <c r="AA811" s="130" t="e">
        <f aca="false" ca="false" dt2D="false" dtr="false" t="normal">+N811-'[8]Приложение № 2'!E664</f>
        <v>#REF!</v>
      </c>
      <c r="AD811" s="130" t="e">
        <f aca="false" ca="false" dt2D="false" dtr="false" t="normal">+N811-'[8]Приложение № 2'!E664</f>
        <v>#REF!</v>
      </c>
      <c r="AP811" s="112" t="n">
        <f aca="false" ca="false" dt2D="false" dtr="false" t="normal">+N811-'Приложение №2'!E811</f>
        <v>0</v>
      </c>
      <c r="AQ811" s="121" t="n">
        <f aca="false" ca="false" dt2D="false" dtr="false" t="normal">522102.04-R363</f>
        <v>-245317.90499999997</v>
      </c>
      <c r="AR811" s="3" t="n">
        <f aca="false" ca="false" dt2D="false" dtr="false" t="normal">+(K811*10.5+L811*21)*12*0.85</f>
        <v>245317.90500000003</v>
      </c>
      <c r="AS811" s="3" t="n">
        <f aca="false" ca="false" dt2D="false" dtr="false" t="normal">+(K811*10.5+L811*21)*12*30-S363</f>
        <v>-4286569.464999998</v>
      </c>
      <c r="AT811" s="9" t="n">
        <f aca="false" ca="false" dt2D="false" dtr="false" t="normal">+S811-AS811</f>
        <v>4286569.464999998</v>
      </c>
      <c r="AU811" s="9" t="e">
        <f aca="false" ca="false" dt2D="false" dtr="false" t="normal">+P811-'[5]Приложение №1'!$P698</f>
        <v>#REF!</v>
      </c>
      <c r="AV811" s="9" t="e">
        <f aca="false" ca="false" dt2D="false" dtr="false" t="normal">+Q811-'[5]Приложение №1'!$Q698</f>
        <v>#REF!</v>
      </c>
      <c r="AW811" s="186" t="n">
        <f aca="false" ca="true" dt2D="false" dtr="false" t="normal">SUBTOTAL(9, AX811:BL811)</f>
        <v>3565785.86152248</v>
      </c>
      <c r="AX811" s="106" t="n"/>
      <c r="AY811" s="106" t="n"/>
      <c r="AZ811" s="106" t="n"/>
      <c r="BA811" s="106" t="n">
        <v>2879401</v>
      </c>
      <c r="BB811" s="106" t="n"/>
      <c r="BC811" s="106" t="n"/>
      <c r="BD811" s="106" t="n"/>
      <c r="BE811" s="106" t="n"/>
      <c r="BF811" s="106" t="n"/>
      <c r="BG811" s="106" t="n"/>
      <c r="BH811" s="106" t="n"/>
      <c r="BI811" s="106" t="n"/>
      <c r="BJ811" s="106" t="n"/>
      <c r="BK811" s="114" t="n"/>
      <c r="BL811" s="115" t="n">
        <v>686384.86152248</v>
      </c>
      <c r="BM811" s="186" t="n">
        <f aca="false" ca="true" dt2D="false" dtr="false" t="normal">SUBTOTAL(9, BN811:CB811)</f>
        <v>3565785.86152248</v>
      </c>
      <c r="BN811" s="106" t="n"/>
      <c r="BO811" s="106" t="n"/>
      <c r="BP811" s="106" t="n"/>
      <c r="BQ811" s="106" t="n">
        <v>2879401</v>
      </c>
      <c r="BR811" s="106" t="n"/>
      <c r="BS811" s="106" t="n"/>
      <c r="BT811" s="106" t="n"/>
      <c r="BU811" s="106" t="n"/>
      <c r="BV811" s="106" t="n"/>
      <c r="BW811" s="106" t="n"/>
      <c r="BX811" s="106" t="n"/>
      <c r="BY811" s="106" t="n"/>
      <c r="BZ811" s="106" t="n"/>
      <c r="CA811" s="114" t="n"/>
      <c r="CB811" s="115" t="n">
        <v>686384.86152248</v>
      </c>
      <c r="CD811" s="116" t="e">
        <f aca="false" ca="false" dt2D="false" dtr="false" t="normal">+CD810+1</f>
        <v>#REF!</v>
      </c>
      <c r="CE811" s="117" t="e">
        <f aca="false" ca="false" dt2D="false" dtr="false" t="normal">+CE810+1</f>
        <v>#REF!</v>
      </c>
      <c r="CF811" s="104" t="s">
        <v>430</v>
      </c>
      <c r="CG811" s="104" t="s">
        <v>439</v>
      </c>
      <c r="CH811" s="232" t="n">
        <f aca="false" ca="true" dt2D="false" dtr="false" t="normal">SUBTOTAL(9, CI811:CW811)</f>
        <v>3564246.94</v>
      </c>
      <c r="CI811" s="106" t="n"/>
      <c r="CJ811" s="114" t="n"/>
      <c r="CK811" s="114" t="n"/>
      <c r="CL811" s="243" t="n">
        <v>2877862.08</v>
      </c>
      <c r="CM811" s="114" t="n"/>
      <c r="CN811" s="114" t="n"/>
      <c r="CO811" s="106" t="n"/>
      <c r="CP811" s="114" t="n"/>
      <c r="CQ811" s="114" t="n"/>
      <c r="CR811" s="114" t="n"/>
      <c r="CS811" s="114" t="n"/>
      <c r="CT811" s="114" t="n"/>
      <c r="CU811" s="114" t="n"/>
      <c r="CV811" s="114" t="n"/>
      <c r="CW811" s="115" t="n">
        <v>686384.86</v>
      </c>
      <c r="CX811" s="3" t="n">
        <f aca="false" ca="false" dt2D="false" dtr="false" t="normal">+N811-CH811</f>
        <v>-686384.8599999999</v>
      </c>
      <c r="CZ811" s="104" t="s">
        <v>439</v>
      </c>
      <c r="DA811" s="186" t="n">
        <f aca="false" ca="true" dt2D="false" dtr="false" t="normal">SUBTOTAL(9, DB811:DP811)</f>
        <v>2877862.08</v>
      </c>
      <c r="DB811" s="106" t="n"/>
      <c r="DC811" s="114" t="n"/>
      <c r="DD811" s="114" t="n"/>
      <c r="DE811" s="243" t="n">
        <v>2877862.08</v>
      </c>
      <c r="DF811" s="114" t="n"/>
      <c r="DG811" s="114" t="n"/>
      <c r="DH811" s="106" t="n"/>
      <c r="DI811" s="114" t="n"/>
      <c r="DJ811" s="114" t="n"/>
      <c r="DK811" s="114" t="n"/>
      <c r="DL811" s="114" t="n"/>
      <c r="DM811" s="114" t="n"/>
      <c r="DN811" s="114" t="n"/>
      <c r="DO811" s="114" t="n"/>
      <c r="DP811" s="240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</row>
    <row customFormat="true" hidden="false" ht="15" outlineLevel="0" r="812" s="1">
      <c r="A812" s="183" t="n">
        <f aca="false" ca="false" dt2D="false" dtr="false" t="normal">+A811+1</f>
        <v>790</v>
      </c>
      <c r="B812" s="117" t="n">
        <f aca="false" ca="false" dt2D="false" dtr="false" t="normal">+B811+1</f>
        <v>330</v>
      </c>
      <c r="C812" s="117" t="s">
        <v>259</v>
      </c>
      <c r="D812" s="117" t="s">
        <v>444</v>
      </c>
      <c r="E812" s="201" t="n">
        <v>1974</v>
      </c>
      <c r="F812" s="201" t="n">
        <v>1980</v>
      </c>
      <c r="G812" s="201" t="s">
        <v>68</v>
      </c>
      <c r="H812" s="201" t="n">
        <v>4</v>
      </c>
      <c r="I812" s="201" t="n">
        <v>4</v>
      </c>
      <c r="J812" s="114" t="n">
        <v>3718.5</v>
      </c>
      <c r="K812" s="114" t="n">
        <v>2628.2</v>
      </c>
      <c r="L812" s="114" t="n">
        <v>61.4</v>
      </c>
      <c r="M812" s="202" t="n">
        <v>99</v>
      </c>
      <c r="N812" s="108" t="n">
        <f aca="false" ca="false" dt2D="false" dtr="false" t="normal">SUM(P812:T812)</f>
        <v>9084553.68</v>
      </c>
      <c r="O812" s="114" t="n"/>
      <c r="P812" s="113" t="n">
        <v>4508972.2</v>
      </c>
      <c r="Q812" s="114" t="n"/>
      <c r="R812" s="113" t="n">
        <v>666056.39</v>
      </c>
      <c r="S812" s="113" t="n">
        <v>2136184.25</v>
      </c>
      <c r="T812" s="113" t="n">
        <v>1773340.84</v>
      </c>
      <c r="U812" s="114" t="n">
        <v>1389.04454330265</v>
      </c>
      <c r="V812" s="114" t="n">
        <v>1389.04454330265</v>
      </c>
      <c r="W812" s="110" t="n">
        <v>2024</v>
      </c>
      <c r="X812" s="9" t="e">
        <f aca="false" ca="false" dt2D="false" dtr="false" t="normal">+#REF!-'[9]Приложение №1'!$P1587</f>
        <v>#REF!</v>
      </c>
      <c r="Z812" s="113" t="n">
        <f aca="false" ca="false" dt2D="false" dtr="false" t="normal">SUM(AA812:AO812)</f>
        <v>14517653.370000001</v>
      </c>
      <c r="AA812" s="106" t="n">
        <v>0</v>
      </c>
      <c r="AB812" s="106" t="n">
        <v>0</v>
      </c>
      <c r="AC812" s="106" t="n">
        <v>0</v>
      </c>
      <c r="AD812" s="106" t="n">
        <v>0</v>
      </c>
      <c r="AE812" s="106" t="n">
        <v>0</v>
      </c>
      <c r="AF812" s="106" t="n"/>
      <c r="AG812" s="106" t="n">
        <v>0</v>
      </c>
      <c r="AH812" s="106" t="n">
        <v>0</v>
      </c>
      <c r="AI812" s="106" t="n">
        <v>12786278.0290938</v>
      </c>
      <c r="AJ812" s="106" t="n">
        <v>0</v>
      </c>
      <c r="AK812" s="106" t="n">
        <v>0</v>
      </c>
      <c r="AL812" s="106" t="n">
        <v>0</v>
      </c>
      <c r="AM812" s="106" t="n">
        <v>1306588.8033</v>
      </c>
      <c r="AN812" s="114" t="n">
        <v>145176.5337</v>
      </c>
      <c r="AO812" s="115" t="n">
        <v>279610.0039062</v>
      </c>
      <c r="AP812" s="112" t="n">
        <f aca="false" ca="false" dt2D="false" dtr="false" t="normal">+N812-'Приложение №2'!E812</f>
        <v>0</v>
      </c>
      <c r="AQ812" s="9" t="n">
        <f aca="false" ca="false" dt2D="false" dtr="false" t="normal">1100335.2-R366</f>
        <v>-280602</v>
      </c>
      <c r="AR812" s="3" t="n">
        <f aca="false" ca="false" dt2D="false" dtr="false" t="normal">+(K812*10+L812*20)*12*0.85</f>
        <v>280602</v>
      </c>
      <c r="AS812" s="3" t="n">
        <f aca="false" ca="false" dt2D="false" dtr="false" t="normal">+(K812*10+L812*20)*12*30-S366</f>
        <v>6675774.27</v>
      </c>
      <c r="AT812" s="9" t="n">
        <f aca="false" ca="false" dt2D="false" dtr="false" t="normal">+S812-AS812</f>
        <v>-4539590.02</v>
      </c>
      <c r="AU812" s="9" t="e">
        <f aca="false" ca="false" dt2D="false" dtr="false" t="normal">+P812-'[5]Приложение №1'!$P756</f>
        <v>#REF!</v>
      </c>
      <c r="AV812" s="9" t="e">
        <f aca="false" ca="false" dt2D="false" dtr="false" t="normal">+Q812-'[5]Приложение №1'!$Q756</f>
        <v>#REF!</v>
      </c>
      <c r="AW812" s="113" t="n">
        <f aca="false" ca="true" dt2D="false" dtr="false" t="normal">SUBTOTAL(9, AX812:BL812)</f>
        <v>3735974.203666817</v>
      </c>
      <c r="AX812" s="106" t="n"/>
      <c r="AY812" s="106" t="n"/>
      <c r="AZ812" s="106" t="n"/>
      <c r="BA812" s="106" t="n">
        <v>3072620.52</v>
      </c>
      <c r="BB812" s="106" t="n">
        <v>0</v>
      </c>
      <c r="BC812" s="106" t="n"/>
      <c r="BD812" s="106" t="n"/>
      <c r="BE812" s="106" t="n"/>
      <c r="BF812" s="106" t="n"/>
      <c r="BG812" s="106" t="n">
        <v>0</v>
      </c>
      <c r="BH812" s="106" t="n">
        <v>0</v>
      </c>
      <c r="BI812" s="106" t="n">
        <v>0</v>
      </c>
      <c r="BJ812" s="106" t="n"/>
      <c r="BK812" s="114" t="n"/>
      <c r="BL812" s="115" t="n">
        <v>663353.683666817</v>
      </c>
      <c r="BM812" s="113" t="n">
        <f aca="false" ca="true" dt2D="false" dtr="false" t="normal">SUBTOTAL(9, BN812:CB812)</f>
        <v>3735974.203666817</v>
      </c>
      <c r="BN812" s="106" t="n"/>
      <c r="BO812" s="106" t="n"/>
      <c r="BP812" s="106" t="n"/>
      <c r="BQ812" s="106" t="n">
        <v>3072620.52</v>
      </c>
      <c r="BR812" s="106" t="n">
        <v>0</v>
      </c>
      <c r="BS812" s="106" t="n"/>
      <c r="BT812" s="106" t="n"/>
      <c r="BU812" s="106" t="n"/>
      <c r="BV812" s="106" t="n"/>
      <c r="BW812" s="106" t="n">
        <v>0</v>
      </c>
      <c r="BX812" s="106" t="n">
        <v>0</v>
      </c>
      <c r="BY812" s="106" t="n">
        <v>0</v>
      </c>
      <c r="BZ812" s="106" t="n"/>
      <c r="CA812" s="114" t="n"/>
      <c r="CB812" s="115" t="n">
        <v>663353.683666817</v>
      </c>
      <c r="CD812" s="116" t="e">
        <f aca="false" ca="false" dt2D="false" dtr="false" t="normal">+CD811+1</f>
        <v>#REF!</v>
      </c>
      <c r="CE812" s="117" t="e">
        <f aca="false" ca="false" dt2D="false" dtr="false" t="normal">+CE811+1</f>
        <v>#REF!</v>
      </c>
      <c r="CF812" s="104" t="s">
        <v>259</v>
      </c>
      <c r="CG812" s="104" t="s">
        <v>444</v>
      </c>
      <c r="CH812" s="108" t="n">
        <f aca="false" ca="true" dt2D="false" dtr="false" t="normal">SUBTOTAL(9, CI812:CW812)</f>
        <v>9084553.68</v>
      </c>
      <c r="CI812" s="106" t="n">
        <v>5809436.52</v>
      </c>
      <c r="CJ812" s="114" t="n">
        <v>827311.2</v>
      </c>
      <c r="CK812" s="114" t="n"/>
      <c r="CL812" s="114" t="n">
        <v>2447805.96</v>
      </c>
      <c r="CM812" s="114" t="n">
        <v>0</v>
      </c>
      <c r="CN812" s="114" t="n"/>
      <c r="CO812" s="106" t="n"/>
      <c r="CP812" s="114" t="n"/>
      <c r="CQ812" s="114" t="n"/>
      <c r="CR812" s="114" t="n">
        <v>0</v>
      </c>
      <c r="CS812" s="114" t="n">
        <v>0</v>
      </c>
      <c r="CT812" s="114" t="n">
        <v>0</v>
      </c>
      <c r="CU812" s="114" t="n"/>
      <c r="CV812" s="114" t="n"/>
      <c r="CW812" s="115" t="n"/>
      <c r="CX812" s="3" t="n">
        <f aca="false" ca="false" dt2D="false" dtr="false" t="normal">+N812-CH812</f>
        <v>0</v>
      </c>
      <c r="CZ812" s="104" t="s">
        <v>444</v>
      </c>
      <c r="DA812" s="113" t="n">
        <f aca="false" ca="true" dt2D="false" dtr="false" t="normal">SUBTOTAL(9, DB812:DP812)</f>
        <v>9084553.68</v>
      </c>
      <c r="DB812" s="106" t="n">
        <v>5809436.52</v>
      </c>
      <c r="DC812" s="114" t="n">
        <v>827311.2</v>
      </c>
      <c r="DD812" s="114" t="n"/>
      <c r="DE812" s="114" t="n">
        <v>2447805.96</v>
      </c>
      <c r="DF812" s="114" t="n">
        <v>0</v>
      </c>
      <c r="DG812" s="114" t="n"/>
      <c r="DH812" s="106" t="n"/>
      <c r="DI812" s="114" t="n"/>
      <c r="DJ812" s="114" t="n"/>
      <c r="DK812" s="114" t="n">
        <v>0</v>
      </c>
      <c r="DL812" s="114" t="n">
        <v>0</v>
      </c>
      <c r="DM812" s="114" t="n">
        <v>0</v>
      </c>
      <c r="DN812" s="114" t="n"/>
      <c r="DO812" s="114" t="n"/>
      <c r="DP812" s="240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</row>
    <row customFormat="true" hidden="false" ht="15" outlineLevel="0" r="813" s="1">
      <c r="A813" s="183" t="n">
        <f aca="false" ca="false" dt2D="false" dtr="false" t="normal">+A812+1</f>
        <v>791</v>
      </c>
      <c r="B813" s="117" t="n">
        <f aca="false" ca="false" dt2D="false" dtr="false" t="normal">+B812+1</f>
        <v>331</v>
      </c>
      <c r="C813" s="104" t="s">
        <v>259</v>
      </c>
      <c r="D813" s="104" t="s">
        <v>261</v>
      </c>
      <c r="E813" s="105" t="n">
        <v>1986</v>
      </c>
      <c r="F813" s="105" t="n">
        <v>1986</v>
      </c>
      <c r="G813" s="105" t="s">
        <v>68</v>
      </c>
      <c r="H813" s="105" t="n">
        <v>4</v>
      </c>
      <c r="I813" s="105" t="n">
        <v>4</v>
      </c>
      <c r="J813" s="106" t="n">
        <v>3420.4</v>
      </c>
      <c r="K813" s="106" t="n">
        <v>2641.9</v>
      </c>
      <c r="L813" s="106" t="n">
        <v>0</v>
      </c>
      <c r="M813" s="107" t="n">
        <v>102</v>
      </c>
      <c r="N813" s="108" t="n">
        <f aca="false" ca="false" dt2D="false" dtr="false" t="normal">SUM(P813:T813)</f>
        <v>7388743.140000001</v>
      </c>
      <c r="O813" s="106" t="n"/>
      <c r="P813" s="114" t="n"/>
      <c r="Q813" s="114" t="n"/>
      <c r="R813" s="113" t="n">
        <v>1454282.82</v>
      </c>
      <c r="S813" s="113" t="n">
        <v>5934460.32</v>
      </c>
      <c r="T813" s="114" t="n">
        <v>0</v>
      </c>
      <c r="U813" s="106" t="n">
        <v>2972.35676823952</v>
      </c>
      <c r="V813" s="106" t="n">
        <v>2972.35676823952</v>
      </c>
      <c r="W813" s="110" t="n">
        <v>2024</v>
      </c>
      <c r="X813" s="9" t="e">
        <f aca="false" ca="false" dt2D="false" dtr="false" t="normal">+#REF!-'[9]Приложение №1'!$P1270</f>
        <v>#REF!</v>
      </c>
      <c r="Z813" s="113" t="n">
        <f aca="false" ca="false" dt2D="false" dtr="false" t="normal">SUM(AA813:AO813)</f>
        <v>21968812.86</v>
      </c>
      <c r="AA813" s="106" t="n">
        <v>0</v>
      </c>
      <c r="AB813" s="106" t="n">
        <v>0</v>
      </c>
      <c r="AC813" s="106" t="n">
        <v>0</v>
      </c>
      <c r="AD813" s="106" t="n">
        <v>0</v>
      </c>
      <c r="AE813" s="106" t="n">
        <v>0</v>
      </c>
      <c r="AF813" s="106" t="n"/>
      <c r="AG813" s="106" t="n">
        <v>0</v>
      </c>
      <c r="AH813" s="106" t="n">
        <v>0</v>
      </c>
      <c r="AI813" s="106" t="n">
        <v>12571294.6707264</v>
      </c>
      <c r="AJ813" s="106" t="n">
        <v>0</v>
      </c>
      <c r="AK813" s="106" t="n">
        <v>0</v>
      </c>
      <c r="AL813" s="106" t="n">
        <v>6702211.816839</v>
      </c>
      <c r="AM813" s="106" t="n">
        <v>2054145.6924</v>
      </c>
      <c r="AN813" s="114" t="n">
        <v>219688.1286</v>
      </c>
      <c r="AO813" s="115" t="n">
        <v>421472.5514346</v>
      </c>
      <c r="AP813" s="112" t="n">
        <f aca="false" ca="false" dt2D="false" dtr="false" t="normal">+N813-'Приложение №2'!E813</f>
        <v>0</v>
      </c>
      <c r="AQ813" s="1" t="n">
        <v>1184809.02</v>
      </c>
      <c r="AR813" s="3" t="n">
        <f aca="false" ca="false" dt2D="false" dtr="false" t="normal">+(K813*10+L813*20)*12*0.85</f>
        <v>269473.8</v>
      </c>
      <c r="AS813" s="3" t="n">
        <f aca="false" ca="false" dt2D="false" dtr="false" t="normal">+(K813*10+L813*20)*12*30</f>
        <v>9510840</v>
      </c>
      <c r="AT813" s="9" t="n">
        <f aca="false" ca="false" dt2D="false" dtr="false" t="normal">+S813-AS813</f>
        <v>-3576379.6799999997</v>
      </c>
      <c r="AU813" s="9" t="e">
        <f aca="false" ca="false" dt2D="false" dtr="false" t="normal">+P813-'[5]Приложение №1'!$P439</f>
        <v>#REF!</v>
      </c>
      <c r="AV813" s="9" t="e">
        <f aca="false" ca="false" dt2D="false" dtr="false" t="normal">+Q813-'[5]Приложение №1'!$Q439</f>
        <v>#REF!</v>
      </c>
      <c r="AW813" s="113" t="n">
        <f aca="false" ca="true" dt2D="false" dtr="false" t="normal">SUBTOTAL(9, AX813:BL813)</f>
        <v>7852669.346012</v>
      </c>
      <c r="AX813" s="106" t="n">
        <v>0</v>
      </c>
      <c r="AY813" s="106" t="n">
        <v>0</v>
      </c>
      <c r="AZ813" s="106" t="n">
        <v>0</v>
      </c>
      <c r="BA813" s="106" t="n">
        <v>0</v>
      </c>
      <c r="BB813" s="106" t="n">
        <v>0</v>
      </c>
      <c r="BC813" s="106" t="n"/>
      <c r="BD813" s="106" t="n"/>
      <c r="BE813" s="106" t="n">
        <v>0</v>
      </c>
      <c r="BF813" s="106" t="n"/>
      <c r="BG813" s="106" t="n">
        <v>0</v>
      </c>
      <c r="BH813" s="106" t="n">
        <v>0</v>
      </c>
      <c r="BI813" s="106" t="n">
        <v>7388743.142214</v>
      </c>
      <c r="BJ813" s="106" t="n"/>
      <c r="BK813" s="114" t="n"/>
      <c r="BL813" s="187" t="n">
        <v>463926.203798</v>
      </c>
      <c r="BM813" s="113" t="n">
        <f aca="false" ca="true" dt2D="false" dtr="false" t="normal">SUBTOTAL(9, BN813:CB813)</f>
        <v>7852669.346012</v>
      </c>
      <c r="BN813" s="106" t="n">
        <v>0</v>
      </c>
      <c r="BO813" s="106" t="n">
        <v>0</v>
      </c>
      <c r="BP813" s="106" t="n">
        <v>0</v>
      </c>
      <c r="BQ813" s="106" t="n">
        <v>0</v>
      </c>
      <c r="BR813" s="106" t="n">
        <v>0</v>
      </c>
      <c r="BS813" s="106" t="n"/>
      <c r="BT813" s="106" t="n"/>
      <c r="BU813" s="106" t="n">
        <v>0</v>
      </c>
      <c r="BV813" s="106" t="n"/>
      <c r="BW813" s="106" t="n">
        <v>0</v>
      </c>
      <c r="BX813" s="106" t="n">
        <v>0</v>
      </c>
      <c r="BY813" s="106" t="n">
        <v>7388743.142214</v>
      </c>
      <c r="BZ813" s="106" t="n"/>
      <c r="CA813" s="114" t="n"/>
      <c r="CB813" s="115" t="n">
        <v>463926.203798</v>
      </c>
      <c r="CD813" s="116" t="e">
        <f aca="false" ca="false" dt2D="false" dtr="false" t="normal">+CD812+1</f>
        <v>#REF!</v>
      </c>
      <c r="CE813" s="117" t="e">
        <f aca="false" ca="false" dt2D="false" dtr="false" t="normal">+CE812+1</f>
        <v>#REF!</v>
      </c>
      <c r="CF813" s="104" t="s">
        <v>259</v>
      </c>
      <c r="CG813" s="117" t="s">
        <v>261</v>
      </c>
      <c r="CH813" s="108" t="n">
        <f aca="false" ca="true" dt2D="false" dtr="false" t="normal">SUBTOTAL(9, CI813:CW813)</f>
        <v>7388743.14</v>
      </c>
      <c r="CI813" s="106" t="n">
        <v>0</v>
      </c>
      <c r="CJ813" s="114" t="n">
        <v>0</v>
      </c>
      <c r="CK813" s="114" t="n">
        <v>0</v>
      </c>
      <c r="CL813" s="114" t="n">
        <v>0</v>
      </c>
      <c r="CM813" s="114" t="n">
        <v>0</v>
      </c>
      <c r="CN813" s="114" t="n"/>
      <c r="CO813" s="106" t="n"/>
      <c r="CP813" s="114" t="n">
        <v>0</v>
      </c>
      <c r="CQ813" s="114" t="n"/>
      <c r="CR813" s="114" t="n">
        <v>0</v>
      </c>
      <c r="CS813" s="114" t="n">
        <v>0</v>
      </c>
      <c r="CT813" s="114" t="n">
        <v>7388743.14</v>
      </c>
      <c r="CU813" s="114" t="n"/>
      <c r="CV813" s="114" t="n"/>
      <c r="CW813" s="115" t="n"/>
      <c r="CX813" s="3" t="n">
        <f aca="false" ca="false" dt2D="false" dtr="false" t="normal">+N813-CH813</f>
        <v>0</v>
      </c>
      <c r="CZ813" s="117" t="s">
        <v>261</v>
      </c>
      <c r="DA813" s="113" t="n">
        <f aca="false" ca="true" dt2D="false" dtr="false" t="normal">SUBTOTAL(9, DB813:DP813)</f>
        <v>7388743.14</v>
      </c>
      <c r="DB813" s="106" t="n">
        <v>0</v>
      </c>
      <c r="DC813" s="114" t="n">
        <v>0</v>
      </c>
      <c r="DD813" s="114" t="n">
        <v>0</v>
      </c>
      <c r="DE813" s="114" t="n">
        <v>0</v>
      </c>
      <c r="DF813" s="114" t="n">
        <v>0</v>
      </c>
      <c r="DG813" s="114" t="n"/>
      <c r="DH813" s="106" t="n"/>
      <c r="DI813" s="114" t="n">
        <v>0</v>
      </c>
      <c r="DJ813" s="114" t="n"/>
      <c r="DK813" s="114" t="n">
        <v>0</v>
      </c>
      <c r="DL813" s="114" t="n">
        <v>0</v>
      </c>
      <c r="DM813" s="114" t="n">
        <v>7388743.14</v>
      </c>
      <c r="DN813" s="114" t="n"/>
      <c r="DO813" s="114" t="n"/>
      <c r="DP813" s="240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</row>
    <row customFormat="true" hidden="false" ht="15" outlineLevel="0" r="814" s="1">
      <c r="A814" s="183" t="n">
        <f aca="false" ca="false" dt2D="false" dtr="false" t="normal">+A813+1</f>
        <v>792</v>
      </c>
      <c r="B814" s="117" t="n">
        <f aca="false" ca="false" dt2D="false" dtr="false" t="normal">+B813+1</f>
        <v>332</v>
      </c>
      <c r="C814" s="104" t="s">
        <v>749</v>
      </c>
      <c r="D814" s="104" t="s">
        <v>750</v>
      </c>
      <c r="E814" s="105" t="n">
        <v>1978</v>
      </c>
      <c r="F814" s="105" t="n">
        <v>2012</v>
      </c>
      <c r="G814" s="105" t="s">
        <v>68</v>
      </c>
      <c r="H814" s="105" t="n">
        <v>2</v>
      </c>
      <c r="I814" s="105" t="n">
        <v>2</v>
      </c>
      <c r="J814" s="106" t="n">
        <v>490.77</v>
      </c>
      <c r="K814" s="106" t="n">
        <v>162.07</v>
      </c>
      <c r="L814" s="106" t="n">
        <v>0</v>
      </c>
      <c r="M814" s="107" t="n">
        <v>12</v>
      </c>
      <c r="N814" s="108" t="n">
        <f aca="false" ca="false" dt2D="false" dtr="false" t="normal">SUM(P814:T814)</f>
        <v>16004398.74</v>
      </c>
      <c r="O814" s="114" t="n"/>
      <c r="P814" s="113" t="n">
        <v>4321863.64</v>
      </c>
      <c r="Q814" s="114" t="n"/>
      <c r="R814" s="113" t="n">
        <v>199998.12</v>
      </c>
      <c r="S814" s="113" t="n">
        <v>583452</v>
      </c>
      <c r="T814" s="113" t="n">
        <v>10899084.98</v>
      </c>
      <c r="U814" s="114" t="n">
        <v>104344.341333991</v>
      </c>
      <c r="V814" s="114" t="n">
        <v>104344.341333991</v>
      </c>
      <c r="W814" s="110" t="n">
        <v>2024</v>
      </c>
      <c r="X814" s="9" t="e">
        <f aca="false" ca="false" dt2D="false" dtr="false" t="normal">+#REF!-'[9]Приложение №1'!$P1273</f>
        <v>#REF!</v>
      </c>
      <c r="Z814" s="113" t="n">
        <f aca="false" ca="false" dt2D="false" dtr="false" t="normal">SUM(AA814:AO814)</f>
        <v>16858412.73</v>
      </c>
      <c r="AA814" s="106" t="n">
        <v>1683565.896964</v>
      </c>
      <c r="AB814" s="106" t="n">
        <v>1040219.470318</v>
      </c>
      <c r="AC814" s="106" t="n">
        <v>488517.729994</v>
      </c>
      <c r="AD814" s="106" t="n">
        <v>423331.305082</v>
      </c>
      <c r="AE814" s="106" t="n">
        <v>0</v>
      </c>
      <c r="AF814" s="106" t="n"/>
      <c r="AG814" s="106" t="n">
        <v>147640.393614</v>
      </c>
      <c r="AH814" s="106" t="n">
        <v>0</v>
      </c>
      <c r="AI814" s="106" t="n">
        <v>4805741.35321</v>
      </c>
      <c r="AJ814" s="106" t="n">
        <v>0</v>
      </c>
      <c r="AK814" s="106" t="n">
        <v>4013795.974678</v>
      </c>
      <c r="AL814" s="106" t="n">
        <v>3549227.013612</v>
      </c>
      <c r="AM814" s="106" t="n">
        <v>314486.54</v>
      </c>
      <c r="AN814" s="106" t="n">
        <v>38674.67</v>
      </c>
      <c r="AO814" s="115" t="n">
        <v>353212.382528</v>
      </c>
      <c r="AP814" s="112" t="n">
        <f aca="false" ca="false" dt2D="false" dtr="false" t="normal">+N814-'Приложение №2'!E814</f>
        <v>0</v>
      </c>
      <c r="AQ814" s="1" t="n">
        <v>183466.98</v>
      </c>
      <c r="AR814" s="3" t="n">
        <f aca="false" ca="false" dt2D="false" dtr="false" t="normal">+(K814*10+L814*20)*12*0.85</f>
        <v>16531.14</v>
      </c>
      <c r="AS814" s="3" t="n">
        <f aca="false" ca="false" dt2D="false" dtr="false" t="normal">+(K814*10+L814*20)*12*30</f>
        <v>583451.9999999999</v>
      </c>
      <c r="AT814" s="9" t="n">
        <f aca="false" ca="false" dt2D="false" dtr="false" t="normal">+S814-AS814</f>
        <v>0</v>
      </c>
      <c r="AU814" s="9" t="e">
        <f aca="false" ca="false" dt2D="false" dtr="false" t="normal">+P814-'[5]Приложение №1'!$P446</f>
        <v>#REF!</v>
      </c>
      <c r="AV814" s="9" t="e">
        <f aca="false" ca="false" dt2D="false" dtr="false" t="normal">+Q814-'[5]Приложение №1'!$Q446</f>
        <v>#REF!</v>
      </c>
      <c r="AW814" s="113" t="n">
        <f aca="false" ca="true" dt2D="false" dtr="false" t="normal">SUBTOTAL(9, AX814:BL814)</f>
        <v>16911087.400000002</v>
      </c>
      <c r="AX814" s="106" t="n">
        <v>1683565.896964</v>
      </c>
      <c r="AY814" s="106" t="n">
        <v>1040219.470318</v>
      </c>
      <c r="AZ814" s="106" t="n">
        <v>488517.729994</v>
      </c>
      <c r="BA814" s="106" t="n">
        <v>423331.305082</v>
      </c>
      <c r="BB814" s="106" t="n">
        <v>0</v>
      </c>
      <c r="BC814" s="106" t="n"/>
      <c r="BD814" s="106" t="n">
        <v>147640.393614</v>
      </c>
      <c r="BE814" s="106" t="n">
        <v>0</v>
      </c>
      <c r="BF814" s="106" t="n">
        <v>4805741.35321</v>
      </c>
      <c r="BG814" s="106" t="n">
        <v>0</v>
      </c>
      <c r="BH814" s="106" t="n">
        <v>4013795.974678</v>
      </c>
      <c r="BI814" s="106" t="n">
        <v>3549227.013612</v>
      </c>
      <c r="BJ814" s="106" t="n">
        <v>367161.21</v>
      </c>
      <c r="BK814" s="106" t="n">
        <f aca="false" ca="false" dt2D="false" dtr="false" t="normal">38674.67</f>
        <v>38674.67</v>
      </c>
      <c r="BL814" s="187" t="n">
        <v>353212.382528</v>
      </c>
      <c r="BM814" s="113" t="n">
        <f aca="false" ca="true" dt2D="false" dtr="false" t="normal">SUBTOTAL(9, BN814:CB814)</f>
        <v>16911087.400000002</v>
      </c>
      <c r="BN814" s="106" t="n">
        <v>1683565.896964</v>
      </c>
      <c r="BO814" s="106" t="n">
        <v>1040219.470318</v>
      </c>
      <c r="BP814" s="106" t="n">
        <v>488517.729994</v>
      </c>
      <c r="BQ814" s="106" t="n">
        <v>423331.305082</v>
      </c>
      <c r="BR814" s="106" t="n">
        <v>0</v>
      </c>
      <c r="BS814" s="106" t="n"/>
      <c r="BT814" s="106" t="n">
        <v>147640.393614</v>
      </c>
      <c r="BU814" s="106" t="n">
        <v>0</v>
      </c>
      <c r="BV814" s="106" t="n">
        <v>4805741.35321</v>
      </c>
      <c r="BW814" s="106" t="n">
        <v>0</v>
      </c>
      <c r="BX814" s="106" t="n">
        <v>4013795.974678</v>
      </c>
      <c r="BY814" s="106" t="n">
        <v>3549227.013612</v>
      </c>
      <c r="BZ814" s="106" t="n">
        <v>367161.21</v>
      </c>
      <c r="CA814" s="106" t="n">
        <f aca="false" ca="false" dt2D="false" dtr="false" t="normal">38674.67</f>
        <v>38674.67</v>
      </c>
      <c r="CB814" s="115" t="n">
        <v>353212.382528</v>
      </c>
      <c r="CD814" s="116" t="e">
        <f aca="false" ca="false" dt2D="false" dtr="false" t="normal">+CD813+1</f>
        <v>#REF!</v>
      </c>
      <c r="CE814" s="117" t="e">
        <f aca="false" ca="false" dt2D="false" dtr="false" t="normal">+CE813+1</f>
        <v>#REF!</v>
      </c>
      <c r="CF814" s="104" t="s">
        <v>749</v>
      </c>
      <c r="CG814" s="117" t="s">
        <v>750</v>
      </c>
      <c r="CH814" s="108" t="n">
        <f aca="false" ca="true" dt2D="false" dtr="false" t="normal">SUBTOTAL(9, CI814:CW814)</f>
        <v>16357611.120000001</v>
      </c>
      <c r="CI814" s="106" t="n">
        <v>1683565.9</v>
      </c>
      <c r="CJ814" s="114" t="n">
        <v>1040219.47</v>
      </c>
      <c r="CK814" s="114" t="n">
        <v>488517.73</v>
      </c>
      <c r="CL814" s="114" t="n">
        <v>423331.31</v>
      </c>
      <c r="CM814" s="114" t="n">
        <v>0</v>
      </c>
      <c r="CN814" s="114" t="n"/>
      <c r="CO814" s="106" t="n"/>
      <c r="CP814" s="114" t="n">
        <v>0</v>
      </c>
      <c r="CQ814" s="114" t="n">
        <v>4805741.35</v>
      </c>
      <c r="CR814" s="114" t="n">
        <v>0</v>
      </c>
      <c r="CS814" s="114" t="n">
        <v>4013795.97</v>
      </c>
      <c r="CT814" s="114" t="n">
        <v>3549227.01</v>
      </c>
      <c r="CU814" s="114" t="n"/>
      <c r="CV814" s="114" t="n"/>
      <c r="CW814" s="115" t="n">
        <v>353212.38</v>
      </c>
      <c r="CX814" s="3" t="n">
        <f aca="false" ca="false" dt2D="false" dtr="false" t="normal">+N814-CH814</f>
        <v>-353212.3800000008</v>
      </c>
      <c r="CZ814" s="117" t="s">
        <v>750</v>
      </c>
      <c r="DA814" s="113" t="n">
        <f aca="false" ca="true" dt2D="false" dtr="false" t="normal">SUBTOTAL(9, DB814:DP814)</f>
        <v>16004398.74</v>
      </c>
      <c r="DB814" s="106" t="n">
        <v>1683565.9</v>
      </c>
      <c r="DC814" s="114" t="n">
        <v>1040219.47</v>
      </c>
      <c r="DD814" s="114" t="n">
        <v>488517.73</v>
      </c>
      <c r="DE814" s="114" t="n">
        <v>423331.31</v>
      </c>
      <c r="DF814" s="114" t="n">
        <v>0</v>
      </c>
      <c r="DG814" s="114" t="n"/>
      <c r="DH814" s="106" t="n"/>
      <c r="DI814" s="114" t="n">
        <v>0</v>
      </c>
      <c r="DJ814" s="114" t="n">
        <v>4805741.35</v>
      </c>
      <c r="DK814" s="114" t="n">
        <v>0</v>
      </c>
      <c r="DL814" s="114" t="n">
        <v>4013795.97</v>
      </c>
      <c r="DM814" s="106" t="n">
        <v>3549227.01</v>
      </c>
      <c r="DN814" s="241" t="n"/>
      <c r="DO814" s="241" t="n"/>
      <c r="DP814" s="240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</row>
    <row customFormat="true" hidden="false" ht="15" outlineLevel="0" r="815" s="1">
      <c r="A815" s="183" t="n">
        <f aca="false" ca="false" dt2D="false" dtr="false" t="normal">+A814+1</f>
        <v>793</v>
      </c>
      <c r="B815" s="117" t="n">
        <f aca="false" ca="false" dt2D="false" dtr="false" t="normal">+B814+1</f>
        <v>333</v>
      </c>
      <c r="C815" s="117" t="s">
        <v>445</v>
      </c>
      <c r="D815" s="117" t="s">
        <v>751</v>
      </c>
      <c r="E815" s="201" t="n">
        <v>1980</v>
      </c>
      <c r="F815" s="201" t="n">
        <v>2013</v>
      </c>
      <c r="G815" s="201" t="s">
        <v>447</v>
      </c>
      <c r="H815" s="201" t="n">
        <v>1</v>
      </c>
      <c r="I815" s="201" t="n">
        <v>2</v>
      </c>
      <c r="J815" s="114" t="n">
        <v>418.7</v>
      </c>
      <c r="K815" s="114" t="n">
        <v>397.3</v>
      </c>
      <c r="L815" s="114" t="n">
        <v>0</v>
      </c>
      <c r="M815" s="202" t="n">
        <v>19</v>
      </c>
      <c r="N815" s="108" t="n">
        <f aca="false" ca="false" dt2D="false" dtr="false" t="normal">SUM(P815:T815)</f>
        <v>6970430.49</v>
      </c>
      <c r="O815" s="114" t="n"/>
      <c r="P815" s="113" t="n">
        <v>848371.03</v>
      </c>
      <c r="Q815" s="114" t="n"/>
      <c r="R815" s="113" t="n">
        <v>210005.6</v>
      </c>
      <c r="S815" s="113" t="n">
        <v>355662.96</v>
      </c>
      <c r="T815" s="113" t="n">
        <v>5556390.9</v>
      </c>
      <c r="U815" s="114" t="n">
        <v>10885.5089671502</v>
      </c>
      <c r="V815" s="114" t="n">
        <v>1421.283020064</v>
      </c>
      <c r="W815" s="110" t="n">
        <v>2024</v>
      </c>
      <c r="X815" s="9" t="e">
        <f aca="false" ca="false" dt2D="false" dtr="false" t="normal">+#REF!-'[9]Приложение №1'!$P447</f>
        <v>#REF!</v>
      </c>
      <c r="Z815" s="113" t="n">
        <f aca="false" ca="false" dt2D="false" dtr="false" t="normal">SUM(AA815:AO815)</f>
        <v>6552939.65</v>
      </c>
      <c r="AA815" s="106" t="n">
        <v>0</v>
      </c>
      <c r="AB815" s="106" t="n">
        <v>0</v>
      </c>
      <c r="AC815" s="106" t="n">
        <v>0</v>
      </c>
      <c r="AD815" s="106" t="n">
        <v>0</v>
      </c>
      <c r="AE815" s="106" t="n">
        <v>0</v>
      </c>
      <c r="AF815" s="106" t="n"/>
      <c r="AG815" s="106" t="n">
        <v>0</v>
      </c>
      <c r="AH815" s="106" t="n">
        <v>0</v>
      </c>
      <c r="AI815" s="106" t="n">
        <v>2736680.73504</v>
      </c>
      <c r="AJ815" s="106" t="n">
        <v>0</v>
      </c>
      <c r="AK815" s="106" t="n">
        <v>0</v>
      </c>
      <c r="AL815" s="106" t="n">
        <v>3525835.391022</v>
      </c>
      <c r="AM815" s="106" t="n">
        <v>108678.99</v>
      </c>
      <c r="AN815" s="114" t="n">
        <v>44795.99</v>
      </c>
      <c r="AO815" s="115" t="n">
        <v>136948.543938</v>
      </c>
      <c r="AP815" s="112" t="n">
        <f aca="false" ca="false" dt2D="false" dtr="false" t="normal">+N815-'Приложение №2'!E815</f>
        <v>0</v>
      </c>
      <c r="AQ815" s="9" t="e">
        <f aca="false" ca="false" dt2D="false" dtr="false" t="normal">185510.57-#REF!</f>
        <v>#REF!</v>
      </c>
      <c r="AR815" s="3" t="n">
        <f aca="false" ca="false" dt2D="false" dtr="false" t="normal">+(K815*7.46+L815*20.48)*12*0.85</f>
        <v>30231.3516</v>
      </c>
      <c r="AS815" s="3" t="e">
        <f aca="false" ca="false" dt2D="false" dtr="false" t="normal">+(K815*7.46+L815*20.48)*12*10-#REF!</f>
        <v>#REF!</v>
      </c>
      <c r="AT815" s="9" t="e">
        <f aca="false" ca="false" dt2D="false" dtr="false" t="normal">+S815-AS815</f>
        <v>#REF!</v>
      </c>
      <c r="AU815" s="9" t="e">
        <f aca="false" ca="false" dt2D="false" dtr="false" t="normal">+P815-'[5]Приложение №1'!$P701</f>
        <v>#REF!</v>
      </c>
      <c r="AV815" s="9" t="e">
        <f aca="false" ca="false" dt2D="false" dtr="false" t="normal">+Q815-'[5]Приложение №1'!$Q701</f>
        <v>#REF!</v>
      </c>
      <c r="AW815" s="186" t="n">
        <f aca="false" ca="true" dt2D="false" dtr="false" t="normal">SUBTOTAL(9, AX815:BL815)</f>
        <v>4324812.712648762</v>
      </c>
      <c r="AX815" s="106" t="n">
        <v>0</v>
      </c>
      <c r="AY815" s="106" t="n">
        <v>0</v>
      </c>
      <c r="AZ815" s="1" t="n">
        <v>0</v>
      </c>
      <c r="BA815" s="1" t="n">
        <v>0</v>
      </c>
      <c r="BB815" s="106" t="n">
        <v>0</v>
      </c>
      <c r="BC815" s="106" t="n"/>
      <c r="BD815" s="106" t="n"/>
      <c r="BE815" s="106" t="n">
        <v>0</v>
      </c>
      <c r="BF815" s="106" t="n"/>
      <c r="BG815" s="106" t="n">
        <v>0</v>
      </c>
      <c r="BH815" s="106" t="n">
        <v>0</v>
      </c>
      <c r="BI815" s="106" t="n">
        <v>4233749.74740752</v>
      </c>
      <c r="BJ815" s="106" t="n"/>
      <c r="BK815" s="114" t="n"/>
      <c r="BL815" s="115" t="n">
        <v>91062.9652412422</v>
      </c>
      <c r="BM815" s="186" t="n">
        <f aca="false" ca="true" dt2D="false" dtr="false" t="normal">SUBTOTAL(9, BN815:CB815)</f>
        <v>4324812.712648762</v>
      </c>
      <c r="BN815" s="106" t="n">
        <v>0</v>
      </c>
      <c r="BO815" s="106" t="n">
        <v>0</v>
      </c>
      <c r="BP815" s="1" t="n">
        <v>0</v>
      </c>
      <c r="BQ815" s="1" t="n">
        <v>0</v>
      </c>
      <c r="BR815" s="106" t="n">
        <v>0</v>
      </c>
      <c r="BS815" s="106" t="n"/>
      <c r="BT815" s="106" t="n"/>
      <c r="BU815" s="106" t="n">
        <v>0</v>
      </c>
      <c r="BV815" s="106" t="n"/>
      <c r="BW815" s="106" t="n">
        <v>0</v>
      </c>
      <c r="BX815" s="106" t="n">
        <v>0</v>
      </c>
      <c r="BY815" s="106" t="n">
        <v>4233749.74740752</v>
      </c>
      <c r="BZ815" s="106" t="n"/>
      <c r="CA815" s="114" t="n"/>
      <c r="CB815" s="115" t="n">
        <v>91062.9652412422</v>
      </c>
      <c r="CD815" s="116" t="e">
        <f aca="false" ca="false" dt2D="false" dtr="false" t="normal">+CD814+1</f>
        <v>#REF!</v>
      </c>
      <c r="CE815" s="117" t="e">
        <f aca="false" ca="false" dt2D="false" dtr="false" t="normal">+CE814+1</f>
        <v>#REF!</v>
      </c>
      <c r="CF815" s="104" t="s">
        <v>445</v>
      </c>
      <c r="CG815" s="104" t="s">
        <v>751</v>
      </c>
      <c r="CH815" s="232" t="n">
        <f aca="false" ca="true" dt2D="false" dtr="false" t="normal">SUBTOTAL(9, CI815:CW815)</f>
        <v>7117011.96</v>
      </c>
      <c r="CI815" s="106" t="n">
        <v>0</v>
      </c>
      <c r="CJ815" s="114" t="n">
        <v>0</v>
      </c>
      <c r="CK815" s="114" t="n">
        <v>0</v>
      </c>
      <c r="CL815" s="114" t="n">
        <v>0</v>
      </c>
      <c r="CM815" s="114" t="n">
        <v>0</v>
      </c>
      <c r="CN815" s="114" t="n"/>
      <c r="CO815" s="106" t="n"/>
      <c r="CP815" s="114" t="n">
        <v>0</v>
      </c>
      <c r="CQ815" s="114" t="n">
        <v>2736680.74</v>
      </c>
      <c r="CR815" s="114" t="n">
        <v>0</v>
      </c>
      <c r="CS815" s="114" t="n">
        <v>0</v>
      </c>
      <c r="CT815" s="114" t="n">
        <v>4233749.75</v>
      </c>
      <c r="CU815" s="114" t="n"/>
      <c r="CV815" s="114" t="n"/>
      <c r="CW815" s="115" t="n">
        <v>146581.47</v>
      </c>
      <c r="CX815" s="3" t="n">
        <f aca="false" ca="false" dt2D="false" dtr="false" t="normal">+N815-CH815</f>
        <v>-146581.46999999974</v>
      </c>
      <c r="CZ815" s="104" t="s">
        <v>751</v>
      </c>
      <c r="DA815" s="186" t="n">
        <f aca="false" ca="true" dt2D="false" dtr="false" t="normal">SUBTOTAL(9, DB815:DP815)</f>
        <v>6970430.49</v>
      </c>
      <c r="DB815" s="106" t="n">
        <v>0</v>
      </c>
      <c r="DC815" s="114" t="n">
        <v>0</v>
      </c>
      <c r="DD815" s="114" t="n">
        <v>0</v>
      </c>
      <c r="DE815" s="114" t="n">
        <v>0</v>
      </c>
      <c r="DF815" s="114" t="n">
        <v>0</v>
      </c>
      <c r="DG815" s="114" t="n"/>
      <c r="DH815" s="106" t="n"/>
      <c r="DI815" s="114" t="n">
        <v>0</v>
      </c>
      <c r="DJ815" s="114" t="n">
        <v>2736680.74</v>
      </c>
      <c r="DK815" s="114" t="n">
        <v>0</v>
      </c>
      <c r="DL815" s="114" t="n">
        <v>0</v>
      </c>
      <c r="DM815" s="114" t="n">
        <v>4233749.75</v>
      </c>
      <c r="DN815" s="114" t="n"/>
      <c r="DO815" s="114" t="n"/>
      <c r="DP815" s="240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</row>
    <row customFormat="true" hidden="false" ht="15" outlineLevel="0" r="816" s="1">
      <c r="A816" s="183" t="n">
        <f aca="false" ca="false" dt2D="false" dtr="false" t="normal">+A815+1</f>
        <v>794</v>
      </c>
      <c r="B816" s="117" t="n">
        <f aca="false" ca="false" dt2D="false" dtr="false" t="normal">+B815+1</f>
        <v>334</v>
      </c>
      <c r="C816" s="104" t="s">
        <v>445</v>
      </c>
      <c r="D816" s="104" t="s">
        <v>752</v>
      </c>
      <c r="E816" s="105" t="n">
        <v>1975</v>
      </c>
      <c r="F816" s="105" t="n">
        <v>2009</v>
      </c>
      <c r="G816" s="105" t="s">
        <v>447</v>
      </c>
      <c r="H816" s="105" t="n">
        <v>2</v>
      </c>
      <c r="I816" s="105" t="n">
        <v>3</v>
      </c>
      <c r="J816" s="106" t="n">
        <v>588.93</v>
      </c>
      <c r="K816" s="106" t="n">
        <v>526.89</v>
      </c>
      <c r="L816" s="106" t="n">
        <v>0</v>
      </c>
      <c r="M816" s="107" t="n">
        <v>25</v>
      </c>
      <c r="N816" s="108" t="n">
        <f aca="false" ca="false" dt2D="false" dtr="false" t="normal">SUM(P816:T816)</f>
        <v>6494653.540000001</v>
      </c>
      <c r="O816" s="106" t="n"/>
      <c r="P816" s="113" t="n">
        <v>2000136.02</v>
      </c>
      <c r="Q816" s="114" t="n"/>
      <c r="R816" s="113" t="n">
        <v>216869.56</v>
      </c>
      <c r="S816" s="113" t="n">
        <v>448910.28</v>
      </c>
      <c r="T816" s="113" t="n">
        <v>3828737.68</v>
      </c>
      <c r="U816" s="106" t="n">
        <v>12595.9468959365</v>
      </c>
      <c r="V816" s="106" t="n">
        <v>12595.9468959365</v>
      </c>
      <c r="W816" s="110" t="n">
        <v>2024</v>
      </c>
      <c r="X816" s="9" t="e">
        <f aca="false" ca="false" dt2D="false" dtr="false" t="normal">+#REF!-'[9]Приложение №1'!$P538</f>
        <v>#REF!</v>
      </c>
      <c r="Z816" s="113" t="n">
        <f aca="false" ca="false" dt2D="false" dtr="false" t="normal">SUM(AA816:AO816)</f>
        <v>6793335.02</v>
      </c>
      <c r="AA816" s="106" t="n">
        <v>1320658.317384</v>
      </c>
      <c r="AB816" s="106" t="n">
        <v>0</v>
      </c>
      <c r="AC816" s="106" t="n">
        <v>0</v>
      </c>
      <c r="AD816" s="106" t="n">
        <v>737257.579926</v>
      </c>
      <c r="AE816" s="106" t="n">
        <v>0</v>
      </c>
      <c r="AF816" s="106" t="n"/>
      <c r="AG816" s="106" t="n">
        <v>0</v>
      </c>
      <c r="AH816" s="106" t="n">
        <v>0</v>
      </c>
      <c r="AI816" s="106" t="n">
        <v>1613252.133234</v>
      </c>
      <c r="AJ816" s="106" t="n">
        <v>0</v>
      </c>
      <c r="AK816" s="106" t="n">
        <v>2823485.510412</v>
      </c>
      <c r="AL816" s="106" t="n">
        <v>0</v>
      </c>
      <c r="AM816" s="106" t="n">
        <v>126656.56</v>
      </c>
      <c r="AN816" s="114" t="n">
        <v>30000</v>
      </c>
      <c r="AO816" s="115" t="n">
        <v>142024.919044</v>
      </c>
      <c r="AP816" s="112" t="n">
        <f aca="false" ca="false" dt2D="false" dtr="false" t="normal">+N816-'Приложение №2'!E816</f>
        <v>0</v>
      </c>
      <c r="AQ816" s="1" t="n">
        <v>178712.19</v>
      </c>
      <c r="AR816" s="3" t="n">
        <f aca="false" ca="false" dt2D="false" dtr="false" t="normal">+(K816*7.1+L816*19.5)*12*0.85</f>
        <v>38157.3738</v>
      </c>
      <c r="AS816" s="3" t="n">
        <f aca="false" ca="false" dt2D="false" dtr="false" t="normal">+(K816*7.1+L816*19.5)*12*10</f>
        <v>448910.27999999997</v>
      </c>
      <c r="AT816" s="9" t="n">
        <f aca="false" ca="false" dt2D="false" dtr="false" t="normal">+S816-AS816</f>
        <v>0</v>
      </c>
      <c r="AU816" s="9" t="e">
        <f aca="false" ca="false" dt2D="false" dtr="false" t="normal">+P816-'[5]Приложение №1'!$P441</f>
        <v>#REF!</v>
      </c>
      <c r="AV816" s="9" t="e">
        <f aca="false" ca="false" dt2D="false" dtr="false" t="normal">+Q816-'[5]Приложение №1'!$Q441</f>
        <v>#REF!</v>
      </c>
      <c r="AW816" s="113" t="n">
        <f aca="false" ca="true" dt2D="false" dtr="false" t="normal">SUBTOTAL(9, AX816:BL816)</f>
        <v>6636678.46</v>
      </c>
      <c r="AX816" s="106" t="n">
        <v>1320658.317384</v>
      </c>
      <c r="AY816" s="106" t="n">
        <v>0</v>
      </c>
      <c r="AZ816" s="106" t="n">
        <v>0</v>
      </c>
      <c r="BA816" s="106" t="n">
        <v>737257.579926</v>
      </c>
      <c r="BB816" s="106" t="n">
        <v>0</v>
      </c>
      <c r="BC816" s="106" t="n"/>
      <c r="BD816" s="106" t="n"/>
      <c r="BE816" s="106" t="n">
        <v>0</v>
      </c>
      <c r="BF816" s="106" t="n">
        <v>1613252.133234</v>
      </c>
      <c r="BG816" s="106" t="n">
        <v>0</v>
      </c>
      <c r="BH816" s="106" t="n">
        <v>2823485.510412</v>
      </c>
      <c r="BI816" s="106" t="n">
        <v>0</v>
      </c>
      <c r="BJ816" s="106" t="n"/>
      <c r="BK816" s="114" t="n"/>
      <c r="BL816" s="187" t="n">
        <v>142024.919044</v>
      </c>
      <c r="BM816" s="113" t="n">
        <f aca="false" ca="true" dt2D="false" dtr="false" t="normal">SUBTOTAL(9, BN816:CB816)</f>
        <v>6636678.46</v>
      </c>
      <c r="BN816" s="106" t="n">
        <v>1320658.317384</v>
      </c>
      <c r="BO816" s="106" t="n">
        <v>0</v>
      </c>
      <c r="BP816" s="106" t="n">
        <v>0</v>
      </c>
      <c r="BQ816" s="106" t="n">
        <v>737257.579926</v>
      </c>
      <c r="BR816" s="106" t="n">
        <v>0</v>
      </c>
      <c r="BS816" s="106" t="n"/>
      <c r="BT816" s="106" t="n"/>
      <c r="BU816" s="106" t="n">
        <v>0</v>
      </c>
      <c r="BV816" s="106" t="n">
        <v>1613252.133234</v>
      </c>
      <c r="BW816" s="106" t="n">
        <v>0</v>
      </c>
      <c r="BX816" s="106" t="n">
        <v>2823485.510412</v>
      </c>
      <c r="BY816" s="106" t="n">
        <v>0</v>
      </c>
      <c r="BZ816" s="106" t="n"/>
      <c r="CA816" s="114" t="n"/>
      <c r="CB816" s="115" t="n">
        <v>142024.919044</v>
      </c>
      <c r="CD816" s="116" t="e">
        <f aca="false" ca="false" dt2D="false" dtr="false" t="normal">+CD815+1</f>
        <v>#REF!</v>
      </c>
      <c r="CE816" s="117" t="e">
        <f aca="false" ca="false" dt2D="false" dtr="false" t="normal">+CE815+1</f>
        <v>#REF!</v>
      </c>
      <c r="CF816" s="104" t="s">
        <v>445</v>
      </c>
      <c r="CG816" s="117" t="s">
        <v>752</v>
      </c>
      <c r="CH816" s="108" t="n">
        <f aca="false" ca="true" dt2D="false" dtr="false" t="normal">SUBTOTAL(9, CI816:CW816)</f>
        <v>6636678.459999999</v>
      </c>
      <c r="CI816" s="106" t="n">
        <v>1320658.32</v>
      </c>
      <c r="CJ816" s="114" t="n">
        <v>0</v>
      </c>
      <c r="CK816" s="114" t="n">
        <v>0</v>
      </c>
      <c r="CL816" s="114" t="n">
        <v>737257.58</v>
      </c>
      <c r="CM816" s="114" t="n">
        <v>0</v>
      </c>
      <c r="CN816" s="114" t="n"/>
      <c r="CO816" s="106" t="n"/>
      <c r="CP816" s="114" t="n">
        <v>0</v>
      </c>
      <c r="CQ816" s="114" t="n">
        <v>1613252.13</v>
      </c>
      <c r="CR816" s="114" t="n">
        <v>0</v>
      </c>
      <c r="CS816" s="114" t="n">
        <v>2823485.51</v>
      </c>
      <c r="CT816" s="114" t="n">
        <v>0</v>
      </c>
      <c r="CU816" s="114" t="n"/>
      <c r="CV816" s="114" t="n"/>
      <c r="CW816" s="115" t="n">
        <v>142024.92</v>
      </c>
      <c r="CX816" s="3" t="n">
        <f aca="false" ca="false" dt2D="false" dtr="false" t="normal">+N816-CH816</f>
        <v>-142024.91999999806</v>
      </c>
      <c r="CZ816" s="117" t="s">
        <v>752</v>
      </c>
      <c r="DA816" s="113" t="n">
        <f aca="false" ca="true" dt2D="false" dtr="false" t="normal">SUBTOTAL(9, DB816:DP816)</f>
        <v>6494653.539999999</v>
      </c>
      <c r="DB816" s="106" t="n">
        <v>1320658.32</v>
      </c>
      <c r="DC816" s="114" t="n">
        <v>0</v>
      </c>
      <c r="DD816" s="114" t="n">
        <v>0</v>
      </c>
      <c r="DE816" s="114" t="n">
        <v>737257.58</v>
      </c>
      <c r="DF816" s="114" t="n">
        <v>0</v>
      </c>
      <c r="DG816" s="114" t="n"/>
      <c r="DH816" s="106" t="n"/>
      <c r="DI816" s="114" t="n">
        <v>0</v>
      </c>
      <c r="DJ816" s="114" t="n">
        <v>1613252.13</v>
      </c>
      <c r="DK816" s="114" t="n">
        <v>0</v>
      </c>
      <c r="DL816" s="114" t="n">
        <v>2823485.51</v>
      </c>
      <c r="DM816" s="114" t="n">
        <v>0</v>
      </c>
      <c r="DN816" s="114" t="n"/>
      <c r="DO816" s="114" t="n"/>
      <c r="DP816" s="240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</row>
    <row customFormat="true" hidden="false" ht="15" outlineLevel="0" r="817" s="1">
      <c r="A817" s="183" t="n">
        <f aca="false" ca="false" dt2D="false" dtr="false" t="normal">+A816+1</f>
        <v>795</v>
      </c>
      <c r="B817" s="117" t="n">
        <f aca="false" ca="false" dt2D="false" dtr="false" t="normal">+B816+1</f>
        <v>335</v>
      </c>
      <c r="C817" s="117" t="s">
        <v>445</v>
      </c>
      <c r="D817" s="117" t="s">
        <v>753</v>
      </c>
      <c r="E817" s="201" t="n">
        <v>1975</v>
      </c>
      <c r="F817" s="201" t="n">
        <v>1975</v>
      </c>
      <c r="G817" s="201" t="s">
        <v>447</v>
      </c>
      <c r="H817" s="201" t="n">
        <v>2</v>
      </c>
      <c r="I817" s="201" t="n">
        <v>2</v>
      </c>
      <c r="J817" s="114" t="n">
        <v>404.7</v>
      </c>
      <c r="K817" s="114" t="n">
        <v>359</v>
      </c>
      <c r="L817" s="114" t="n">
        <v>0</v>
      </c>
      <c r="M817" s="202" t="n">
        <v>19</v>
      </c>
      <c r="N817" s="108" t="n">
        <f aca="false" ca="false" dt2D="false" dtr="false" t="normal">SUM(P817:T817)</f>
        <v>2055223.54</v>
      </c>
      <c r="O817" s="114" t="n"/>
      <c r="P817" s="113" t="n"/>
      <c r="Q817" s="114" t="n"/>
      <c r="R817" s="113" t="n">
        <v>208947.4</v>
      </c>
      <c r="S817" s="113" t="n">
        <v>305868</v>
      </c>
      <c r="T817" s="113" t="n">
        <v>1540408.14</v>
      </c>
      <c r="U817" s="114" t="n">
        <v>381.665319410424</v>
      </c>
      <c r="V817" s="114" t="n">
        <v>1422.283020064</v>
      </c>
      <c r="W817" s="110" t="n">
        <v>2024</v>
      </c>
      <c r="X817" s="9" t="e">
        <f aca="false" ca="false" dt2D="false" dtr="false" t="normal">+#REF!-'[9]Приложение №1'!$P376</f>
        <v>#REF!</v>
      </c>
      <c r="Z817" s="113" t="n">
        <f aca="false" ca="false" dt2D="false" dtr="false" t="normal">SUM(AA817:AO817)</f>
        <v>2159719.6999999997</v>
      </c>
      <c r="AA817" s="106" t="n">
        <v>0</v>
      </c>
      <c r="AB817" s="106" t="n">
        <v>0</v>
      </c>
      <c r="AC817" s="106" t="n">
        <v>105075.60924</v>
      </c>
      <c r="AD817" s="106" t="n">
        <v>0</v>
      </c>
      <c r="AE817" s="106" t="n">
        <v>0</v>
      </c>
      <c r="AF817" s="106" t="n"/>
      <c r="AG817" s="106" t="n">
        <v>0</v>
      </c>
      <c r="AH817" s="106" t="n">
        <v>0</v>
      </c>
      <c r="AI817" s="106" t="n">
        <v>0</v>
      </c>
      <c r="AJ817" s="106" t="n">
        <v>0</v>
      </c>
      <c r="AK817" s="106" t="n">
        <v>1919964.769086</v>
      </c>
      <c r="AL817" s="106" t="n">
        <v>0</v>
      </c>
      <c r="AM817" s="106" t="n">
        <v>60395.79</v>
      </c>
      <c r="AN817" s="114" t="n">
        <v>30000</v>
      </c>
      <c r="AO817" s="115" t="n">
        <v>44283.531674</v>
      </c>
      <c r="AP817" s="112" t="n">
        <f aca="false" ca="false" dt2D="false" dtr="false" t="normal">+N817-'Приложение №2'!E817</f>
        <v>0</v>
      </c>
      <c r="AQ817" s="9" t="e">
        <f aca="false" ca="false" dt2D="false" dtr="false" t="normal">151102.82-#REF!</f>
        <v>#REF!</v>
      </c>
      <c r="AR817" s="3" t="n">
        <f aca="false" ca="false" dt2D="false" dtr="false" t="normal">+(K817*7.46+L817*20.48)*12*0.85</f>
        <v>27317.028</v>
      </c>
      <c r="AS817" s="3" t="e">
        <f aca="false" ca="false" dt2D="false" dtr="false" t="normal">+(K817*7.46+L817*20.48)*12*10-#REF!</f>
        <v>#REF!</v>
      </c>
      <c r="AT817" s="9" t="e">
        <f aca="false" ca="false" dt2D="false" dtr="false" t="normal">+S817-AS817</f>
        <v>#REF!</v>
      </c>
      <c r="AU817" s="9" t="e">
        <f aca="false" ca="false" dt2D="false" dtr="false" t="normal">+P817-'[5]Приложение №1'!$P702</f>
        <v>#REF!</v>
      </c>
      <c r="AV817" s="9" t="e">
        <f aca="false" ca="false" dt2D="false" dtr="false" t="normal">+Q817-'[5]Приложение №1'!$Q702</f>
        <v>#REF!</v>
      </c>
      <c r="AW817" s="186" t="n">
        <f aca="false" ca="true" dt2D="false" dtr="false" t="normal">SUBTOTAL(9, AX817:BL817)</f>
        <v>137017.8496683421</v>
      </c>
      <c r="AX817" s="106" t="n">
        <v>0</v>
      </c>
      <c r="AY817" s="106" t="n">
        <v>0</v>
      </c>
      <c r="AZ817" s="106" t="n">
        <v>135258.769772724</v>
      </c>
      <c r="BA817" s="106" t="n">
        <v>0</v>
      </c>
      <c r="BB817" s="106" t="n">
        <v>0</v>
      </c>
      <c r="BC817" s="106" t="n"/>
      <c r="BD817" s="106" t="n"/>
      <c r="BE817" s="106" t="n">
        <v>0</v>
      </c>
      <c r="BF817" s="106" t="n">
        <v>0</v>
      </c>
      <c r="BG817" s="106" t="n">
        <v>0</v>
      </c>
      <c r="BH817" s="106" t="n"/>
      <c r="BI817" s="106" t="n">
        <v>0</v>
      </c>
      <c r="BJ817" s="106" t="n"/>
      <c r="BK817" s="114" t="n"/>
      <c r="BL817" s="115" t="n">
        <v>1759.07989561812</v>
      </c>
      <c r="BM817" s="186" t="n">
        <f aca="false" ca="true" dt2D="false" dtr="false" t="normal">SUBTOTAL(9, BN817:CB817)</f>
        <v>137017.8496683421</v>
      </c>
      <c r="BN817" s="106" t="n">
        <v>0</v>
      </c>
      <c r="BO817" s="106" t="n">
        <v>0</v>
      </c>
      <c r="BP817" s="106" t="n">
        <v>135258.769772724</v>
      </c>
      <c r="BQ817" s="106" t="n">
        <v>0</v>
      </c>
      <c r="BR817" s="106" t="n">
        <v>0</v>
      </c>
      <c r="BS817" s="106" t="n"/>
      <c r="BT817" s="106" t="n"/>
      <c r="BU817" s="106" t="n">
        <v>0</v>
      </c>
      <c r="BV817" s="106" t="n">
        <v>0</v>
      </c>
      <c r="BW817" s="106" t="n">
        <v>0</v>
      </c>
      <c r="BX817" s="106" t="n"/>
      <c r="BY817" s="106" t="n">
        <v>0</v>
      </c>
      <c r="BZ817" s="106" t="n"/>
      <c r="CA817" s="114" t="n"/>
      <c r="CB817" s="115" t="n">
        <v>1759.07989561812</v>
      </c>
      <c r="CD817" s="116" t="e">
        <f aca="false" ca="false" dt2D="false" dtr="false" t="normal">+CD816+1</f>
        <v>#REF!</v>
      </c>
      <c r="CE817" s="117" t="e">
        <f aca="false" ca="false" dt2D="false" dtr="false" t="normal">+CE816+1</f>
        <v>#REF!</v>
      </c>
      <c r="CF817" s="104" t="s">
        <v>445</v>
      </c>
      <c r="CG817" s="104" t="s">
        <v>753</v>
      </c>
      <c r="CH817" s="232" t="n">
        <f aca="false" ca="true" dt2D="false" dtr="false" t="normal">SUBTOTAL(9, CI817:CW817)</f>
        <v>2095559.67</v>
      </c>
      <c r="CI817" s="106" t="n">
        <v>0</v>
      </c>
      <c r="CJ817" s="114" t="n">
        <v>0</v>
      </c>
      <c r="CK817" s="114" t="n">
        <v>135258.77</v>
      </c>
      <c r="CL817" s="114" t="n">
        <v>0</v>
      </c>
      <c r="CM817" s="114" t="n">
        <v>0</v>
      </c>
      <c r="CN817" s="114" t="n"/>
      <c r="CO817" s="106" t="n"/>
      <c r="CP817" s="114" t="n">
        <v>0</v>
      </c>
      <c r="CQ817" s="114" t="n">
        <v>0</v>
      </c>
      <c r="CR817" s="114" t="n">
        <v>0</v>
      </c>
      <c r="CS817" s="114" t="n">
        <v>1919964.77</v>
      </c>
      <c r="CT817" s="114" t="n">
        <v>0</v>
      </c>
      <c r="CU817" s="114" t="n"/>
      <c r="CV817" s="114" t="n"/>
      <c r="CW817" s="115" t="n">
        <v>40336.13</v>
      </c>
      <c r="CX817" s="3" t="n">
        <f aca="false" ca="false" dt2D="false" dtr="false" t="normal">+N817-CH817</f>
        <v>-40336.12999999989</v>
      </c>
      <c r="CZ817" s="104" t="s">
        <v>753</v>
      </c>
      <c r="DA817" s="186" t="n">
        <f aca="false" ca="true" dt2D="false" dtr="false" t="normal">SUBTOTAL(9, DB817:DP817)</f>
        <v>2055223.54</v>
      </c>
      <c r="DB817" s="106" t="n">
        <v>0</v>
      </c>
      <c r="DC817" s="114" t="n">
        <v>0</v>
      </c>
      <c r="DD817" s="114" t="n">
        <v>135258.77</v>
      </c>
      <c r="DE817" s="114" t="n">
        <v>0</v>
      </c>
      <c r="DF817" s="114" t="n">
        <v>0</v>
      </c>
      <c r="DG817" s="114" t="n"/>
      <c r="DH817" s="106" t="n"/>
      <c r="DI817" s="114" t="n">
        <v>0</v>
      </c>
      <c r="DJ817" s="114" t="n">
        <v>0</v>
      </c>
      <c r="DK817" s="114" t="n">
        <v>0</v>
      </c>
      <c r="DL817" s="114" t="n">
        <v>1919964.77</v>
      </c>
      <c r="DM817" s="114" t="n">
        <v>0</v>
      </c>
      <c r="DN817" s="114" t="n"/>
      <c r="DO817" s="114" t="n"/>
      <c r="DP817" s="240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</row>
    <row customFormat="true" hidden="false" ht="15" outlineLevel="0" r="818" s="1">
      <c r="A818" s="183" t="n">
        <f aca="false" ca="false" dt2D="false" dtr="false" t="normal">+A817+1</f>
        <v>796</v>
      </c>
      <c r="B818" s="117" t="n">
        <f aca="false" ca="false" dt2D="false" dtr="false" t="normal">+B817+1</f>
        <v>336</v>
      </c>
      <c r="C818" s="117" t="s">
        <v>445</v>
      </c>
      <c r="D818" s="117" t="s">
        <v>446</v>
      </c>
      <c r="E818" s="201" t="n">
        <v>1982</v>
      </c>
      <c r="F818" s="201" t="n">
        <v>1982</v>
      </c>
      <c r="G818" s="201" t="s">
        <v>447</v>
      </c>
      <c r="H818" s="201" t="n">
        <v>2</v>
      </c>
      <c r="I818" s="201" t="n">
        <v>3</v>
      </c>
      <c r="J818" s="114" t="n">
        <v>1277.5</v>
      </c>
      <c r="K818" s="114" t="n">
        <v>1102.3</v>
      </c>
      <c r="L818" s="114" t="n">
        <v>0</v>
      </c>
      <c r="M818" s="202" t="n">
        <v>34</v>
      </c>
      <c r="N818" s="108" t="n">
        <f aca="false" ca="false" dt2D="false" dtr="false" t="normal">SUM(P818:T818)</f>
        <v>17320619.25</v>
      </c>
      <c r="O818" s="114" t="n"/>
      <c r="P818" s="114" t="n"/>
      <c r="Q818" s="114" t="n"/>
      <c r="R818" s="113" t="n">
        <v>510217.95</v>
      </c>
      <c r="S818" s="113" t="n">
        <v>986778.96</v>
      </c>
      <c r="T818" s="113" t="n">
        <v>15823622.34</v>
      </c>
      <c r="U818" s="114" t="n">
        <v>6498.55449858717</v>
      </c>
      <c r="V818" s="114" t="n">
        <v>1423.283020064</v>
      </c>
      <c r="W818" s="110" t="n">
        <v>2024</v>
      </c>
      <c r="X818" s="9" t="e">
        <f aca="false" ca="false" dt2D="false" dtr="false" t="normal">+#REF!-'[9]Приложение №1'!$P445</f>
        <v>#REF!</v>
      </c>
      <c r="Z818" s="113" t="n">
        <f aca="false" ca="false" dt2D="false" dtr="false" t="normal">SUM(AA818:AO818)</f>
        <v>20938342.830000006</v>
      </c>
      <c r="AA818" s="106" t="n">
        <v>2788532.678064</v>
      </c>
      <c r="AB818" s="106" t="n">
        <v>0</v>
      </c>
      <c r="AC818" s="106" t="n">
        <v>377369.219472</v>
      </c>
      <c r="AD818" s="106" t="n">
        <v>1566144.814878</v>
      </c>
      <c r="AE818" s="106" t="n">
        <v>0</v>
      </c>
      <c r="AF818" s="106" t="n"/>
      <c r="AG818" s="106" t="n">
        <v>616763.67753</v>
      </c>
      <c r="AH818" s="106" t="n">
        <v>0</v>
      </c>
      <c r="AI818" s="106" t="n">
        <v>3422622.370734</v>
      </c>
      <c r="AJ818" s="106" t="n">
        <v>0</v>
      </c>
      <c r="AK818" s="106" t="n">
        <v>5952055.638144</v>
      </c>
      <c r="AL818" s="106" t="n">
        <v>5507536.246926</v>
      </c>
      <c r="AM818" s="106" t="n">
        <v>219906.35</v>
      </c>
      <c r="AN818" s="114" t="n">
        <v>45000.3</v>
      </c>
      <c r="AO818" s="115" t="n">
        <v>442411.534252</v>
      </c>
      <c r="AP818" s="112" t="n">
        <f aca="false" ca="false" dt2D="false" dtr="false" t="normal">+N818-'Приложение №2'!E818</f>
        <v>0</v>
      </c>
      <c r="AQ818" s="9" t="e">
        <f aca="false" ca="false" dt2D="false" dtr="false" t="normal">397322.38-#REF!</f>
        <v>#REF!</v>
      </c>
      <c r="AR818" s="3" t="n">
        <f aca="false" ca="false" dt2D="false" dtr="false" t="normal">+(K818*7.46+L818*20.48)*12*0.85</f>
        <v>83876.2116</v>
      </c>
      <c r="AS818" s="3" t="e">
        <f aca="false" ca="false" dt2D="false" dtr="false" t="normal">+(K818*7.46+L818*20.48)*12*10-#REF!</f>
        <v>#REF!</v>
      </c>
      <c r="AT818" s="9" t="e">
        <f aca="false" ca="false" dt2D="false" dtr="false" t="normal">+S818-AS818</f>
        <v>#REF!</v>
      </c>
      <c r="AU818" s="9" t="e">
        <f aca="false" ca="false" dt2D="false" dtr="false" t="normal">+P818-'[5]Приложение №1'!$P703</f>
        <v>#REF!</v>
      </c>
      <c r="AV818" s="9" t="e">
        <f aca="false" ca="false" dt2D="false" dtr="false" t="normal">+Q818-'[5]Приложение №1'!$Q703</f>
        <v>#REF!</v>
      </c>
      <c r="AW818" s="186" t="n">
        <f aca="false" ca="true" dt2D="false" dtr="false" t="normal">SUBTOTAL(9, AX818:BL818)</f>
        <v>7163356.623792637</v>
      </c>
      <c r="AX818" s="106" t="n"/>
      <c r="AY818" s="106" t="n">
        <v>0</v>
      </c>
      <c r="AZ818" s="106" t="n">
        <v>452723.071208028</v>
      </c>
      <c r="BA818" s="106" t="n"/>
      <c r="BB818" s="106" t="n">
        <v>0</v>
      </c>
      <c r="BC818" s="106" t="n"/>
      <c r="BD818" s="106" t="n">
        <v>0</v>
      </c>
      <c r="BE818" s="106" t="n">
        <v>0</v>
      </c>
      <c r="BF818" s="106" t="n"/>
      <c r="BG818" s="106" t="n">
        <v>0</v>
      </c>
      <c r="BH818" s="106" t="n"/>
      <c r="BI818" s="106" t="n">
        <v>6561163.05312782</v>
      </c>
      <c r="BJ818" s="106" t="n"/>
      <c r="BK818" s="114" t="n"/>
      <c r="BL818" s="115" t="n">
        <v>149470.499456789</v>
      </c>
      <c r="BM818" s="186" t="n">
        <f aca="false" ca="true" dt2D="false" dtr="false" t="normal">SUBTOTAL(9, BN818:CB818)</f>
        <v>7163356.623792637</v>
      </c>
      <c r="BN818" s="106" t="n"/>
      <c r="BO818" s="106" t="n">
        <v>0</v>
      </c>
      <c r="BP818" s="106" t="n">
        <v>452723.071208028</v>
      </c>
      <c r="BQ818" s="106" t="n"/>
      <c r="BR818" s="106" t="n">
        <v>0</v>
      </c>
      <c r="BS818" s="106" t="n"/>
      <c r="BT818" s="106" t="n">
        <v>0</v>
      </c>
      <c r="BU818" s="106" t="n">
        <v>0</v>
      </c>
      <c r="BV818" s="106" t="n"/>
      <c r="BW818" s="106" t="n">
        <v>0</v>
      </c>
      <c r="BX818" s="106" t="n"/>
      <c r="BY818" s="106" t="n">
        <v>6561163.05312782</v>
      </c>
      <c r="BZ818" s="106" t="n"/>
      <c r="CA818" s="114" t="n"/>
      <c r="CB818" s="115" t="n">
        <v>149470.499456789</v>
      </c>
      <c r="CD818" s="116" t="e">
        <f aca="false" ca="false" dt2D="false" dtr="false" t="normal">+CD817+1</f>
        <v>#REF!</v>
      </c>
      <c r="CE818" s="117" t="e">
        <f aca="false" ca="false" dt2D="false" dtr="false" t="normal">+CE817+1</f>
        <v>#REF!</v>
      </c>
      <c r="CF818" s="104" t="s">
        <v>445</v>
      </c>
      <c r="CG818" s="104" t="s">
        <v>446</v>
      </c>
      <c r="CH818" s="232" t="n">
        <f aca="false" ca="true" dt2D="false" dtr="false" t="normal">SUBTOTAL(9, CI818:CW818)</f>
        <v>17754943.74</v>
      </c>
      <c r="CI818" s="106" t="n">
        <v>2788532.68</v>
      </c>
      <c r="CJ818" s="114" t="n">
        <v>0</v>
      </c>
      <c r="CK818" s="114" t="n">
        <v>452723.07</v>
      </c>
      <c r="CL818" s="114" t="n">
        <v>1566144.81</v>
      </c>
      <c r="CM818" s="114" t="n">
        <v>0</v>
      </c>
      <c r="CN818" s="114" t="n"/>
      <c r="CO818" s="106" t="n"/>
      <c r="CP818" s="114" t="n">
        <v>0</v>
      </c>
      <c r="CQ818" s="114" t="n"/>
      <c r="CR818" s="114" t="n">
        <v>0</v>
      </c>
      <c r="CS818" s="114" t="n">
        <v>5952055.64</v>
      </c>
      <c r="CT818" s="114" t="n">
        <v>6561163.05</v>
      </c>
      <c r="CU818" s="114" t="n"/>
      <c r="CV818" s="114" t="n"/>
      <c r="CW818" s="115" t="n">
        <v>434324.49</v>
      </c>
      <c r="CX818" s="3" t="n">
        <f aca="false" ca="false" dt2D="false" dtr="false" t="normal">+N818-CH818</f>
        <v>-434324.48999999836</v>
      </c>
      <c r="CZ818" s="104" t="s">
        <v>446</v>
      </c>
      <c r="DA818" s="186" t="n">
        <f aca="false" ca="true" dt2D="false" dtr="false" t="normal">SUBTOTAL(9, DB818:DP818)</f>
        <v>17320619.25</v>
      </c>
      <c r="DB818" s="106" t="n">
        <v>2788532.68</v>
      </c>
      <c r="DC818" s="114" t="n">
        <v>0</v>
      </c>
      <c r="DD818" s="114" t="n">
        <v>452723.07</v>
      </c>
      <c r="DE818" s="114" t="n">
        <v>1566144.81</v>
      </c>
      <c r="DF818" s="114" t="n">
        <v>0</v>
      </c>
      <c r="DG818" s="114" t="n"/>
      <c r="DH818" s="106" t="n"/>
      <c r="DI818" s="114" t="n">
        <v>0</v>
      </c>
      <c r="DJ818" s="114" t="n"/>
      <c r="DK818" s="114" t="n">
        <v>0</v>
      </c>
      <c r="DL818" s="114" t="n">
        <v>5952055.64</v>
      </c>
      <c r="DM818" s="114" t="n">
        <v>6561163.05</v>
      </c>
      <c r="DN818" s="114" t="n"/>
      <c r="DO818" s="114" t="n"/>
      <c r="DP818" s="240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</row>
    <row customFormat="true" hidden="false" ht="15" outlineLevel="0" r="819" s="1">
      <c r="A819" s="183" t="n">
        <f aca="false" ca="false" dt2D="false" dtr="false" t="normal">+A818+1</f>
        <v>797</v>
      </c>
      <c r="B819" s="117" t="n">
        <f aca="false" ca="false" dt2D="false" dtr="false" t="normal">+B818+1</f>
        <v>337</v>
      </c>
      <c r="C819" s="117" t="s">
        <v>445</v>
      </c>
      <c r="D819" s="117" t="s">
        <v>754</v>
      </c>
      <c r="E819" s="201" t="n">
        <v>1980</v>
      </c>
      <c r="F819" s="201" t="n">
        <v>2009</v>
      </c>
      <c r="G819" s="201" t="s">
        <v>447</v>
      </c>
      <c r="H819" s="201" t="n">
        <v>2</v>
      </c>
      <c r="I819" s="201" t="n">
        <v>2</v>
      </c>
      <c r="J819" s="114" t="n">
        <v>672.9</v>
      </c>
      <c r="K819" s="114" t="n">
        <v>611.1</v>
      </c>
      <c r="L819" s="114" t="n">
        <v>0</v>
      </c>
      <c r="M819" s="202" t="n">
        <v>29</v>
      </c>
      <c r="N819" s="108" t="n">
        <f aca="false" ca="false" dt2D="false" dtr="false" t="normal">SUM(P819:T819)</f>
        <v>10862976.68</v>
      </c>
      <c r="O819" s="114" t="n"/>
      <c r="P819" s="113" t="n">
        <v>2074412.34</v>
      </c>
      <c r="Q819" s="114" t="n"/>
      <c r="R819" s="113" t="n">
        <v>276160.05</v>
      </c>
      <c r="S819" s="113" t="n">
        <v>547056.72</v>
      </c>
      <c r="T819" s="113" t="n">
        <v>7965347.57</v>
      </c>
      <c r="U819" s="114" t="n">
        <v>6970.46802537768</v>
      </c>
      <c r="V819" s="114" t="n">
        <v>1424.283020064</v>
      </c>
      <c r="W819" s="110" t="n">
        <v>2024</v>
      </c>
      <c r="X819" s="9" t="e">
        <f aca="false" ca="false" dt2D="false" dtr="false" t="normal">+#REF!-'[9]Приложение №1'!$P445</f>
        <v>#REF!</v>
      </c>
      <c r="Z819" s="113" t="n">
        <f aca="false" ca="false" dt2D="false" dtr="false" t="normal">SUM(AA819:AO819)</f>
        <v>11378629.49</v>
      </c>
      <c r="AA819" s="106" t="n">
        <v>1424337.50885244</v>
      </c>
      <c r="AB819" s="106" t="n">
        <v>0</v>
      </c>
      <c r="AC819" s="106" t="n">
        <v>0</v>
      </c>
      <c r="AD819" s="106" t="n">
        <v>760379.17506936</v>
      </c>
      <c r="AE819" s="106" t="n">
        <v>0</v>
      </c>
      <c r="AF819" s="106" t="n"/>
      <c r="AG819" s="106" t="n">
        <v>334977.14468904</v>
      </c>
      <c r="AH819" s="106" t="n">
        <v>0</v>
      </c>
      <c r="AI819" s="106" t="n">
        <v>1736316.6240672</v>
      </c>
      <c r="AJ819" s="106" t="n">
        <v>0</v>
      </c>
      <c r="AK819" s="106" t="n">
        <v>2963106.3528675</v>
      </c>
      <c r="AL819" s="106" t="n">
        <v>2745980.94351672</v>
      </c>
      <c r="AM819" s="106" t="n">
        <v>1081828.941</v>
      </c>
      <c r="AN819" s="114" t="n">
        <v>113786.2949</v>
      </c>
      <c r="AO819" s="115" t="n">
        <v>217916.50503774</v>
      </c>
      <c r="AP819" s="112" t="n">
        <f aca="false" ca="false" dt2D="false" dtr="false" t="normal">+N819-'Приложение №2'!E819</f>
        <v>0</v>
      </c>
      <c r="AQ819" s="9" t="e">
        <f aca="false" ca="false" dt2D="false" dtr="false" t="normal">212506.51-#REF!</f>
        <v>#REF!</v>
      </c>
      <c r="AR819" s="3" t="n">
        <f aca="false" ca="false" dt2D="false" dtr="false" t="normal">+(K819*7.46+L819*20.48)*12*0.85</f>
        <v>46499.821200000006</v>
      </c>
      <c r="AS819" s="3" t="e">
        <f aca="false" ca="false" dt2D="false" dtr="false" t="normal">+(K819*7.46+L819*20.48)*12*10-#REF!</f>
        <v>#REF!</v>
      </c>
      <c r="AT819" s="9" t="e">
        <f aca="false" ca="false" dt2D="false" dtr="false" t="normal">+S819-AS819</f>
        <v>#REF!</v>
      </c>
      <c r="AU819" s="9" t="e">
        <f aca="false" ca="false" dt2D="false" dtr="false" t="normal">+P819-'[5]Приложение №1'!$P704</f>
        <v>#REF!</v>
      </c>
      <c r="AV819" s="9" t="e">
        <f aca="false" ca="false" dt2D="false" dtr="false" t="normal">+Q819-'[5]Приложение №1'!$Q704</f>
        <v>#REF!</v>
      </c>
      <c r="AW819" s="186" t="n">
        <f aca="false" ca="true" dt2D="false" dtr="false" t="normal">SUBTOTAL(9, AX819:BL819)</f>
        <v>4259653.010308299</v>
      </c>
      <c r="AX819" s="106" t="n"/>
      <c r="AY819" s="106" t="n">
        <v>0</v>
      </c>
      <c r="AZ819" s="106" t="n">
        <v>0</v>
      </c>
      <c r="BA819" s="106" t="n">
        <v>904580.553520056</v>
      </c>
      <c r="BB819" s="106" t="n">
        <v>0</v>
      </c>
      <c r="BC819" s="106" t="n"/>
      <c r="BD819" s="106" t="n">
        <v>0</v>
      </c>
      <c r="BE819" s="106" t="n">
        <v>0</v>
      </c>
      <c r="BF819" s="106" t="n"/>
      <c r="BG819" s="106" t="n">
        <v>0</v>
      </c>
      <c r="BH819" s="106" t="n"/>
      <c r="BI819" s="106" t="n">
        <v>3266743.40017</v>
      </c>
      <c r="BJ819" s="106" t="n"/>
      <c r="BK819" s="114" t="n"/>
      <c r="BL819" s="115" t="n">
        <v>88329.0566182436</v>
      </c>
      <c r="BM819" s="186" t="n">
        <f aca="false" ca="true" dt2D="false" dtr="false" t="normal">SUBTOTAL(9, BN819:CB819)</f>
        <v>4259653.010308299</v>
      </c>
      <c r="BN819" s="106" t="n"/>
      <c r="BO819" s="106" t="n">
        <v>0</v>
      </c>
      <c r="BP819" s="106" t="n">
        <v>0</v>
      </c>
      <c r="BQ819" s="106" t="n">
        <v>904580.553520056</v>
      </c>
      <c r="BR819" s="106" t="n">
        <v>0</v>
      </c>
      <c r="BS819" s="106" t="n"/>
      <c r="BT819" s="106" t="n">
        <v>0</v>
      </c>
      <c r="BU819" s="106" t="n">
        <v>0</v>
      </c>
      <c r="BV819" s="106" t="n"/>
      <c r="BW819" s="106" t="n">
        <v>0</v>
      </c>
      <c r="BX819" s="106" t="n"/>
      <c r="BY819" s="106" t="n">
        <v>3266743.40017</v>
      </c>
      <c r="BZ819" s="106" t="n"/>
      <c r="CA819" s="114" t="n"/>
      <c r="CB819" s="115" t="n">
        <v>88329.0566182436</v>
      </c>
      <c r="CD819" s="116" t="e">
        <f aca="false" ca="false" dt2D="false" dtr="false" t="normal">+CD818+1</f>
        <v>#REF!</v>
      </c>
      <c r="CE819" s="117" t="e">
        <f aca="false" ca="false" dt2D="false" dtr="false" t="normal">+CE818+1</f>
        <v>#REF!</v>
      </c>
      <c r="CF819" s="104" t="s">
        <v>445</v>
      </c>
      <c r="CG819" s="104" t="s">
        <v>754</v>
      </c>
      <c r="CH819" s="232" t="n">
        <f aca="false" ca="true" dt2D="false" dtr="false" t="normal">SUBTOTAL(9, CI819:CW819)</f>
        <v>11104963.9</v>
      </c>
      <c r="CI819" s="106" t="n">
        <v>1536923.95</v>
      </c>
      <c r="CJ819" s="114" t="n">
        <v>0</v>
      </c>
      <c r="CK819" s="114" t="n">
        <v>0</v>
      </c>
      <c r="CL819" s="114" t="n">
        <v>904580.55</v>
      </c>
      <c r="CM819" s="114" t="n">
        <v>0</v>
      </c>
      <c r="CN819" s="114" t="n"/>
      <c r="CO819" s="106" t="n"/>
      <c r="CP819" s="114" t="n">
        <v>0</v>
      </c>
      <c r="CQ819" s="114" t="n">
        <v>1876117.95</v>
      </c>
      <c r="CR819" s="114" t="n">
        <v>0</v>
      </c>
      <c r="CS819" s="114" t="n">
        <v>3278610.83</v>
      </c>
      <c r="CT819" s="114" t="n">
        <v>3266743.4</v>
      </c>
      <c r="CU819" s="114" t="n"/>
      <c r="CV819" s="114" t="n"/>
      <c r="CW819" s="115" t="n">
        <v>241987.22</v>
      </c>
      <c r="CX819" s="3" t="n">
        <f aca="false" ca="false" dt2D="false" dtr="false" t="normal">+N819-CH819</f>
        <v>-241987.22000000067</v>
      </c>
      <c r="CZ819" s="104" t="s">
        <v>754</v>
      </c>
      <c r="DA819" s="186" t="n">
        <f aca="false" ca="true" dt2D="false" dtr="false" t="normal">SUBTOTAL(9, DB819:DP819)</f>
        <v>10862976.68</v>
      </c>
      <c r="DB819" s="106" t="n">
        <v>1536923.95</v>
      </c>
      <c r="DC819" s="114" t="n">
        <v>0</v>
      </c>
      <c r="DD819" s="114" t="n">
        <v>0</v>
      </c>
      <c r="DE819" s="114" t="n">
        <v>904580.55</v>
      </c>
      <c r="DF819" s="114" t="n">
        <v>0</v>
      </c>
      <c r="DG819" s="114" t="n"/>
      <c r="DH819" s="106" t="n"/>
      <c r="DI819" s="114" t="n">
        <v>0</v>
      </c>
      <c r="DJ819" s="114" t="n">
        <v>1876117.95</v>
      </c>
      <c r="DK819" s="114" t="n">
        <v>0</v>
      </c>
      <c r="DL819" s="114" t="n">
        <v>3278610.83</v>
      </c>
      <c r="DM819" s="114" t="n">
        <v>3266743.4</v>
      </c>
      <c r="DN819" s="114" t="n"/>
      <c r="DO819" s="114" t="n"/>
      <c r="DP819" s="240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</row>
    <row customFormat="true" hidden="false" ht="15" outlineLevel="0" r="820" s="1">
      <c r="A820" s="183" t="n">
        <f aca="false" ca="false" dt2D="false" dtr="false" t="normal">+A819+1</f>
        <v>798</v>
      </c>
      <c r="B820" s="117" t="n">
        <f aca="false" ca="false" dt2D="false" dtr="false" t="normal">+B819+1</f>
        <v>338</v>
      </c>
      <c r="C820" s="104" t="s">
        <v>445</v>
      </c>
      <c r="D820" s="104" t="s">
        <v>755</v>
      </c>
      <c r="E820" s="105" t="n">
        <v>1977</v>
      </c>
      <c r="F820" s="105" t="n">
        <v>2009</v>
      </c>
      <c r="G820" s="105" t="s">
        <v>447</v>
      </c>
      <c r="H820" s="105" t="n">
        <v>2</v>
      </c>
      <c r="I820" s="105" t="n">
        <v>2</v>
      </c>
      <c r="J820" s="106" t="n">
        <v>513.5</v>
      </c>
      <c r="K820" s="106" t="n">
        <v>482.7</v>
      </c>
      <c r="L820" s="106" t="n">
        <v>0</v>
      </c>
      <c r="M820" s="107" t="n">
        <v>23</v>
      </c>
      <c r="N820" s="108" t="n">
        <f aca="false" ca="false" dt2D="false" dtr="false" t="normal">SUM(P820:T820)</f>
        <v>8761917.38</v>
      </c>
      <c r="O820" s="106" t="n"/>
      <c r="P820" s="113" t="n">
        <v>1947423.84</v>
      </c>
      <c r="Q820" s="114" t="n"/>
      <c r="R820" s="113" t="n">
        <v>256400.78</v>
      </c>
      <c r="S820" s="113" t="n">
        <v>2571557.11</v>
      </c>
      <c r="T820" s="113" t="n">
        <v>3986535.65</v>
      </c>
      <c r="U820" s="106" t="n">
        <v>12510.2721833017</v>
      </c>
      <c r="V820" s="106" t="n">
        <v>12510.2721833017</v>
      </c>
      <c r="W820" s="110" t="n">
        <v>2024</v>
      </c>
      <c r="X820" s="9" t="e">
        <f aca="false" ca="false" dt2D="false" dtr="false" t="normal">+#REF!-'[9]Приложение №1'!$P539</f>
        <v>#REF!</v>
      </c>
      <c r="Z820" s="113" t="n">
        <f aca="false" ca="false" dt2D="false" dtr="false" t="normal">SUM(AA820:AO820)</f>
        <v>8714786.47</v>
      </c>
      <c r="AA820" s="106" t="n">
        <v>1207621.767786</v>
      </c>
      <c r="AB820" s="106" t="n">
        <v>0</v>
      </c>
      <c r="AC820" s="106" t="n">
        <v>0</v>
      </c>
      <c r="AD820" s="106" t="n">
        <v>674481.818682</v>
      </c>
      <c r="AE820" s="106" t="n">
        <v>0</v>
      </c>
      <c r="AF820" s="106" t="n"/>
      <c r="AG820" s="106" t="n">
        <v>0</v>
      </c>
      <c r="AH820" s="106" t="n">
        <v>0</v>
      </c>
      <c r="AI820" s="106" t="n">
        <v>1465015.488426</v>
      </c>
      <c r="AJ820" s="106" t="n">
        <v>0</v>
      </c>
      <c r="AK820" s="106" t="n">
        <v>2572639.04457</v>
      </c>
      <c r="AL820" s="106" t="n">
        <v>2380773.378102</v>
      </c>
      <c r="AM820" s="106" t="n">
        <v>188635.93</v>
      </c>
      <c r="AN820" s="114" t="n">
        <v>44103.23</v>
      </c>
      <c r="AO820" s="115" t="n">
        <v>181515.812434</v>
      </c>
      <c r="AP820" s="112" t="n">
        <f aca="false" ca="false" dt2D="false" dtr="false" t="normal">+N820-'Приложение №2'!E820</f>
        <v>0</v>
      </c>
      <c r="AQ820" s="1" t="n">
        <v>147984.43</v>
      </c>
      <c r="AR820" s="3" t="n">
        <f aca="false" ca="false" dt2D="false" dtr="false" t="normal">+(K820*7.1+L820*19.5)*12*0.85</f>
        <v>34957.13399999999</v>
      </c>
      <c r="AS820" s="3" t="n">
        <f aca="false" ca="false" dt2D="false" dtr="false" t="normal">+(K820*7.1+L820*19.5)*12*10</f>
        <v>411260.3999999999</v>
      </c>
      <c r="AT820" s="9" t="n">
        <f aca="false" ca="false" dt2D="false" dtr="false" t="normal">+S820-AS820</f>
        <v>2160296.71</v>
      </c>
      <c r="AU820" s="9" t="e">
        <f aca="false" ca="false" dt2D="false" dtr="false" t="normal">+P820-'[5]Приложение №1'!$P444</f>
        <v>#REF!</v>
      </c>
      <c r="AV820" s="9" t="e">
        <f aca="false" ca="false" dt2D="false" dtr="false" t="normal">+Q820-'[5]Приложение №1'!$Q444</f>
        <v>#REF!</v>
      </c>
      <c r="AW820" s="113" t="n">
        <f aca="false" ca="true" dt2D="false" dtr="false" t="normal">SUBTOTAL(9, AX820:BL820)</f>
        <v>6038708.38287974</v>
      </c>
      <c r="AX820" s="106" t="n">
        <v>1207621.767786</v>
      </c>
      <c r="AY820" s="106" t="n">
        <v>0</v>
      </c>
      <c r="AZ820" s="106" t="n">
        <v>0</v>
      </c>
      <c r="BA820" s="106" t="n">
        <v>674481.818682</v>
      </c>
      <c r="BB820" s="106" t="n">
        <v>0</v>
      </c>
      <c r="BC820" s="106" t="n"/>
      <c r="BD820" s="106" t="n"/>
      <c r="BE820" s="106" t="n">
        <v>0</v>
      </c>
      <c r="BF820" s="106" t="n">
        <v>1465015.488426</v>
      </c>
      <c r="BG820" s="106" t="n">
        <v>0</v>
      </c>
      <c r="BH820" s="106" t="n">
        <v>2572639.04457</v>
      </c>
      <c r="BI820" s="106" t="n"/>
      <c r="BJ820" s="106" t="n"/>
      <c r="BK820" s="114" t="n"/>
      <c r="BL820" s="187" t="n">
        <v>118950.26341574</v>
      </c>
      <c r="BM820" s="113" t="n">
        <f aca="false" ca="true" dt2D="false" dtr="false" t="normal">SUBTOTAL(9, BN820:CB820)</f>
        <v>6038708.38287974</v>
      </c>
      <c r="BN820" s="106" t="n">
        <v>1207621.767786</v>
      </c>
      <c r="BO820" s="106" t="n">
        <v>0</v>
      </c>
      <c r="BP820" s="106" t="n">
        <v>0</v>
      </c>
      <c r="BQ820" s="106" t="n">
        <v>674481.818682</v>
      </c>
      <c r="BR820" s="106" t="n">
        <v>0</v>
      </c>
      <c r="BS820" s="106" t="n"/>
      <c r="BT820" s="106" t="n"/>
      <c r="BU820" s="106" t="n">
        <v>0</v>
      </c>
      <c r="BV820" s="106" t="n">
        <v>1465015.488426</v>
      </c>
      <c r="BW820" s="106" t="n">
        <v>0</v>
      </c>
      <c r="BX820" s="106" t="n">
        <v>2572639.04457</v>
      </c>
      <c r="BY820" s="106" t="n"/>
      <c r="BZ820" s="106" t="n"/>
      <c r="CA820" s="114" t="n"/>
      <c r="CB820" s="115" t="n">
        <v>118950.26341574</v>
      </c>
      <c r="CD820" s="116" t="e">
        <f aca="false" ca="false" dt2D="false" dtr="false" t="normal">+CD819+1</f>
        <v>#REF!</v>
      </c>
      <c r="CE820" s="117" t="e">
        <f aca="false" ca="false" dt2D="false" dtr="false" t="normal">+CE819+1</f>
        <v>#REF!</v>
      </c>
      <c r="CF820" s="104" t="s">
        <v>445</v>
      </c>
      <c r="CG820" s="117" t="s">
        <v>755</v>
      </c>
      <c r="CH820" s="108" t="n">
        <f aca="false" ca="true" dt2D="false" dtr="false" t="normal">SUBTOTAL(9, CI820:CW820)</f>
        <v>8939288.389999999</v>
      </c>
      <c r="CI820" s="106" t="n">
        <v>1207621.77</v>
      </c>
      <c r="CJ820" s="114" t="n">
        <v>0</v>
      </c>
      <c r="CK820" s="114" t="n">
        <v>0</v>
      </c>
      <c r="CL820" s="114" t="n">
        <v>674481.82</v>
      </c>
      <c r="CM820" s="114" t="n">
        <v>0</v>
      </c>
      <c r="CN820" s="114" t="n"/>
      <c r="CO820" s="106" t="n"/>
      <c r="CP820" s="114" t="n">
        <v>0</v>
      </c>
      <c r="CQ820" s="114" t="n">
        <v>1465015.49</v>
      </c>
      <c r="CR820" s="114" t="n">
        <v>0</v>
      </c>
      <c r="CS820" s="114" t="n">
        <v>2572639.04</v>
      </c>
      <c r="CT820" s="114" t="n">
        <v>2842159.26</v>
      </c>
      <c r="CU820" s="114" t="n"/>
      <c r="CV820" s="114" t="n"/>
      <c r="CW820" s="115" t="n">
        <v>177371.01</v>
      </c>
      <c r="CX820" s="3" t="n">
        <f aca="false" ca="false" dt2D="false" dtr="false" t="normal">+N820-CH820</f>
        <v>-177371.0099999979</v>
      </c>
      <c r="CZ820" s="117" t="s">
        <v>755</v>
      </c>
      <c r="DA820" s="113" t="n">
        <f aca="false" ca="true" dt2D="false" dtr="false" t="normal">SUBTOTAL(9, DB820:DP820)</f>
        <v>8761917.379999999</v>
      </c>
      <c r="DB820" s="106" t="n">
        <v>1207621.77</v>
      </c>
      <c r="DC820" s="114" t="n">
        <v>0</v>
      </c>
      <c r="DD820" s="114" t="n">
        <v>0</v>
      </c>
      <c r="DE820" s="114" t="n">
        <v>674481.82</v>
      </c>
      <c r="DF820" s="114" t="n">
        <v>0</v>
      </c>
      <c r="DG820" s="114" t="n"/>
      <c r="DH820" s="106" t="n"/>
      <c r="DI820" s="114" t="n">
        <v>0</v>
      </c>
      <c r="DJ820" s="114" t="n">
        <v>1465015.49</v>
      </c>
      <c r="DK820" s="114" t="n">
        <v>0</v>
      </c>
      <c r="DL820" s="114" t="n">
        <v>2572639.04</v>
      </c>
      <c r="DM820" s="114" t="n">
        <v>2842159.26</v>
      </c>
      <c r="DN820" s="114" t="n"/>
      <c r="DO820" s="114" t="n"/>
      <c r="DP820" s="240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</row>
    <row customFormat="true" hidden="false" ht="15" outlineLevel="0" r="821" s="1">
      <c r="A821" s="183" t="n">
        <f aca="false" ca="false" dt2D="false" dtr="false" t="normal">+A820+1</f>
        <v>799</v>
      </c>
      <c r="B821" s="117" t="n">
        <f aca="false" ca="false" dt2D="false" dtr="false" t="normal">+B820+1</f>
        <v>339</v>
      </c>
      <c r="C821" s="117" t="s">
        <v>756</v>
      </c>
      <c r="D821" s="117" t="s">
        <v>757</v>
      </c>
      <c r="E821" s="201" t="n">
        <v>1981</v>
      </c>
      <c r="F821" s="201" t="n">
        <v>2012</v>
      </c>
      <c r="G821" s="201" t="s">
        <v>447</v>
      </c>
      <c r="H821" s="201" t="n">
        <v>2</v>
      </c>
      <c r="I821" s="201" t="n">
        <v>2</v>
      </c>
      <c r="J821" s="114" t="n">
        <v>1102.5</v>
      </c>
      <c r="K821" s="114" t="n">
        <v>944.54</v>
      </c>
      <c r="L821" s="114" t="n">
        <v>0</v>
      </c>
      <c r="M821" s="202" t="n">
        <v>51</v>
      </c>
      <c r="N821" s="108" t="n">
        <f aca="false" ca="false" dt2D="false" dtr="false" t="normal">SUM(P821:T821)</f>
        <v>12721531.690000001</v>
      </c>
      <c r="O821" s="114" t="n"/>
      <c r="P821" s="259" t="n"/>
      <c r="Q821" s="114" t="n"/>
      <c r="R821" s="113" t="n">
        <v>1619004.73</v>
      </c>
      <c r="S821" s="113" t="n">
        <v>804748.08</v>
      </c>
      <c r="T821" s="113" t="n">
        <v>10297778.88</v>
      </c>
      <c r="U821" s="114" t="n">
        <v>8099.07068145364</v>
      </c>
      <c r="V821" s="114" t="n">
        <v>1426.283020064</v>
      </c>
      <c r="W821" s="110" t="n">
        <v>2024</v>
      </c>
      <c r="X821" s="9" t="n"/>
      <c r="Z821" s="113" t="n"/>
      <c r="AA821" s="106" t="n"/>
      <c r="AB821" s="106" t="n"/>
      <c r="AC821" s="106" t="n"/>
      <c r="AD821" s="106" t="n"/>
      <c r="AE821" s="106" t="n"/>
      <c r="AF821" s="106" t="n"/>
      <c r="AG821" s="106" t="n"/>
      <c r="AH821" s="106" t="n"/>
      <c r="AI821" s="106" t="n"/>
      <c r="AJ821" s="106" t="n"/>
      <c r="AK821" s="106" t="n"/>
      <c r="AL821" s="106" t="n"/>
      <c r="AM821" s="106" t="n"/>
      <c r="AN821" s="114" t="n"/>
      <c r="AO821" s="115" t="n"/>
      <c r="AP821" s="112" t="n">
        <f aca="false" ca="false" dt2D="false" dtr="false" t="normal">+N821-'Приложение №2'!E821</f>
        <v>0</v>
      </c>
      <c r="AQ821" s="121" t="e">
        <f aca="false" ca="false" dt2D="false" dtr="false" t="normal">272576.7+#REF!-#REF!</f>
        <v>#REF!</v>
      </c>
      <c r="AR821" s="3" t="n">
        <f aca="false" ca="false" dt2D="false" dtr="false" t="normal">+(K821*7.46+L821*20.48)*12*0.85</f>
        <v>71871.93767999999</v>
      </c>
      <c r="AS821" s="3" t="e">
        <f aca="false" ca="false" dt2D="false" dtr="false" t="normal">+(K821*7.46+L821*20.48)*12*10-#REF!</f>
        <v>#REF!</v>
      </c>
      <c r="AT821" s="9" t="n"/>
      <c r="AU821" s="9" t="n"/>
      <c r="AV821" s="9" t="n"/>
      <c r="AW821" s="186" t="n">
        <f aca="false" ca="true" dt2D="false" dtr="false" t="normal">SUBTOTAL(9, AX821:BL821)</f>
        <v>7649896.221460222</v>
      </c>
      <c r="AX821" s="106" t="n">
        <v>0</v>
      </c>
      <c r="AY821" s="106" t="n">
        <v>0</v>
      </c>
      <c r="AZ821" s="106" t="n">
        <v>361131.791292353</v>
      </c>
      <c r="BA821" s="106" t="n">
        <v>1398154.99267196</v>
      </c>
      <c r="BB821" s="106" t="n">
        <v>0</v>
      </c>
      <c r="BC821" s="106" t="n"/>
      <c r="BD821" s="106" t="n">
        <v>0</v>
      </c>
      <c r="BE821" s="106" t="n"/>
      <c r="BF821" s="106" t="n"/>
      <c r="BG821" s="106" t="n">
        <v>0</v>
      </c>
      <c r="BH821" s="106" t="n">
        <v>0</v>
      </c>
      <c r="BI821" s="106" t="n">
        <v>5610416.64467967</v>
      </c>
      <c r="BJ821" s="106" t="n">
        <v>83285.91</v>
      </c>
      <c r="BK821" s="114" t="n">
        <v>30861.42</v>
      </c>
      <c r="BL821" s="115" t="n">
        <v>166045.462816239</v>
      </c>
      <c r="BM821" s="186" t="n">
        <f aca="false" ca="true" dt2D="false" dtr="false" t="normal">SUBTOTAL(9, BN821:CB821)</f>
        <v>7649896.221460222</v>
      </c>
      <c r="BN821" s="106" t="n">
        <v>0</v>
      </c>
      <c r="BO821" s="106" t="n">
        <v>0</v>
      </c>
      <c r="BP821" s="106" t="n">
        <v>361131.791292353</v>
      </c>
      <c r="BQ821" s="106" t="n">
        <v>1398154.99267196</v>
      </c>
      <c r="BR821" s="106" t="n">
        <v>0</v>
      </c>
      <c r="BS821" s="106" t="n"/>
      <c r="BT821" s="106" t="n">
        <v>0</v>
      </c>
      <c r="BU821" s="106" t="n"/>
      <c r="BV821" s="106" t="n"/>
      <c r="BW821" s="106" t="n">
        <v>0</v>
      </c>
      <c r="BX821" s="106" t="n">
        <v>0</v>
      </c>
      <c r="BY821" s="106" t="n">
        <v>5610416.64467967</v>
      </c>
      <c r="BZ821" s="106" t="n">
        <v>83285.91</v>
      </c>
      <c r="CA821" s="114" t="n">
        <v>30861.42</v>
      </c>
      <c r="CB821" s="115" t="n">
        <v>166045.462816239</v>
      </c>
      <c r="CD821" s="116" t="e">
        <f aca="false" ca="false" dt2D="false" dtr="false" t="normal">+CD820+1</f>
        <v>#REF!</v>
      </c>
      <c r="CE821" s="117" t="e">
        <f aca="false" ca="false" dt2D="false" dtr="false" t="normal">+CE820+1</f>
        <v>#REF!</v>
      </c>
      <c r="CF821" s="104" t="s">
        <v>756</v>
      </c>
      <c r="CG821" s="104" t="s">
        <v>757</v>
      </c>
      <c r="CH821" s="232" t="n">
        <f aca="false" ca="true" dt2D="false" dtr="false" t="normal">SUBTOTAL(9, CI821:CW821)</f>
        <v>12721531.690000001</v>
      </c>
      <c r="CI821" s="106" t="n">
        <v>2405495.42</v>
      </c>
      <c r="CJ821" s="114" t="n">
        <v>0</v>
      </c>
      <c r="CK821" s="114" t="n">
        <v>361131.79</v>
      </c>
      <c r="CL821" s="114" t="n">
        <v>1398154.99</v>
      </c>
      <c r="CM821" s="114" t="n">
        <v>0</v>
      </c>
      <c r="CN821" s="114" t="n"/>
      <c r="CO821" s="106" t="n"/>
      <c r="CP821" s="114" t="n"/>
      <c r="CQ821" s="114" t="n">
        <v>2946332.85</v>
      </c>
      <c r="CR821" s="114" t="n">
        <v>0</v>
      </c>
      <c r="CS821" s="114" t="n">
        <v>0</v>
      </c>
      <c r="CT821" s="114" t="n">
        <v>5610416.64</v>
      </c>
      <c r="CU821" s="114" t="n"/>
      <c r="CV821" s="114" t="n"/>
      <c r="CW821" s="115" t="n"/>
      <c r="CX821" s="3" t="n">
        <f aca="false" ca="false" dt2D="false" dtr="false" t="normal">+N821-CH821</f>
        <v>0</v>
      </c>
      <c r="CZ821" s="104" t="s">
        <v>757</v>
      </c>
      <c r="DA821" s="186" t="n">
        <f aca="false" ca="true" dt2D="false" dtr="false" t="normal">SUBTOTAL(9, DB821:DP821)</f>
        <v>12721531.690000001</v>
      </c>
      <c r="DB821" s="106" t="n">
        <v>2405495.42</v>
      </c>
      <c r="DC821" s="114" t="n">
        <v>0</v>
      </c>
      <c r="DD821" s="114" t="n">
        <v>361131.79</v>
      </c>
      <c r="DE821" s="114" t="n">
        <v>1398154.99</v>
      </c>
      <c r="DF821" s="114" t="n">
        <v>0</v>
      </c>
      <c r="DG821" s="114" t="n"/>
      <c r="DH821" s="106" t="n">
        <v>0</v>
      </c>
      <c r="DI821" s="114" t="n"/>
      <c r="DJ821" s="114" t="n">
        <v>2946332.85</v>
      </c>
      <c r="DK821" s="114" t="n">
        <v>0</v>
      </c>
      <c r="DL821" s="114" t="n">
        <v>0</v>
      </c>
      <c r="DM821" s="114" t="n">
        <v>5610416.64</v>
      </c>
      <c r="DN821" s="241" t="n"/>
      <c r="DO821" s="241" t="n"/>
      <c r="DP821" s="240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</row>
    <row customFormat="true" hidden="false" ht="15" outlineLevel="0" r="822" s="1">
      <c r="A822" s="183" t="n">
        <f aca="false" ca="false" dt2D="false" dtr="false" t="normal">+A821+1</f>
        <v>800</v>
      </c>
      <c r="B822" s="117" t="n">
        <f aca="false" ca="false" dt2D="false" dtr="false" t="normal">+B821+1</f>
        <v>340</v>
      </c>
      <c r="C822" s="117" t="s">
        <v>283</v>
      </c>
      <c r="D822" s="117" t="s">
        <v>758</v>
      </c>
      <c r="E822" s="201" t="n">
        <v>1995</v>
      </c>
      <c r="F822" s="201" t="n">
        <v>1995</v>
      </c>
      <c r="G822" s="201" t="s">
        <v>68</v>
      </c>
      <c r="H822" s="201" t="n">
        <v>5</v>
      </c>
      <c r="I822" s="201" t="n">
        <v>4</v>
      </c>
      <c r="J822" s="114" t="n">
        <v>4970.7</v>
      </c>
      <c r="K822" s="114" t="n">
        <v>4454.7</v>
      </c>
      <c r="L822" s="114" t="n">
        <v>0</v>
      </c>
      <c r="M822" s="202" t="n">
        <v>173</v>
      </c>
      <c r="N822" s="108" t="n">
        <f aca="false" ca="false" dt2D="false" dtr="false" t="normal">SUM(P822:T822)</f>
        <v>1493032.7000000002</v>
      </c>
      <c r="O822" s="114" t="n"/>
      <c r="P822" s="114" t="n"/>
      <c r="Q822" s="114" t="n"/>
      <c r="R822" s="113" t="n">
        <v>1481372.12</v>
      </c>
      <c r="S822" s="114" t="n"/>
      <c r="T822" s="113" t="n">
        <v>11660.58</v>
      </c>
      <c r="U822" s="114" t="n">
        <v>339.813393898579</v>
      </c>
      <c r="V822" s="114" t="n">
        <v>1426.283020064</v>
      </c>
      <c r="W822" s="110" t="n">
        <v>2024</v>
      </c>
      <c r="X822" s="9" t="e">
        <f aca="false" ca="false" dt2D="false" dtr="false" t="normal">+S822-'[9]Приложение №1'!$P894</f>
        <v>#REF!</v>
      </c>
      <c r="Z822" s="113" t="n">
        <f aca="false" ca="false" dt2D="false" dtr="false" t="normal">SUM(AA822:AO822)</f>
        <v>2193864.8200000003</v>
      </c>
      <c r="AA822" s="106" t="n">
        <v>0</v>
      </c>
      <c r="AB822" s="106" t="n">
        <v>0</v>
      </c>
      <c r="AC822" s="106" t="n">
        <v>0</v>
      </c>
      <c r="AD822" s="106" t="n">
        <v>0</v>
      </c>
      <c r="AE822" s="106" t="n">
        <v>1481372.11786788</v>
      </c>
      <c r="AF822" s="106" t="n"/>
      <c r="AG822" s="106" t="n">
        <v>0</v>
      </c>
      <c r="AH822" s="106" t="n">
        <v>0</v>
      </c>
      <c r="AI822" s="106" t="n">
        <v>0</v>
      </c>
      <c r="AJ822" s="106" t="n">
        <v>0</v>
      </c>
      <c r="AK822" s="106" t="n">
        <v>0</v>
      </c>
      <c r="AL822" s="106" t="n">
        <v>0</v>
      </c>
      <c r="AM822" s="106" t="n">
        <v>658159.446</v>
      </c>
      <c r="AN822" s="114" t="n">
        <v>21938.6482</v>
      </c>
      <c r="AO822" s="115" t="n">
        <v>32394.60793212</v>
      </c>
      <c r="AP822" s="112" t="n">
        <f aca="false" ca="false" dt2D="false" dtr="false" t="normal">+N822-'Приложение №2'!E822</f>
        <v>0</v>
      </c>
      <c r="AQ822" s="1" t="n">
        <f aca="false" ca="false" dt2D="false" dtr="false" t="normal">2319470.66-250624.417-560475.56</f>
        <v>1508370.6830000002</v>
      </c>
      <c r="AR822" s="3" t="n">
        <f aca="false" ca="false" dt2D="false" dtr="false" t="normal">+(K822*10.5+L822*21)*12*0.85</f>
        <v>477098.36999999994</v>
      </c>
      <c r="AS822" s="3" t="n">
        <f aca="false" ca="false" dt2D="false" dtr="false" t="normal">+(K822*10.5+L822*21)*12*30-797057.91-3909441.68</f>
        <v>12132266.41</v>
      </c>
      <c r="AT822" s="9" t="n">
        <f aca="false" ca="false" dt2D="false" dtr="false" t="normal">+S822-AS822</f>
        <v>-12132266.41</v>
      </c>
      <c r="AU822" s="9" t="e">
        <f aca="false" ca="false" dt2D="false" dtr="false" t="normal">+P822-'[5]Приложение №1'!$P706</f>
        <v>#REF!</v>
      </c>
      <c r="AV822" s="9" t="e">
        <f aca="false" ca="false" dt2D="false" dtr="false" t="normal">+Q822-'[5]Приложение №1'!$Q706</f>
        <v>#REF!</v>
      </c>
      <c r="AW822" s="186" t="n">
        <f aca="false" ca="true" dt2D="false" dtr="false" t="normal">SUBTOTAL(9, AX822:BL822)</f>
        <v>1513766.7258000001</v>
      </c>
      <c r="AX822" s="106" t="n">
        <v>0</v>
      </c>
      <c r="AY822" s="106" t="n">
        <v>0</v>
      </c>
      <c r="AZ822" s="106" t="n">
        <v>0</v>
      </c>
      <c r="BA822" s="106" t="n">
        <v>0</v>
      </c>
      <c r="BB822" s="106" t="n">
        <v>1481372.11786788</v>
      </c>
      <c r="BC822" s="106" t="n"/>
      <c r="BD822" s="106" t="n"/>
      <c r="BE822" s="106" t="n">
        <v>0</v>
      </c>
      <c r="BF822" s="106" t="n">
        <v>0</v>
      </c>
      <c r="BG822" s="106" t="n">
        <v>0</v>
      </c>
      <c r="BH822" s="106" t="n">
        <v>0</v>
      </c>
      <c r="BI822" s="106" t="n">
        <v>0</v>
      </c>
      <c r="BJ822" s="106" t="n"/>
      <c r="BK822" s="114" t="n"/>
      <c r="BL822" s="115" t="n">
        <v>32394.60793212</v>
      </c>
      <c r="BM822" s="186" t="n">
        <f aca="false" ca="true" dt2D="false" dtr="false" t="normal">SUBTOTAL(9, BN822:CB822)</f>
        <v>1513766.7258000001</v>
      </c>
      <c r="BN822" s="106" t="n">
        <v>0</v>
      </c>
      <c r="BO822" s="106" t="n">
        <v>0</v>
      </c>
      <c r="BP822" s="106" t="n">
        <v>0</v>
      </c>
      <c r="BQ822" s="106" t="n">
        <v>0</v>
      </c>
      <c r="BR822" s="106" t="n">
        <v>1481372.11786788</v>
      </c>
      <c r="BS822" s="106" t="n"/>
      <c r="BT822" s="106" t="n"/>
      <c r="BU822" s="106" t="n">
        <v>0</v>
      </c>
      <c r="BV822" s="106" t="n">
        <v>0</v>
      </c>
      <c r="BW822" s="106" t="n">
        <v>0</v>
      </c>
      <c r="BX822" s="106" t="n">
        <v>0</v>
      </c>
      <c r="BY822" s="106" t="n">
        <v>0</v>
      </c>
      <c r="BZ822" s="106" t="n"/>
      <c r="CA822" s="114" t="n"/>
      <c r="CB822" s="115" t="n">
        <v>32394.60793212</v>
      </c>
      <c r="CD822" s="116" t="e">
        <f aca="false" ca="false" dt2D="false" dtr="false" t="normal">+CD821+1</f>
        <v>#REF!</v>
      </c>
      <c r="CE822" s="117" t="e">
        <f aca="false" ca="false" dt2D="false" dtr="false" t="normal">+CE821+1</f>
        <v>#REF!</v>
      </c>
      <c r="CF822" s="104" t="s">
        <v>283</v>
      </c>
      <c r="CG822" s="104" t="s">
        <v>758</v>
      </c>
      <c r="CH822" s="232" t="n">
        <f aca="false" ca="true" dt2D="false" dtr="false" t="normal">SUBTOTAL(9, CI822:CW822)</f>
        <v>1525427.31</v>
      </c>
      <c r="CI822" s="106" t="n">
        <v>0</v>
      </c>
      <c r="CJ822" s="114" t="n">
        <v>0</v>
      </c>
      <c r="CK822" s="114" t="n">
        <v>0</v>
      </c>
      <c r="CL822" s="114" t="n">
        <v>0</v>
      </c>
      <c r="CM822" s="114" t="n">
        <v>1493032.7</v>
      </c>
      <c r="CN822" s="114" t="n"/>
      <c r="CO822" s="106" t="n"/>
      <c r="CP822" s="114" t="n">
        <v>0</v>
      </c>
      <c r="CQ822" s="114" t="n">
        <v>0</v>
      </c>
      <c r="CR822" s="114" t="n">
        <v>0</v>
      </c>
      <c r="CS822" s="114" t="n">
        <v>0</v>
      </c>
      <c r="CT822" s="114" t="n">
        <v>0</v>
      </c>
      <c r="CU822" s="114" t="n"/>
      <c r="CV822" s="114" t="n"/>
      <c r="CW822" s="115" t="n">
        <v>32394.61</v>
      </c>
      <c r="CX822" s="3" t="n">
        <f aca="false" ca="false" dt2D="false" dtr="false" t="normal">+N822-CH822</f>
        <v>-32394.60999999987</v>
      </c>
      <c r="CZ822" s="104" t="s">
        <v>758</v>
      </c>
      <c r="DA822" s="186" t="n">
        <f aca="false" ca="true" dt2D="false" dtr="false" t="normal">SUBTOTAL(9, DB822:DP822)</f>
        <v>1493032.7</v>
      </c>
      <c r="DB822" s="106" t="n">
        <v>0</v>
      </c>
      <c r="DC822" s="114" t="n">
        <v>0</v>
      </c>
      <c r="DD822" s="114" t="n">
        <v>0</v>
      </c>
      <c r="DE822" s="114" t="n">
        <v>0</v>
      </c>
      <c r="DF822" s="114" t="n">
        <v>1493032.7</v>
      </c>
      <c r="DG822" s="114" t="n"/>
      <c r="DH822" s="106" t="n"/>
      <c r="DI822" s="114" t="n">
        <v>0</v>
      </c>
      <c r="DJ822" s="114" t="n">
        <v>0</v>
      </c>
      <c r="DK822" s="114" t="n">
        <v>0</v>
      </c>
      <c r="DL822" s="114" t="n">
        <v>0</v>
      </c>
      <c r="DM822" s="114" t="n">
        <v>0</v>
      </c>
      <c r="DN822" s="241" t="n"/>
      <c r="DO822" s="241" t="n"/>
      <c r="DP822" s="240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</row>
    <row customFormat="true" hidden="false" ht="15" outlineLevel="0" r="823" s="1">
      <c r="A823" s="183" t="n">
        <f aca="false" ca="false" dt2D="false" dtr="false" t="normal">+A822+1</f>
        <v>801</v>
      </c>
      <c r="B823" s="117" t="n">
        <f aca="false" ca="false" dt2D="false" dtr="false" t="normal">+B822+1</f>
        <v>341</v>
      </c>
      <c r="C823" s="117" t="s">
        <v>283</v>
      </c>
      <c r="D823" s="117" t="s">
        <v>759</v>
      </c>
      <c r="E823" s="201" t="n">
        <v>1982</v>
      </c>
      <c r="F823" s="201" t="n">
        <v>2009</v>
      </c>
      <c r="G823" s="201" t="s">
        <v>68</v>
      </c>
      <c r="H823" s="201" t="n">
        <v>5</v>
      </c>
      <c r="I823" s="201" t="n">
        <v>2</v>
      </c>
      <c r="J823" s="114" t="n">
        <v>1767.9</v>
      </c>
      <c r="K823" s="114" t="n">
        <v>1603</v>
      </c>
      <c r="L823" s="114" t="n">
        <v>0</v>
      </c>
      <c r="M823" s="202" t="n">
        <v>65</v>
      </c>
      <c r="N823" s="108" t="n">
        <f aca="false" ca="false" dt2D="false" dtr="false" t="normal">SUM(P823:T823)</f>
        <v>532254.96</v>
      </c>
      <c r="O823" s="114" t="n"/>
      <c r="P823" s="114" t="n"/>
      <c r="Q823" s="114" t="n"/>
      <c r="R823" s="113" t="n">
        <v>169086.53</v>
      </c>
      <c r="S823" s="113" t="n">
        <v>363168.43</v>
      </c>
      <c r="T823" s="114" t="n"/>
      <c r="U823" s="114" t="n">
        <v>339.297754772302</v>
      </c>
      <c r="V823" s="114" t="n">
        <v>1427.283020064</v>
      </c>
      <c r="W823" s="110" t="n">
        <v>2024</v>
      </c>
      <c r="X823" s="9" t="e">
        <f aca="false" ca="false" dt2D="false" dtr="false" t="normal">+#REF!-'[9]Приложение №1'!$P895</f>
        <v>#REF!</v>
      </c>
      <c r="Z823" s="113" t="n">
        <f aca="false" ca="false" dt2D="false" dtr="false" t="normal">SUM(AA823:AO823)</f>
        <v>788252.6100000001</v>
      </c>
      <c r="AA823" s="106" t="n">
        <v>0</v>
      </c>
      <c r="AB823" s="106" t="n">
        <v>0</v>
      </c>
      <c r="AC823" s="106" t="n">
        <v>0</v>
      </c>
      <c r="AD823" s="106" t="n">
        <v>0</v>
      </c>
      <c r="AE823" s="106" t="n">
        <v>532254.96286074</v>
      </c>
      <c r="AF823" s="106" t="n"/>
      <c r="AG823" s="106" t="n">
        <v>0</v>
      </c>
      <c r="AH823" s="106" t="n">
        <v>0</v>
      </c>
      <c r="AI823" s="106" t="n">
        <v>0</v>
      </c>
      <c r="AJ823" s="106" t="n">
        <v>0</v>
      </c>
      <c r="AK823" s="106" t="n">
        <v>0</v>
      </c>
      <c r="AL823" s="106" t="n">
        <v>0</v>
      </c>
      <c r="AM823" s="106" t="n">
        <v>236475.783</v>
      </c>
      <c r="AN823" s="114" t="n">
        <v>7882.5261</v>
      </c>
      <c r="AO823" s="115" t="n">
        <v>11639.33803926</v>
      </c>
      <c r="AP823" s="112" t="n">
        <f aca="false" ca="false" dt2D="false" dtr="false" t="normal">+N823-'Приложение №2'!E823</f>
        <v>0</v>
      </c>
      <c r="AQ823" s="1" t="e">
        <f aca="false" ca="false" dt2D="false" dtr="false" t="normal">793617.92-'[11]Приложение №1'!$R$136-'[11]Приложение №1'!$R$188</f>
        <v>#REF!</v>
      </c>
      <c r="AR823" s="3" t="n">
        <f aca="false" ca="false" dt2D="false" dtr="false" t="normal">+(K823*10.5+L823*21)*12*0.85</f>
        <v>171681.3</v>
      </c>
      <c r="AS823" s="3" t="e">
        <f aca="false" ca="false" dt2D="false" dtr="false" t="normal">+(K823*10.5+L823*21)*12*30-'[11]Приложение №1'!$S$136-'[11]Приложение №1'!$S$188</f>
        <v>#REF!</v>
      </c>
      <c r="AT823" s="9" t="e">
        <f aca="false" ca="false" dt2D="false" dtr="false" t="normal">+S823-AS823</f>
        <v>#REF!</v>
      </c>
      <c r="AU823" s="9" t="e">
        <f aca="false" ca="false" dt2D="false" dtr="false" t="normal">+P823-'[5]Приложение №1'!$P707</f>
        <v>#REF!</v>
      </c>
      <c r="AV823" s="9" t="e">
        <f aca="false" ca="false" dt2D="false" dtr="false" t="normal">+Q823-'[5]Приложение №1'!$Q707</f>
        <v>#REF!</v>
      </c>
      <c r="AW823" s="186" t="n">
        <f aca="false" ca="true" dt2D="false" dtr="false" t="normal">SUBTOTAL(9, AX823:BL823)</f>
        <v>543894.3009</v>
      </c>
      <c r="AX823" s="106" t="n">
        <v>0</v>
      </c>
      <c r="AY823" s="106" t="n">
        <v>0</v>
      </c>
      <c r="AZ823" s="106" t="n">
        <v>0</v>
      </c>
      <c r="BA823" s="106" t="n">
        <v>0</v>
      </c>
      <c r="BB823" s="106" t="n">
        <v>532254.96286074</v>
      </c>
      <c r="BC823" s="106" t="n"/>
      <c r="BD823" s="106" t="n"/>
      <c r="BE823" s="106" t="n">
        <v>0</v>
      </c>
      <c r="BF823" s="106" t="n">
        <v>0</v>
      </c>
      <c r="BG823" s="106" t="n">
        <v>0</v>
      </c>
      <c r="BH823" s="106" t="n">
        <v>0</v>
      </c>
      <c r="BI823" s="106" t="n">
        <v>0</v>
      </c>
      <c r="BJ823" s="106" t="n"/>
      <c r="BK823" s="114" t="n"/>
      <c r="BL823" s="115" t="n">
        <v>11639.33803926</v>
      </c>
      <c r="BM823" s="186" t="n">
        <f aca="false" ca="true" dt2D="false" dtr="false" t="normal">SUBTOTAL(9, BN823:CB823)</f>
        <v>543894.3009</v>
      </c>
      <c r="BN823" s="106" t="n">
        <v>0</v>
      </c>
      <c r="BO823" s="106" t="n">
        <v>0</v>
      </c>
      <c r="BP823" s="106" t="n">
        <v>0</v>
      </c>
      <c r="BQ823" s="106" t="n">
        <v>0</v>
      </c>
      <c r="BR823" s="106" t="n">
        <v>532254.96286074</v>
      </c>
      <c r="BS823" s="106" t="n"/>
      <c r="BT823" s="106" t="n"/>
      <c r="BU823" s="106" t="n">
        <v>0</v>
      </c>
      <c r="BV823" s="106" t="n">
        <v>0</v>
      </c>
      <c r="BW823" s="106" t="n">
        <v>0</v>
      </c>
      <c r="BX823" s="106" t="n">
        <v>0</v>
      </c>
      <c r="BY823" s="106" t="n">
        <v>0</v>
      </c>
      <c r="BZ823" s="106" t="n"/>
      <c r="CA823" s="114" t="n"/>
      <c r="CB823" s="115" t="n">
        <v>11639.33803926</v>
      </c>
      <c r="CD823" s="116" t="e">
        <f aca="false" ca="false" dt2D="false" dtr="false" t="normal">+CD822+1</f>
        <v>#REF!</v>
      </c>
      <c r="CE823" s="117" t="e">
        <f aca="false" ca="false" dt2D="false" dtr="false" t="normal">+CE822+1</f>
        <v>#REF!</v>
      </c>
      <c r="CF823" s="104" t="s">
        <v>283</v>
      </c>
      <c r="CG823" s="104" t="s">
        <v>759</v>
      </c>
      <c r="CH823" s="232" t="n">
        <f aca="false" ca="true" dt2D="false" dtr="false" t="normal">SUBTOTAL(9, CI823:CW823)</f>
        <v>543894.2999999999</v>
      </c>
      <c r="CI823" s="106" t="n">
        <v>0</v>
      </c>
      <c r="CJ823" s="114" t="n">
        <v>0</v>
      </c>
      <c r="CK823" s="114" t="n">
        <v>0</v>
      </c>
      <c r="CL823" s="114" t="n">
        <v>0</v>
      </c>
      <c r="CM823" s="114" t="n">
        <v>532254.96</v>
      </c>
      <c r="CN823" s="114" t="n"/>
      <c r="CO823" s="106" t="n"/>
      <c r="CP823" s="114" t="n">
        <v>0</v>
      </c>
      <c r="CQ823" s="114" t="n">
        <v>0</v>
      </c>
      <c r="CR823" s="114" t="n">
        <v>0</v>
      </c>
      <c r="CS823" s="114" t="n">
        <v>0</v>
      </c>
      <c r="CT823" s="114" t="n">
        <v>0</v>
      </c>
      <c r="CU823" s="114" t="n"/>
      <c r="CV823" s="114" t="n"/>
      <c r="CW823" s="115" t="n">
        <v>11639.34</v>
      </c>
      <c r="CX823" s="3" t="n">
        <f aca="false" ca="false" dt2D="false" dtr="false" t="normal">+N823-CH823</f>
        <v>-11639.339999999967</v>
      </c>
      <c r="CZ823" s="104" t="s">
        <v>759</v>
      </c>
      <c r="DA823" s="186" t="n">
        <f aca="false" ca="true" dt2D="false" dtr="false" t="normal">SUBTOTAL(9, DB823:DP823)</f>
        <v>532254.96</v>
      </c>
      <c r="DB823" s="106" t="n">
        <v>0</v>
      </c>
      <c r="DC823" s="114" t="n">
        <v>0</v>
      </c>
      <c r="DD823" s="114" t="n">
        <v>0</v>
      </c>
      <c r="DE823" s="114" t="n">
        <v>0</v>
      </c>
      <c r="DF823" s="114" t="n">
        <v>532254.96</v>
      </c>
      <c r="DG823" s="114" t="n"/>
      <c r="DH823" s="106" t="n"/>
      <c r="DI823" s="114" t="n">
        <v>0</v>
      </c>
      <c r="DJ823" s="114" t="n">
        <v>0</v>
      </c>
      <c r="DK823" s="114" t="n">
        <v>0</v>
      </c>
      <c r="DL823" s="114" t="n">
        <v>0</v>
      </c>
      <c r="DM823" s="114" t="n">
        <v>0</v>
      </c>
      <c r="DN823" s="241" t="n"/>
      <c r="DO823" s="241" t="n"/>
      <c r="DP823" s="240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</row>
    <row customFormat="true" hidden="false" ht="15" outlineLevel="0" r="824" s="1">
      <c r="A824" s="183" t="n">
        <f aca="false" ca="false" dt2D="false" dtr="false" t="normal">+A823+1</f>
        <v>802</v>
      </c>
      <c r="B824" s="117" t="n">
        <f aca="false" ca="false" dt2D="false" dtr="false" t="normal">+B823+1</f>
        <v>342</v>
      </c>
      <c r="C824" s="117" t="s">
        <v>283</v>
      </c>
      <c r="D824" s="117" t="s">
        <v>760</v>
      </c>
      <c r="E824" s="201" t="n">
        <v>1992</v>
      </c>
      <c r="F824" s="201" t="n">
        <v>1992</v>
      </c>
      <c r="G824" s="201" t="s">
        <v>68</v>
      </c>
      <c r="H824" s="201" t="n">
        <v>5</v>
      </c>
      <c r="I824" s="201" t="n">
        <v>2</v>
      </c>
      <c r="J824" s="114" t="n">
        <v>1787.3</v>
      </c>
      <c r="K824" s="114" t="n">
        <v>1278.2</v>
      </c>
      <c r="L824" s="114" t="n">
        <v>214.2</v>
      </c>
      <c r="M824" s="202" t="n">
        <v>44</v>
      </c>
      <c r="N824" s="108" t="n">
        <f aca="false" ca="false" dt2D="false" dtr="false" t="normal">SUM(P824:T824)</f>
        <v>525246.36</v>
      </c>
      <c r="O824" s="114" t="n"/>
      <c r="P824" s="114" t="n"/>
      <c r="Q824" s="114" t="n"/>
      <c r="R824" s="113" t="n">
        <v>262296.14</v>
      </c>
      <c r="S824" s="113" t="n">
        <v>262950.22</v>
      </c>
      <c r="T824" s="114" t="n"/>
      <c r="U824" s="114" t="n">
        <v>419.912720231576</v>
      </c>
      <c r="V824" s="114" t="n">
        <v>1428.283020064</v>
      </c>
      <c r="W824" s="110" t="n">
        <v>2024</v>
      </c>
      <c r="X824" s="9" t="e">
        <f aca="false" ca="false" dt2D="false" dtr="false" t="normal">+#REF!-'[9]Приложение №1'!$P896</f>
        <v>#REF!</v>
      </c>
      <c r="Z824" s="113" t="n">
        <f aca="false" ca="false" dt2D="false" dtr="false" t="normal">SUM(AA824:AO824)</f>
        <v>777873.1000000001</v>
      </c>
      <c r="AA824" s="106" t="n">
        <v>0</v>
      </c>
      <c r="AB824" s="106" t="n">
        <v>0</v>
      </c>
      <c r="AC824" s="106" t="n">
        <v>0</v>
      </c>
      <c r="AD824" s="106" t="n">
        <v>0</v>
      </c>
      <c r="AE824" s="106" t="n">
        <v>525246.3648054</v>
      </c>
      <c r="AF824" s="106" t="n"/>
      <c r="AG824" s="106" t="n">
        <v>0</v>
      </c>
      <c r="AH824" s="106" t="n">
        <v>0</v>
      </c>
      <c r="AI824" s="106" t="n">
        <v>0</v>
      </c>
      <c r="AJ824" s="106" t="n">
        <v>0</v>
      </c>
      <c r="AK824" s="106" t="n">
        <v>0</v>
      </c>
      <c r="AL824" s="106" t="n">
        <v>0</v>
      </c>
      <c r="AM824" s="106" t="n">
        <v>233361.93</v>
      </c>
      <c r="AN824" s="114" t="n">
        <v>7778.731</v>
      </c>
      <c r="AO824" s="115" t="n">
        <v>11486.0741946</v>
      </c>
      <c r="AP824" s="112" t="n">
        <f aca="false" ca="false" dt2D="false" dtr="false" t="normal">+N824-'Приложение №2'!E824</f>
        <v>0</v>
      </c>
      <c r="AQ824" s="1" t="e">
        <f aca="false" ca="false" dt2D="false" dtr="false" t="normal">881998.75-'[11]Приложение №1'!$R$137-'[11]Приложение №1'!$R$189</f>
        <v>#REF!</v>
      </c>
      <c r="AR824" s="3" t="n">
        <f aca="false" ca="false" dt2D="false" dtr="false" t="normal">+(K824*10.5+L824*21)*12*0.85</f>
        <v>182776.86</v>
      </c>
      <c r="AS824" s="3" t="e">
        <f aca="false" ca="false" dt2D="false" dtr="false" t="normal">+(K824*10.5+L824*21)*12*30-'[11]Приложение №1'!$S$189</f>
        <v>#REF!</v>
      </c>
      <c r="AT824" s="9" t="e">
        <f aca="false" ca="false" dt2D="false" dtr="false" t="normal">+S824-AS824</f>
        <v>#REF!</v>
      </c>
      <c r="AU824" s="9" t="e">
        <f aca="false" ca="false" dt2D="false" dtr="false" t="normal">+P824-'[5]Приложение №1'!$P708</f>
        <v>#REF!</v>
      </c>
      <c r="AV824" s="9" t="e">
        <f aca="false" ca="false" dt2D="false" dtr="false" t="normal">+Q824-'[5]Приложение №1'!$Q708</f>
        <v>#REF!</v>
      </c>
      <c r="AW824" s="186" t="n">
        <f aca="false" ca="true" dt2D="false" dtr="false" t="normal">SUBTOTAL(9, AX824:BL824)</f>
        <v>536732.439</v>
      </c>
      <c r="AX824" s="106" t="n">
        <v>0</v>
      </c>
      <c r="AY824" s="106" t="n">
        <v>0</v>
      </c>
      <c r="AZ824" s="106" t="n">
        <v>0</v>
      </c>
      <c r="BA824" s="106" t="n">
        <v>0</v>
      </c>
      <c r="BB824" s="106" t="n">
        <v>525246.3648054</v>
      </c>
      <c r="BC824" s="106" t="n"/>
      <c r="BD824" s="106" t="n"/>
      <c r="BE824" s="106" t="n">
        <v>0</v>
      </c>
      <c r="BF824" s="106" t="n">
        <v>0</v>
      </c>
      <c r="BG824" s="106" t="n">
        <v>0</v>
      </c>
      <c r="BH824" s="106" t="n">
        <v>0</v>
      </c>
      <c r="BI824" s="106" t="n">
        <v>0</v>
      </c>
      <c r="BJ824" s="106" t="n"/>
      <c r="BK824" s="114" t="n"/>
      <c r="BL824" s="115" t="n">
        <v>11486.0741946</v>
      </c>
      <c r="BM824" s="186" t="n">
        <f aca="false" ca="true" dt2D="false" dtr="false" t="normal">SUBTOTAL(9, BN824:CB824)</f>
        <v>536732.439</v>
      </c>
      <c r="BN824" s="106" t="n">
        <v>0</v>
      </c>
      <c r="BO824" s="106" t="n">
        <v>0</v>
      </c>
      <c r="BP824" s="106" t="n">
        <v>0</v>
      </c>
      <c r="BQ824" s="106" t="n">
        <v>0</v>
      </c>
      <c r="BR824" s="106" t="n">
        <v>525246.3648054</v>
      </c>
      <c r="BS824" s="106" t="n"/>
      <c r="BT824" s="106" t="n"/>
      <c r="BU824" s="106" t="n">
        <v>0</v>
      </c>
      <c r="BV824" s="106" t="n">
        <v>0</v>
      </c>
      <c r="BW824" s="106" t="n">
        <v>0</v>
      </c>
      <c r="BX824" s="106" t="n">
        <v>0</v>
      </c>
      <c r="BY824" s="106" t="n">
        <v>0</v>
      </c>
      <c r="BZ824" s="106" t="n"/>
      <c r="CA824" s="114" t="n"/>
      <c r="CB824" s="115" t="n">
        <v>11486.0741946</v>
      </c>
      <c r="CD824" s="116" t="e">
        <f aca="false" ca="false" dt2D="false" dtr="false" t="normal">+CD823+1</f>
        <v>#REF!</v>
      </c>
      <c r="CE824" s="117" t="e">
        <f aca="false" ca="false" dt2D="false" dtr="false" t="normal">+CE823+1</f>
        <v>#REF!</v>
      </c>
      <c r="CF824" s="104" t="s">
        <v>283</v>
      </c>
      <c r="CG824" s="104" t="s">
        <v>760</v>
      </c>
      <c r="CH824" s="232" t="n">
        <f aca="false" ca="true" dt2D="false" dtr="false" t="normal">SUBTOTAL(9, CI824:CW824)</f>
        <v>536732.4299999999</v>
      </c>
      <c r="CI824" s="106" t="n">
        <v>0</v>
      </c>
      <c r="CJ824" s="114" t="n">
        <v>0</v>
      </c>
      <c r="CK824" s="114" t="n">
        <v>0</v>
      </c>
      <c r="CL824" s="114" t="n">
        <v>0</v>
      </c>
      <c r="CM824" s="114" t="n">
        <v>525246.36</v>
      </c>
      <c r="CN824" s="114" t="n"/>
      <c r="CO824" s="106" t="n"/>
      <c r="CP824" s="114" t="n">
        <v>0</v>
      </c>
      <c r="CQ824" s="114" t="n">
        <v>0</v>
      </c>
      <c r="CR824" s="114" t="n">
        <v>0</v>
      </c>
      <c r="CS824" s="114" t="n">
        <v>0</v>
      </c>
      <c r="CT824" s="114" t="n">
        <v>0</v>
      </c>
      <c r="CU824" s="114" t="n"/>
      <c r="CV824" s="114" t="n"/>
      <c r="CW824" s="115" t="n">
        <v>11486.07</v>
      </c>
      <c r="CX824" s="3" t="n">
        <f aca="false" ca="false" dt2D="false" dtr="false" t="normal">+N824-CH824</f>
        <v>-11486.069999999949</v>
      </c>
      <c r="CZ824" s="104" t="s">
        <v>760</v>
      </c>
      <c r="DA824" s="186" t="n">
        <f aca="false" ca="true" dt2D="false" dtr="false" t="normal">SUBTOTAL(9, DB824:DP824)</f>
        <v>525246.36</v>
      </c>
      <c r="DB824" s="106" t="n">
        <v>0</v>
      </c>
      <c r="DC824" s="114" t="n">
        <v>0</v>
      </c>
      <c r="DD824" s="114" t="n">
        <v>0</v>
      </c>
      <c r="DE824" s="114" t="n">
        <v>0</v>
      </c>
      <c r="DF824" s="114" t="n">
        <v>525246.36</v>
      </c>
      <c r="DG824" s="114" t="n"/>
      <c r="DH824" s="106" t="n"/>
      <c r="DI824" s="114" t="n">
        <v>0</v>
      </c>
      <c r="DJ824" s="114" t="n">
        <v>0</v>
      </c>
      <c r="DK824" s="114" t="n">
        <v>0</v>
      </c>
      <c r="DL824" s="114" t="n">
        <v>0</v>
      </c>
      <c r="DM824" s="114" t="n">
        <v>0</v>
      </c>
      <c r="DN824" s="241" t="n"/>
      <c r="DO824" s="241" t="n"/>
      <c r="DP824" s="240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</row>
    <row customFormat="true" hidden="false" ht="15" outlineLevel="0" r="825" s="1">
      <c r="A825" s="183" t="n">
        <f aca="false" ca="false" dt2D="false" dtr="false" t="normal">+A824+1</f>
        <v>803</v>
      </c>
      <c r="B825" s="117" t="n">
        <f aca="false" ca="false" dt2D="false" dtr="false" t="normal">+B824+1</f>
        <v>343</v>
      </c>
      <c r="C825" s="117" t="s">
        <v>283</v>
      </c>
      <c r="D825" s="117" t="s">
        <v>761</v>
      </c>
      <c r="E825" s="201" t="n">
        <v>1974</v>
      </c>
      <c r="F825" s="201" t="n">
        <v>1974</v>
      </c>
      <c r="G825" s="201" t="s">
        <v>68</v>
      </c>
      <c r="H825" s="201" t="n">
        <v>2</v>
      </c>
      <c r="I825" s="201" t="n">
        <v>3</v>
      </c>
      <c r="J825" s="114" t="n">
        <v>1039.5</v>
      </c>
      <c r="K825" s="114" t="n">
        <v>915.4</v>
      </c>
      <c r="L825" s="114" t="n">
        <v>0</v>
      </c>
      <c r="M825" s="202" t="n">
        <v>39</v>
      </c>
      <c r="N825" s="108" t="n">
        <f aca="false" ca="false" dt2D="false" dtr="false" t="normal">SUM(P825:T825)</f>
        <v>471982.87</v>
      </c>
      <c r="O825" s="114" t="n"/>
      <c r="P825" s="114" t="n"/>
      <c r="Q825" s="114" t="n"/>
      <c r="R825" s="113" t="n">
        <v>458087.92</v>
      </c>
      <c r="S825" s="114" t="n"/>
      <c r="T825" s="113" t="n">
        <v>13894.95</v>
      </c>
      <c r="U825" s="114" t="n">
        <v>401.76629609431</v>
      </c>
      <c r="V825" s="114" t="n">
        <v>1429.283020064</v>
      </c>
      <c r="W825" s="110" t="n">
        <v>2024</v>
      </c>
      <c r="X825" s="9" t="e">
        <f aca="false" ca="false" dt2D="false" dtr="false" t="normal">+#REF!-'[9]Приложение №1'!$P545</f>
        <v>#REF!</v>
      </c>
      <c r="Z825" s="113" t="n">
        <f aca="false" ca="false" dt2D="false" dtr="false" t="normal">SUM(AA825:AO825)</f>
        <v>3610896.0000000005</v>
      </c>
      <c r="AA825" s="106" t="n">
        <v>2740937.54365704</v>
      </c>
      <c r="AB825" s="106" t="n">
        <v>0</v>
      </c>
      <c r="AC825" s="106" t="n">
        <v>0</v>
      </c>
      <c r="AD825" s="106" t="n">
        <v>0</v>
      </c>
      <c r="AE825" s="106" t="n">
        <v>359906.44733064</v>
      </c>
      <c r="AF825" s="106" t="n"/>
      <c r="AG825" s="106" t="n">
        <v>0</v>
      </c>
      <c r="AH825" s="106" t="n">
        <v>0</v>
      </c>
      <c r="AI825" s="106" t="n">
        <v>0</v>
      </c>
      <c r="AJ825" s="106" t="n">
        <v>0</v>
      </c>
      <c r="AK825" s="106" t="n">
        <v>0</v>
      </c>
      <c r="AL825" s="106" t="n">
        <v>0</v>
      </c>
      <c r="AM825" s="106" t="n">
        <v>406133.8712</v>
      </c>
      <c r="AN825" s="114" t="n">
        <v>36108.96</v>
      </c>
      <c r="AO825" s="115" t="n">
        <v>67809.17781232</v>
      </c>
      <c r="AP825" s="112" t="n">
        <f aca="false" ca="false" dt2D="false" dtr="false" t="normal">+N825-'Приложение №2'!E825</f>
        <v>0</v>
      </c>
      <c r="AQ825" s="1" t="n">
        <f aca="false" ca="false" dt2D="false" dtr="false" t="normal">488439.9-73856.3028</f>
        <v>414583.5972</v>
      </c>
      <c r="AR825" s="3" t="n">
        <f aca="false" ca="false" dt2D="false" dtr="false" t="normal">+(K825*10.5+L825*21)*12*0.85</f>
        <v>98039.34</v>
      </c>
      <c r="AS825" s="3" t="n">
        <f aca="false" ca="false" dt2D="false" dtr="false" t="normal">+(K825*10.5+L825*21)*12*30-396640.91</f>
        <v>3063571.09</v>
      </c>
      <c r="AT825" s="9" t="n">
        <f aca="false" ca="false" dt2D="false" dtr="false" t="normal">+S825-AS825</f>
        <v>-3063571.09</v>
      </c>
      <c r="AU825" s="9" t="e">
        <f aca="false" ca="false" dt2D="false" dtr="false" t="normal">+P825-'[5]Приложение №1'!$P709</f>
        <v>#REF!</v>
      </c>
      <c r="AV825" s="9" t="e">
        <f aca="false" ca="false" dt2D="false" dtr="false" t="normal">+Q825-'[5]Приложение №1'!$Q709</f>
        <v>#REF!</v>
      </c>
      <c r="AW825" s="186" t="n">
        <f aca="false" ca="true" dt2D="false" dtr="false" t="normal">SUBTOTAL(9, AX825:BL825)</f>
        <v>367776.8674447311</v>
      </c>
      <c r="AX825" s="106" t="n"/>
      <c r="AY825" s="106" t="n">
        <v>0</v>
      </c>
      <c r="AZ825" s="106" t="n">
        <v>0</v>
      </c>
      <c r="BA825" s="106" t="n">
        <v>0</v>
      </c>
      <c r="BB825" s="106" t="n">
        <v>359906.44733064</v>
      </c>
      <c r="BC825" s="106" t="n"/>
      <c r="BD825" s="106" t="n"/>
      <c r="BE825" s="106" t="n">
        <v>0</v>
      </c>
      <c r="BF825" s="106" t="n">
        <v>0</v>
      </c>
      <c r="BG825" s="106" t="n">
        <v>0</v>
      </c>
      <c r="BH825" s="106" t="n">
        <v>0</v>
      </c>
      <c r="BI825" s="106" t="n">
        <v>0</v>
      </c>
      <c r="BJ825" s="106" t="n"/>
      <c r="BK825" s="114" t="n"/>
      <c r="BL825" s="115" t="n">
        <v>7870.42011409113</v>
      </c>
      <c r="BM825" s="186" t="n">
        <f aca="false" ca="true" dt2D="false" dtr="false" t="normal">SUBTOTAL(9, BN825:CB825)</f>
        <v>367776.8674447311</v>
      </c>
      <c r="BN825" s="106" t="n"/>
      <c r="BO825" s="106" t="n">
        <v>0</v>
      </c>
      <c r="BP825" s="106" t="n">
        <v>0</v>
      </c>
      <c r="BQ825" s="106" t="n">
        <v>0</v>
      </c>
      <c r="BR825" s="106" t="n">
        <v>359906.44733064</v>
      </c>
      <c r="BS825" s="106" t="n"/>
      <c r="BT825" s="106" t="n"/>
      <c r="BU825" s="106" t="n">
        <v>0</v>
      </c>
      <c r="BV825" s="106" t="n">
        <v>0</v>
      </c>
      <c r="BW825" s="106" t="n">
        <v>0</v>
      </c>
      <c r="BX825" s="106" t="n">
        <v>0</v>
      </c>
      <c r="BY825" s="106" t="n">
        <v>0</v>
      </c>
      <c r="BZ825" s="106" t="n"/>
      <c r="CA825" s="114" t="n"/>
      <c r="CB825" s="115" t="n">
        <v>7870.42011409113</v>
      </c>
      <c r="CD825" s="116" t="e">
        <f aca="false" ca="false" dt2D="false" dtr="false" t="normal">+CD824+1</f>
        <v>#REF!</v>
      </c>
      <c r="CE825" s="117" t="e">
        <f aca="false" ca="false" dt2D="false" dtr="false" t="normal">+CE824+1</f>
        <v>#REF!</v>
      </c>
      <c r="CF825" s="104" t="s">
        <v>283</v>
      </c>
      <c r="CG825" s="104" t="s">
        <v>761</v>
      </c>
      <c r="CH825" s="232" t="n">
        <f aca="false" ca="true" dt2D="false" dtr="false" t="normal">SUBTOTAL(9, CI825:CW825)</f>
        <v>479853.29</v>
      </c>
      <c r="CI825" s="106" t="n"/>
      <c r="CJ825" s="114" t="n">
        <v>0</v>
      </c>
      <c r="CK825" s="114" t="n">
        <v>0</v>
      </c>
      <c r="CL825" s="114" t="n">
        <v>0</v>
      </c>
      <c r="CM825" s="114" t="n">
        <v>471982.87</v>
      </c>
      <c r="CN825" s="114" t="n"/>
      <c r="CO825" s="106" t="n"/>
      <c r="CP825" s="114" t="n">
        <v>0</v>
      </c>
      <c r="CQ825" s="114" t="n">
        <v>0</v>
      </c>
      <c r="CR825" s="114" t="n">
        <v>0</v>
      </c>
      <c r="CS825" s="114" t="n">
        <v>0</v>
      </c>
      <c r="CT825" s="114" t="n">
        <v>0</v>
      </c>
      <c r="CU825" s="114" t="n"/>
      <c r="CV825" s="114" t="n"/>
      <c r="CW825" s="115" t="n">
        <v>7870.42</v>
      </c>
      <c r="CX825" s="3" t="n">
        <f aca="false" ca="false" dt2D="false" dtr="false" t="normal">+N825-CH825</f>
        <v>-7870.419999999984</v>
      </c>
      <c r="CZ825" s="104" t="s">
        <v>761</v>
      </c>
      <c r="DA825" s="186" t="n">
        <f aca="false" ca="true" dt2D="false" dtr="false" t="normal">SUBTOTAL(9, DB825:DP825)</f>
        <v>471982.87</v>
      </c>
      <c r="DB825" s="106" t="n"/>
      <c r="DC825" s="114" t="n">
        <v>0</v>
      </c>
      <c r="DD825" s="114" t="n">
        <v>0</v>
      </c>
      <c r="DE825" s="114" t="n">
        <v>0</v>
      </c>
      <c r="DF825" s="114" t="n">
        <v>471982.87</v>
      </c>
      <c r="DG825" s="114" t="n"/>
      <c r="DH825" s="106" t="n"/>
      <c r="DI825" s="114" t="n">
        <v>0</v>
      </c>
      <c r="DJ825" s="114" t="n">
        <v>0</v>
      </c>
      <c r="DK825" s="114" t="n">
        <v>0</v>
      </c>
      <c r="DL825" s="114" t="n">
        <v>0</v>
      </c>
      <c r="DM825" s="114" t="n">
        <v>0</v>
      </c>
      <c r="DN825" s="241" t="n"/>
      <c r="DO825" s="114" t="n"/>
      <c r="DP825" s="240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</row>
    <row customFormat="true" hidden="false" ht="15" outlineLevel="0" r="826" s="1">
      <c r="A826" s="183" t="n">
        <f aca="false" ca="false" dt2D="false" dtr="false" t="normal">+A825+1</f>
        <v>804</v>
      </c>
      <c r="B826" s="117" t="n">
        <f aca="false" ca="false" dt2D="false" dtr="false" t="normal">+B825+1</f>
        <v>344</v>
      </c>
      <c r="C826" s="117" t="s">
        <v>283</v>
      </c>
      <c r="D826" s="117" t="s">
        <v>762</v>
      </c>
      <c r="E826" s="201" t="n">
        <v>1977</v>
      </c>
      <c r="F826" s="201" t="n">
        <v>2010</v>
      </c>
      <c r="G826" s="201" t="s">
        <v>68</v>
      </c>
      <c r="H826" s="201" t="n">
        <v>4</v>
      </c>
      <c r="I826" s="201" t="n">
        <v>4</v>
      </c>
      <c r="J826" s="114" t="n">
        <v>4061.6</v>
      </c>
      <c r="K826" s="114" t="n">
        <v>3500</v>
      </c>
      <c r="L826" s="114" t="n">
        <v>0</v>
      </c>
      <c r="M826" s="202" t="n">
        <v>135</v>
      </c>
      <c r="N826" s="108" t="n">
        <f aca="false" ca="false" dt2D="false" dtr="false" t="normal">SUM(P826:T826)</f>
        <v>1478512.44</v>
      </c>
      <c r="O826" s="114" t="n"/>
      <c r="P826" s="114" t="n"/>
      <c r="Q826" s="114" t="n"/>
      <c r="R826" s="113" t="n">
        <v>1427087.48</v>
      </c>
      <c r="S826" s="114" t="n">
        <v>0</v>
      </c>
      <c r="T826" s="113" t="n">
        <v>51424.96</v>
      </c>
      <c r="U826" s="114" t="n">
        <v>311.4755358</v>
      </c>
      <c r="V826" s="114" t="n">
        <v>1432.283020064</v>
      </c>
      <c r="W826" s="110" t="n">
        <v>2024</v>
      </c>
      <c r="X826" s="9" t="e">
        <f aca="false" ca="false" dt2D="false" dtr="false" t="normal">+#REF!-'[9]Приложение №1'!$P546</f>
        <v>#REF!</v>
      </c>
      <c r="Z826" s="113" t="n">
        <f aca="false" ca="false" dt2D="false" dtr="false" t="normal">SUM(AA826:AO826)</f>
        <v>1579948.3699999999</v>
      </c>
      <c r="AA826" s="106" t="n">
        <v>0</v>
      </c>
      <c r="AB826" s="106" t="n">
        <v>0</v>
      </c>
      <c r="AC826" s="106" t="n">
        <v>0</v>
      </c>
      <c r="AD826" s="106" t="n">
        <v>0</v>
      </c>
      <c r="AE826" s="106" t="n">
        <v>1066834.85766858</v>
      </c>
      <c r="AF826" s="106" t="n"/>
      <c r="AG826" s="106" t="n">
        <v>0</v>
      </c>
      <c r="AH826" s="106" t="n">
        <v>0</v>
      </c>
      <c r="AI826" s="106" t="n">
        <v>0</v>
      </c>
      <c r="AJ826" s="106" t="n">
        <v>0</v>
      </c>
      <c r="AK826" s="106" t="n">
        <v>0</v>
      </c>
      <c r="AL826" s="106" t="n">
        <v>0</v>
      </c>
      <c r="AM826" s="106" t="n">
        <v>473984.511</v>
      </c>
      <c r="AN826" s="114" t="n">
        <v>15799.4837</v>
      </c>
      <c r="AO826" s="115" t="n">
        <v>23329.51763142</v>
      </c>
      <c r="AP826" s="112" t="n">
        <f aca="false" ca="false" dt2D="false" dtr="false" t="normal">+N826-'Приложение №2'!E826</f>
        <v>0</v>
      </c>
      <c r="AQ826" s="121" t="n">
        <v>1771943.08</v>
      </c>
      <c r="AR826" s="3" t="n">
        <f aca="false" ca="false" dt2D="false" dtr="false" t="normal">+(K826*10.5+L826*21)*12*0.85</f>
        <v>374850</v>
      </c>
      <c r="AS826" s="3" t="n">
        <f aca="false" ca="false" dt2D="false" dtr="false" t="normal">+(K826*10.5+L826*21)*12*30</f>
        <v>13230000</v>
      </c>
      <c r="AT826" s="9" t="n">
        <f aca="false" ca="false" dt2D="false" dtr="false" t="normal">+S826-AS826</f>
        <v>-13230000</v>
      </c>
      <c r="AU826" s="9" t="e">
        <f aca="false" ca="false" dt2D="false" dtr="false" t="normal">+P826-'[5]Приложение №1'!$P712</f>
        <v>#REF!</v>
      </c>
      <c r="AV826" s="9" t="e">
        <f aca="false" ca="false" dt2D="false" dtr="false" t="normal">+Q826-'[5]Приложение №1'!$Q712</f>
        <v>#REF!</v>
      </c>
      <c r="AW826" s="186" t="n">
        <f aca="false" ca="true" dt2D="false" dtr="false" t="normal">SUBTOTAL(9, AX826:BL826)</f>
        <v>1090164.3753</v>
      </c>
      <c r="AX826" s="106" t="n">
        <v>0</v>
      </c>
      <c r="AY826" s="106" t="n">
        <v>0</v>
      </c>
      <c r="AZ826" s="106" t="n">
        <v>0</v>
      </c>
      <c r="BA826" s="106" t="n">
        <v>0</v>
      </c>
      <c r="BB826" s="106" t="n">
        <v>1066834.85766858</v>
      </c>
      <c r="BC826" s="106" t="n"/>
      <c r="BD826" s="106" t="n"/>
      <c r="BE826" s="106" t="n">
        <v>0</v>
      </c>
      <c r="BF826" s="106" t="n">
        <v>0</v>
      </c>
      <c r="BG826" s="106" t="n">
        <v>0</v>
      </c>
      <c r="BH826" s="106" t="n">
        <v>0</v>
      </c>
      <c r="BI826" s="106" t="n">
        <v>0</v>
      </c>
      <c r="BJ826" s="106" t="n"/>
      <c r="BK826" s="114" t="n"/>
      <c r="BL826" s="115" t="n">
        <v>23329.51763142</v>
      </c>
      <c r="BM826" s="186" t="n">
        <f aca="false" ca="true" dt2D="false" dtr="false" t="normal">SUBTOTAL(9, BN826:CB826)</f>
        <v>1090164.3753</v>
      </c>
      <c r="BN826" s="106" t="n">
        <v>0</v>
      </c>
      <c r="BO826" s="106" t="n">
        <v>0</v>
      </c>
      <c r="BP826" s="106" t="n">
        <v>0</v>
      </c>
      <c r="BQ826" s="106" t="n">
        <v>0</v>
      </c>
      <c r="BR826" s="106" t="n">
        <v>1066834.85766858</v>
      </c>
      <c r="BS826" s="106" t="n"/>
      <c r="BT826" s="106" t="n"/>
      <c r="BU826" s="106" t="n">
        <v>0</v>
      </c>
      <c r="BV826" s="106" t="n">
        <v>0</v>
      </c>
      <c r="BW826" s="106" t="n">
        <v>0</v>
      </c>
      <c r="BX826" s="106" t="n">
        <v>0</v>
      </c>
      <c r="BY826" s="106" t="n">
        <v>0</v>
      </c>
      <c r="BZ826" s="106" t="n"/>
      <c r="CA826" s="114" t="n"/>
      <c r="CB826" s="115" t="n">
        <v>23329.51763142</v>
      </c>
      <c r="CD826" s="116" t="e">
        <f aca="false" ca="false" dt2D="false" dtr="false" t="normal">+CD825+1</f>
        <v>#REF!</v>
      </c>
      <c r="CE826" s="117" t="e">
        <f aca="false" ca="false" dt2D="false" dtr="false" t="normal">+CE825+1</f>
        <v>#REF!</v>
      </c>
      <c r="CF826" s="104" t="s">
        <v>283</v>
      </c>
      <c r="CG826" s="104" t="s">
        <v>762</v>
      </c>
      <c r="CH826" s="232" t="n">
        <f aca="false" ca="true" dt2D="false" dtr="false" t="normal">SUBTOTAL(9, CI826:CW826)</f>
        <v>1493930.73</v>
      </c>
      <c r="CI826" s="106" t="n">
        <v>0</v>
      </c>
      <c r="CJ826" s="114" t="n">
        <v>0</v>
      </c>
      <c r="CK826" s="114" t="n">
        <v>0</v>
      </c>
      <c r="CL826" s="114" t="n">
        <v>0</v>
      </c>
      <c r="CM826" s="114" t="n">
        <v>1470601.21</v>
      </c>
      <c r="CN826" s="114" t="n"/>
      <c r="CO826" s="106" t="n"/>
      <c r="CP826" s="114" t="n">
        <v>0</v>
      </c>
      <c r="CQ826" s="114" t="n">
        <v>0</v>
      </c>
      <c r="CR826" s="114" t="n">
        <v>0</v>
      </c>
      <c r="CS826" s="114" t="n">
        <v>0</v>
      </c>
      <c r="CT826" s="114" t="n">
        <v>0</v>
      </c>
      <c r="CU826" s="114" t="n"/>
      <c r="CV826" s="114" t="n"/>
      <c r="CW826" s="115" t="n">
        <v>23329.52</v>
      </c>
      <c r="CX826" s="3" t="n">
        <f aca="false" ca="false" dt2D="false" dtr="false" t="normal">+N826-CH826</f>
        <v>-15418.290000000037</v>
      </c>
      <c r="CZ826" s="104" t="s">
        <v>762</v>
      </c>
      <c r="DA826" s="186" t="n">
        <f aca="false" ca="true" dt2D="false" dtr="false" t="normal">SUBTOTAL(9, DB826:DP826)</f>
        <v>1478512.4394999999</v>
      </c>
      <c r="DB826" s="106" t="n">
        <v>0</v>
      </c>
      <c r="DC826" s="114" t="n">
        <v>0</v>
      </c>
      <c r="DD826" s="114" t="n">
        <v>0</v>
      </c>
      <c r="DE826" s="114" t="n">
        <v>0</v>
      </c>
      <c r="DF826" s="114" t="n">
        <v>1470601.21</v>
      </c>
      <c r="DG826" s="114" t="n"/>
      <c r="DH826" s="106" t="n"/>
      <c r="DI826" s="114" t="n">
        <v>0</v>
      </c>
      <c r="DJ826" s="114" t="n">
        <v>0</v>
      </c>
      <c r="DK826" s="114" t="n">
        <v>0</v>
      </c>
      <c r="DL826" s="114" t="n">
        <v>0</v>
      </c>
      <c r="DM826" s="114" t="n">
        <v>0</v>
      </c>
      <c r="DN826" s="241" t="n"/>
      <c r="DO826" s="114" t="n"/>
      <c r="DP826" s="115" t="n">
        <f aca="false" ca="false" dt2D="false" dtr="false" t="normal">6879.33*1.15</f>
        <v>7911.2294999999995</v>
      </c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</row>
    <row customFormat="true" hidden="false" ht="15" outlineLevel="0" r="827" s="1">
      <c r="A827" s="183" t="n">
        <f aca="false" ca="false" dt2D="false" dtr="false" t="normal">+A826+1</f>
        <v>805</v>
      </c>
      <c r="B827" s="117" t="n">
        <f aca="false" ca="false" dt2D="false" dtr="false" t="normal">+B826+1</f>
        <v>345</v>
      </c>
      <c r="C827" s="104" t="s">
        <v>283</v>
      </c>
      <c r="D827" s="104" t="s">
        <v>289</v>
      </c>
      <c r="E827" s="105" t="n">
        <v>1973</v>
      </c>
      <c r="F827" s="105" t="n">
        <v>2010</v>
      </c>
      <c r="G827" s="105" t="s">
        <v>68</v>
      </c>
      <c r="H827" s="105" t="n">
        <v>5</v>
      </c>
      <c r="I827" s="105" t="n">
        <v>4</v>
      </c>
      <c r="J827" s="106" t="n">
        <v>3449.3</v>
      </c>
      <c r="K827" s="106" t="n">
        <v>3117.4</v>
      </c>
      <c r="L827" s="106" t="n">
        <v>171.7</v>
      </c>
      <c r="M827" s="107" t="n">
        <v>147</v>
      </c>
      <c r="N827" s="108" t="n">
        <f aca="false" ca="false" dt2D="false" dtr="false" t="normal">SUM(P827:T827)</f>
        <v>5910943.699999999</v>
      </c>
      <c r="O827" s="114" t="n"/>
      <c r="P827" s="114" t="n"/>
      <c r="Q827" s="114" t="n"/>
      <c r="R827" s="113" t="n">
        <v>621865.63</v>
      </c>
      <c r="S827" s="113" t="n">
        <v>2443477.67</v>
      </c>
      <c r="T827" s="113" t="n">
        <v>2845600.4</v>
      </c>
      <c r="U827" s="114" t="n">
        <v>1888.07453330554</v>
      </c>
      <c r="V827" s="114" t="n">
        <v>1888.07453330554</v>
      </c>
      <c r="W827" s="110" t="n">
        <v>2024</v>
      </c>
      <c r="X827" s="9" t="e">
        <f aca="false" ca="false" dt2D="false" dtr="false" t="normal">+#REF!-'[9]Приложение №1'!$P1584</f>
        <v>#REF!</v>
      </c>
      <c r="Z827" s="113" t="n">
        <f aca="false" ca="false" dt2D="false" dtr="false" t="normal">SUM(AA827:AO827)</f>
        <v>17920574.47053366</v>
      </c>
      <c r="AA827" s="106" t="n"/>
      <c r="AB827" s="106" t="n">
        <v>0</v>
      </c>
      <c r="AC827" s="106" t="n">
        <v>0</v>
      </c>
      <c r="AD827" s="106" t="n">
        <v>0</v>
      </c>
      <c r="AE827" s="106" t="n">
        <v>1035545.47294086</v>
      </c>
      <c r="AF827" s="106" t="n"/>
      <c r="AG827" s="106" t="n">
        <v>0</v>
      </c>
      <c r="AH827" s="106" t="n">
        <v>0</v>
      </c>
      <c r="AI827" s="106" t="n">
        <v>0</v>
      </c>
      <c r="AJ827" s="106" t="n">
        <v>0</v>
      </c>
      <c r="AK827" s="106" t="n">
        <v>6731411.69063874</v>
      </c>
      <c r="AL827" s="106" t="n">
        <v>6947141.17846602</v>
      </c>
      <c r="AM827" s="106" t="n">
        <v>2528780.7582</v>
      </c>
      <c r="AN827" s="114" t="n">
        <v>234660.1932</v>
      </c>
      <c r="AO827" s="115" t="n">
        <v>443035.17708804</v>
      </c>
      <c r="AP827" s="112" t="n">
        <f aca="false" ca="false" dt2D="false" dtr="false" t="normal">+N827-'Приложение №2'!E827</f>
        <v>0</v>
      </c>
      <c r="AQ827" s="1" t="n">
        <f aca="false" ca="false" dt2D="false" dtr="false" t="normal">1240910.11-689425.44-282620.64</f>
        <v>268864.03000000014</v>
      </c>
      <c r="AR827" s="3" t="n">
        <f aca="false" ca="false" dt2D="false" dtr="false" t="normal">+(K827*10+L827*20)*12*0.85</f>
        <v>353001.6</v>
      </c>
      <c r="AS827" s="3" t="n">
        <f aca="false" ca="false" dt2D="false" dtr="false" t="normal">+(K827*10+L827*20)*12*30-3027646.57-12468.88</f>
        <v>9418764.549999999</v>
      </c>
      <c r="AT827" s="9" t="n">
        <f aca="false" ca="false" dt2D="false" dtr="false" t="normal">+S827-AS827</f>
        <v>-6975286.879999999</v>
      </c>
      <c r="AU827" s="9" t="e">
        <f aca="false" ca="false" dt2D="false" dtr="false" t="normal">+P827-'[5]Приложение №1'!$P455</f>
        <v>#REF!</v>
      </c>
      <c r="AV827" s="9" t="e">
        <f aca="false" ca="false" dt2D="false" dtr="false" t="normal">+Q827-'[5]Приложение №1'!$Q455</f>
        <v>#REF!</v>
      </c>
      <c r="AW827" s="113" t="n">
        <f aca="false" ca="true" dt2D="false" dtr="false" t="normal">SUBTOTAL(9, AX827:BL827)</f>
        <v>6210065.94749524</v>
      </c>
      <c r="AX827" s="106" t="n"/>
      <c r="AY827" s="106" t="n">
        <v>0</v>
      </c>
      <c r="AZ827" s="106" t="n">
        <v>0</v>
      </c>
      <c r="BA827" s="106" t="n">
        <v>0</v>
      </c>
      <c r="BB827" s="106" t="n"/>
      <c r="BC827" s="106" t="n"/>
      <c r="BD827" s="106" t="n"/>
      <c r="BE827" s="106" t="n">
        <v>0</v>
      </c>
      <c r="BF827" s="106" t="n">
        <v>0</v>
      </c>
      <c r="BG827" s="106" t="n">
        <v>0</v>
      </c>
      <c r="BH827" s="106" t="n">
        <v>5910943.7</v>
      </c>
      <c r="BI827" s="106" t="n"/>
      <c r="BJ827" s="106" t="n"/>
      <c r="BK827" s="114" t="n"/>
      <c r="BL827" s="187" t="n">
        <v>299122.24749524</v>
      </c>
      <c r="BM827" s="113" t="n">
        <f aca="false" ca="true" dt2D="false" dtr="false" t="normal">SUBTOTAL(9, BN827:CB827)</f>
        <v>6210065.94749524</v>
      </c>
      <c r="BN827" s="106" t="n"/>
      <c r="BO827" s="106" t="n">
        <v>0</v>
      </c>
      <c r="BP827" s="106" t="n">
        <v>0</v>
      </c>
      <c r="BQ827" s="106" t="n">
        <v>0</v>
      </c>
      <c r="BR827" s="106" t="n"/>
      <c r="BS827" s="106" t="n"/>
      <c r="BT827" s="106" t="n"/>
      <c r="BU827" s="106" t="n">
        <v>0</v>
      </c>
      <c r="BV827" s="106" t="n">
        <v>0</v>
      </c>
      <c r="BW827" s="106" t="n">
        <v>0</v>
      </c>
      <c r="BX827" s="106" t="n">
        <v>5910943.7</v>
      </c>
      <c r="BY827" s="106" t="n"/>
      <c r="BZ827" s="106" t="n"/>
      <c r="CA827" s="114" t="n"/>
      <c r="CB827" s="115" t="n">
        <v>299122.24749524</v>
      </c>
      <c r="CD827" s="116" t="e">
        <f aca="false" ca="false" dt2D="false" dtr="false" t="normal">+CD826+1</f>
        <v>#REF!</v>
      </c>
      <c r="CE827" s="117" t="e">
        <f aca="false" ca="false" dt2D="false" dtr="false" t="normal">+CE826+1</f>
        <v>#REF!</v>
      </c>
      <c r="CF827" s="104" t="s">
        <v>283</v>
      </c>
      <c r="CG827" s="117" t="s">
        <v>289</v>
      </c>
      <c r="CH827" s="108" t="n">
        <f aca="false" ca="true" dt2D="false" dtr="false" t="normal">SUBTOTAL(9, CI827:CW827)</f>
        <v>5910943.7</v>
      </c>
      <c r="CI827" s="106" t="n"/>
      <c r="CJ827" s="114" t="n">
        <v>0</v>
      </c>
      <c r="CK827" s="114" t="n">
        <v>0</v>
      </c>
      <c r="CL827" s="114" t="n">
        <v>0</v>
      </c>
      <c r="CM827" s="114" t="n"/>
      <c r="CN827" s="114" t="n"/>
      <c r="CO827" s="106" t="n"/>
      <c r="CP827" s="114" t="n">
        <v>0</v>
      </c>
      <c r="CQ827" s="114" t="n">
        <v>0</v>
      </c>
      <c r="CR827" s="114" t="n">
        <v>0</v>
      </c>
      <c r="CS827" s="114" t="n">
        <v>5910943.7</v>
      </c>
      <c r="CT827" s="114" t="n"/>
      <c r="CU827" s="114" t="n"/>
      <c r="CV827" s="114" t="n"/>
      <c r="CW827" s="115" t="n"/>
      <c r="CX827" s="3" t="n">
        <f aca="false" ca="false" dt2D="false" dtr="false" t="normal">+N827-CH827</f>
        <v>0</v>
      </c>
      <c r="CZ827" s="117" t="s">
        <v>289</v>
      </c>
      <c r="DA827" s="113" t="n">
        <f aca="false" ca="true" dt2D="false" dtr="false" t="normal">SUBTOTAL(9, DB827:DP827)</f>
        <v>5910943.7</v>
      </c>
      <c r="DB827" s="106" t="n"/>
      <c r="DC827" s="114" t="n">
        <v>0</v>
      </c>
      <c r="DD827" s="114" t="n">
        <v>0</v>
      </c>
      <c r="DE827" s="114" t="n">
        <v>0</v>
      </c>
      <c r="DF827" s="114" t="n"/>
      <c r="DG827" s="114" t="n"/>
      <c r="DH827" s="106" t="n"/>
      <c r="DI827" s="114" t="n">
        <v>0</v>
      </c>
      <c r="DJ827" s="114" t="n">
        <v>0</v>
      </c>
      <c r="DK827" s="114" t="n">
        <v>0</v>
      </c>
      <c r="DL827" s="114" t="n">
        <v>5910943.7</v>
      </c>
      <c r="DM827" s="114" t="n"/>
      <c r="DN827" s="114" t="n"/>
      <c r="DO827" s="114" t="n"/>
      <c r="DP827" s="240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</row>
    <row customFormat="true" hidden="false" ht="15" outlineLevel="0" r="828" s="1">
      <c r="A828" s="183" t="n">
        <f aca="false" ca="false" dt2D="false" dtr="false" t="normal">+A827+1</f>
        <v>806</v>
      </c>
      <c r="B828" s="117" t="n">
        <f aca="false" ca="false" dt2D="false" dtr="false" t="normal">+B827+1</f>
        <v>346</v>
      </c>
      <c r="C828" s="117" t="s">
        <v>283</v>
      </c>
      <c r="D828" s="117" t="s">
        <v>763</v>
      </c>
      <c r="E828" s="201" t="n">
        <v>1987</v>
      </c>
      <c r="F828" s="201" t="n">
        <v>2009</v>
      </c>
      <c r="G828" s="201" t="s">
        <v>68</v>
      </c>
      <c r="H828" s="201" t="n">
        <v>5</v>
      </c>
      <c r="I828" s="201" t="n">
        <v>6</v>
      </c>
      <c r="J828" s="114" t="n">
        <v>7333.8</v>
      </c>
      <c r="K828" s="114" t="n">
        <v>6313.3</v>
      </c>
      <c r="L828" s="114" t="n">
        <v>0</v>
      </c>
      <c r="M828" s="202" t="n">
        <v>271</v>
      </c>
      <c r="N828" s="108" t="n">
        <f aca="false" ca="false" dt2D="false" dtr="false" t="normal">SUM(P828:T828)</f>
        <v>2097298.46</v>
      </c>
      <c r="O828" s="114" t="n"/>
      <c r="P828" s="114" t="n"/>
      <c r="Q828" s="114" t="n"/>
      <c r="R828" s="113" t="n">
        <v>2097298.46</v>
      </c>
      <c r="S828" s="114" t="n"/>
      <c r="T828" s="114" t="n"/>
      <c r="U828" s="114" t="n">
        <v>339.467810542822</v>
      </c>
      <c r="V828" s="114" t="n">
        <v>1430.283020064</v>
      </c>
      <c r="W828" s="110" t="n">
        <v>2024</v>
      </c>
      <c r="X828" s="9" t="e">
        <f aca="false" ca="false" dt2D="false" dtr="false" t="normal">+#REF!-'[9]Приложение №1'!$P899</f>
        <v>#REF!</v>
      </c>
      <c r="Z828" s="113" t="n">
        <f aca="false" ca="false" dt2D="false" dtr="false" t="normal">SUM(AA828:AO828)</f>
        <v>3106032.07</v>
      </c>
      <c r="AA828" s="106" t="n">
        <v>0</v>
      </c>
      <c r="AB828" s="106" t="n">
        <v>0</v>
      </c>
      <c r="AC828" s="106" t="n">
        <v>0</v>
      </c>
      <c r="AD828" s="106" t="n">
        <v>0</v>
      </c>
      <c r="AE828" s="106" t="n">
        <v>2097298.45875438</v>
      </c>
      <c r="AF828" s="106" t="n"/>
      <c r="AG828" s="106" t="n">
        <v>0</v>
      </c>
      <c r="AH828" s="106" t="n">
        <v>0</v>
      </c>
      <c r="AI828" s="106" t="n">
        <v>0</v>
      </c>
      <c r="AJ828" s="106" t="n">
        <v>0</v>
      </c>
      <c r="AK828" s="106" t="n">
        <v>0</v>
      </c>
      <c r="AL828" s="106" t="n">
        <v>0</v>
      </c>
      <c r="AM828" s="106" t="n">
        <v>931809.621</v>
      </c>
      <c r="AN828" s="114" t="n">
        <v>31060.3207</v>
      </c>
      <c r="AO828" s="115" t="n">
        <v>45863.66954562</v>
      </c>
      <c r="AP828" s="112" t="n">
        <f aca="false" ca="false" dt2D="false" dtr="false" t="normal">+N828-'Приложение №2'!E828</f>
        <v>0</v>
      </c>
      <c r="AQ828" s="1" t="n">
        <f aca="false" ca="false" dt2D="false" dtr="false" t="normal">3434079.76-1658423.09</f>
        <v>1775656.6699999997</v>
      </c>
      <c r="AR828" s="3" t="n">
        <f aca="false" ca="false" dt2D="false" dtr="false" t="normal">+(K828*10.5+L828*21)*12*0.85</f>
        <v>676154.43</v>
      </c>
      <c r="AS828" s="3" t="n">
        <f aca="false" ca="false" dt2D="false" dtr="false" t="normal">+(K828*10.5+L828*21)*12*30-11045.36</f>
        <v>23853228.64</v>
      </c>
      <c r="AT828" s="9" t="n">
        <f aca="false" ca="false" dt2D="false" dtr="false" t="normal">+S828-AS828</f>
        <v>-23853228.64</v>
      </c>
      <c r="AU828" s="9" t="e">
        <f aca="false" ca="false" dt2D="false" dtr="false" t="normal">+P828-'[5]Приложение №1'!$P710</f>
        <v>#REF!</v>
      </c>
      <c r="AV828" s="9" t="e">
        <f aca="false" ca="false" dt2D="false" dtr="false" t="normal">+Q828-'[5]Приложение №1'!$Q710</f>
        <v>#REF!</v>
      </c>
      <c r="AW828" s="186" t="n">
        <f aca="false" ca="true" dt2D="false" dtr="false" t="normal">SUBTOTAL(9, AX828:BL828)</f>
        <v>2143162.1283</v>
      </c>
      <c r="AX828" s="106" t="n">
        <v>0</v>
      </c>
      <c r="AY828" s="106" t="n">
        <v>0</v>
      </c>
      <c r="AZ828" s="106" t="n">
        <v>0</v>
      </c>
      <c r="BA828" s="106" t="n">
        <v>0</v>
      </c>
      <c r="BB828" s="106" t="n">
        <v>2097298.45875438</v>
      </c>
      <c r="BC828" s="106" t="n"/>
      <c r="BD828" s="106" t="n"/>
      <c r="BE828" s="106" t="n">
        <v>0</v>
      </c>
      <c r="BF828" s="106" t="n">
        <v>0</v>
      </c>
      <c r="BG828" s="106" t="n">
        <v>0</v>
      </c>
      <c r="BH828" s="106" t="n">
        <v>0</v>
      </c>
      <c r="BI828" s="106" t="n">
        <v>0</v>
      </c>
      <c r="BJ828" s="106" t="n"/>
      <c r="BK828" s="114" t="n"/>
      <c r="BL828" s="115" t="n">
        <v>45863.66954562</v>
      </c>
      <c r="BM828" s="186" t="n">
        <f aca="false" ca="true" dt2D="false" dtr="false" t="normal">SUBTOTAL(9, BN828:CB828)</f>
        <v>2143162.1283</v>
      </c>
      <c r="BN828" s="106" t="n">
        <v>0</v>
      </c>
      <c r="BO828" s="106" t="n">
        <v>0</v>
      </c>
      <c r="BP828" s="106" t="n">
        <v>0</v>
      </c>
      <c r="BQ828" s="106" t="n">
        <v>0</v>
      </c>
      <c r="BR828" s="106" t="n">
        <v>2097298.45875438</v>
      </c>
      <c r="BS828" s="106" t="n"/>
      <c r="BT828" s="106" t="n"/>
      <c r="BU828" s="106" t="n">
        <v>0</v>
      </c>
      <c r="BV828" s="106" t="n">
        <v>0</v>
      </c>
      <c r="BW828" s="106" t="n">
        <v>0</v>
      </c>
      <c r="BX828" s="106" t="n">
        <v>0</v>
      </c>
      <c r="BY828" s="106" t="n">
        <v>0</v>
      </c>
      <c r="BZ828" s="106" t="n"/>
      <c r="CA828" s="114" t="n"/>
      <c r="CB828" s="115" t="n">
        <v>45863.66954562</v>
      </c>
      <c r="CD828" s="116" t="e">
        <f aca="false" ca="false" dt2D="false" dtr="false" t="normal">+#REF!+1</f>
        <v>#REF!</v>
      </c>
      <c r="CE828" s="117" t="e">
        <f aca="false" ca="false" dt2D="false" dtr="false" t="normal">+#REF!+1</f>
        <v>#REF!</v>
      </c>
      <c r="CF828" s="104" t="s">
        <v>283</v>
      </c>
      <c r="CG828" s="104" t="s">
        <v>763</v>
      </c>
      <c r="CH828" s="232" t="n">
        <f aca="false" ca="true" dt2D="false" dtr="false" t="normal">SUBTOTAL(9, CI828:CW828)</f>
        <v>2143162.13</v>
      </c>
      <c r="CI828" s="106" t="n">
        <v>0</v>
      </c>
      <c r="CJ828" s="114" t="n">
        <v>0</v>
      </c>
      <c r="CK828" s="114" t="n">
        <v>0</v>
      </c>
      <c r="CL828" s="114" t="n">
        <v>0</v>
      </c>
      <c r="CM828" s="114" t="n">
        <v>2097298.46</v>
      </c>
      <c r="CN828" s="114" t="n"/>
      <c r="CO828" s="106" t="n"/>
      <c r="CP828" s="114" t="n">
        <v>0</v>
      </c>
      <c r="CQ828" s="114" t="n">
        <v>0</v>
      </c>
      <c r="CR828" s="114" t="n">
        <v>0</v>
      </c>
      <c r="CS828" s="114" t="n">
        <v>0</v>
      </c>
      <c r="CT828" s="114" t="n">
        <v>0</v>
      </c>
      <c r="CU828" s="114" t="n"/>
      <c r="CV828" s="114" t="n"/>
      <c r="CW828" s="115" t="n">
        <v>45863.67</v>
      </c>
      <c r="CX828" s="3" t="n">
        <f aca="false" ca="false" dt2D="false" dtr="false" t="normal">+N828-CH828</f>
        <v>-45863.669999999925</v>
      </c>
      <c r="CZ828" s="104" t="s">
        <v>763</v>
      </c>
      <c r="DA828" s="186" t="n">
        <f aca="false" ca="true" dt2D="false" dtr="false" t="normal">SUBTOTAL(9, DB828:DP828)</f>
        <v>2097298.46</v>
      </c>
      <c r="DB828" s="106" t="n">
        <v>0</v>
      </c>
      <c r="DC828" s="114" t="n">
        <v>0</v>
      </c>
      <c r="DD828" s="114" t="n">
        <v>0</v>
      </c>
      <c r="DE828" s="114" t="n">
        <v>0</v>
      </c>
      <c r="DF828" s="114" t="n">
        <v>2097298.46</v>
      </c>
      <c r="DG828" s="114" t="n"/>
      <c r="DH828" s="106" t="n"/>
      <c r="DI828" s="114" t="n">
        <v>0</v>
      </c>
      <c r="DJ828" s="114" t="n">
        <v>0</v>
      </c>
      <c r="DK828" s="114" t="n">
        <v>0</v>
      </c>
      <c r="DL828" s="114" t="n">
        <v>0</v>
      </c>
      <c r="DM828" s="114" t="n">
        <v>0</v>
      </c>
      <c r="DN828" s="241" t="n"/>
      <c r="DO828" s="241" t="n"/>
      <c r="DP828" s="240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</row>
    <row customFormat="true" hidden="false" ht="15" outlineLevel="0" r="829" s="1">
      <c r="A829" s="183" t="n">
        <f aca="false" ca="false" dt2D="false" dtr="false" t="normal">+A828+1</f>
        <v>807</v>
      </c>
      <c r="B829" s="117" t="n">
        <f aca="false" ca="false" dt2D="false" dtr="false" t="normal">+B828+1</f>
        <v>347</v>
      </c>
      <c r="C829" s="117" t="s">
        <v>283</v>
      </c>
      <c r="D829" s="117" t="s">
        <v>764</v>
      </c>
      <c r="E829" s="201" t="n">
        <v>1981</v>
      </c>
      <c r="F829" s="201" t="n">
        <v>2010</v>
      </c>
      <c r="G829" s="201" t="s">
        <v>68</v>
      </c>
      <c r="H829" s="201" t="n">
        <v>4</v>
      </c>
      <c r="I829" s="201" t="n">
        <v>6</v>
      </c>
      <c r="J829" s="114" t="n">
        <v>5677</v>
      </c>
      <c r="K829" s="114" t="n">
        <v>4920.8</v>
      </c>
      <c r="L829" s="114" t="n">
        <v>0</v>
      </c>
      <c r="M829" s="202" t="n">
        <v>222</v>
      </c>
      <c r="N829" s="108" t="n">
        <f aca="false" ca="false" dt2D="false" dtr="false" t="normal">SUM(P829:T829)</f>
        <v>1633202.96</v>
      </c>
      <c r="O829" s="114" t="n"/>
      <c r="P829" s="114" t="n"/>
      <c r="Q829" s="114" t="n"/>
      <c r="R829" s="113" t="n">
        <v>1633202.96</v>
      </c>
      <c r="S829" s="113" t="n"/>
      <c r="T829" s="114" t="n"/>
      <c r="U829" s="114" t="n">
        <v>339.15578777841</v>
      </c>
      <c r="V829" s="114" t="n">
        <v>1431.283020064</v>
      </c>
      <c r="W829" s="110" t="n">
        <v>2024</v>
      </c>
      <c r="X829" s="9" t="e">
        <f aca="false" ca="false" dt2D="false" dtr="false" t="normal">+#REF!-'[9]Приложение №1'!$P900</f>
        <v>#REF!</v>
      </c>
      <c r="Z829" s="113" t="n">
        <f aca="false" ca="false" dt2D="false" dtr="false" t="normal">SUM(AA829:AO829)</f>
        <v>2418721.4499999997</v>
      </c>
      <c r="AA829" s="106" t="n">
        <v>0</v>
      </c>
      <c r="AB829" s="106" t="n">
        <v>0</v>
      </c>
      <c r="AC829" s="106" t="n">
        <v>0</v>
      </c>
      <c r="AD829" s="106" t="n">
        <v>0</v>
      </c>
      <c r="AE829" s="106" t="n">
        <v>1633202.9595693</v>
      </c>
      <c r="AF829" s="106" t="n"/>
      <c r="AG829" s="106" t="n">
        <v>0</v>
      </c>
      <c r="AH829" s="106" t="n">
        <v>0</v>
      </c>
      <c r="AI829" s="106" t="n">
        <v>0</v>
      </c>
      <c r="AJ829" s="106" t="n">
        <v>0</v>
      </c>
      <c r="AK829" s="106" t="n">
        <v>0</v>
      </c>
      <c r="AL829" s="106" t="n">
        <v>0</v>
      </c>
      <c r="AM829" s="106" t="n">
        <v>725616.435</v>
      </c>
      <c r="AN829" s="114" t="n">
        <v>24187.2145</v>
      </c>
      <c r="AO829" s="115" t="n">
        <v>35714.8409307</v>
      </c>
      <c r="AP829" s="112" t="n">
        <f aca="false" ca="false" dt2D="false" dtr="false" t="normal">+N829-'Приложение №2'!E829</f>
        <v>0</v>
      </c>
      <c r="AQ829" s="1" t="n">
        <f aca="false" ca="false" dt2D="false" dtr="false" t="normal">2315426.33-1193335.64</f>
        <v>1122090.6900000002</v>
      </c>
      <c r="AR829" s="3" t="n">
        <f aca="false" ca="false" dt2D="false" dtr="false" t="normal">+(K829*10.5+L829*21)*12*0.85</f>
        <v>527017.68</v>
      </c>
      <c r="AS829" s="3" t="n">
        <f aca="false" ca="false" dt2D="false" dtr="false" t="normal">+(K829*10.5+L829*21)*12*30-284542.24</f>
        <v>18316081.76</v>
      </c>
      <c r="AT829" s="9" t="n">
        <f aca="false" ca="false" dt2D="false" dtr="false" t="normal">+S829-AS829</f>
        <v>-18316081.76</v>
      </c>
      <c r="AU829" s="9" t="e">
        <f aca="false" ca="false" dt2D="false" dtr="false" t="normal">+P829-'[5]Приложение №1'!$P711</f>
        <v>#REF!</v>
      </c>
      <c r="AV829" s="9" t="e">
        <f aca="false" ca="false" dt2D="false" dtr="false" t="normal">+Q829-'[5]Приложение №1'!$Q711</f>
        <v>#REF!</v>
      </c>
      <c r="AW829" s="186" t="n">
        <f aca="false" ca="true" dt2D="false" dtr="false" t="normal">SUBTOTAL(9, AX829:BL829)</f>
        <v>1668917.8005000001</v>
      </c>
      <c r="AX829" s="106" t="n">
        <v>0</v>
      </c>
      <c r="AY829" s="106" t="n">
        <v>0</v>
      </c>
      <c r="AZ829" s="106" t="n">
        <v>0</v>
      </c>
      <c r="BA829" s="106" t="n">
        <v>0</v>
      </c>
      <c r="BB829" s="106" t="n">
        <v>1633202.9595693</v>
      </c>
      <c r="BC829" s="106" t="n"/>
      <c r="BD829" s="106" t="n"/>
      <c r="BE829" s="106" t="n">
        <v>0</v>
      </c>
      <c r="BF829" s="106" t="n">
        <v>0</v>
      </c>
      <c r="BG829" s="106" t="n">
        <v>0</v>
      </c>
      <c r="BH829" s="106" t="n">
        <v>0</v>
      </c>
      <c r="BI829" s="106" t="n">
        <v>0</v>
      </c>
      <c r="BJ829" s="106" t="n"/>
      <c r="BK829" s="114" t="n"/>
      <c r="BL829" s="115" t="n">
        <v>35714.8409307</v>
      </c>
      <c r="BM829" s="186" t="n">
        <f aca="false" ca="true" dt2D="false" dtr="false" t="normal">SUBTOTAL(9, BN829:CB829)</f>
        <v>1668917.8005000001</v>
      </c>
      <c r="BN829" s="106" t="n">
        <v>0</v>
      </c>
      <c r="BO829" s="106" t="n">
        <v>0</v>
      </c>
      <c r="BP829" s="106" t="n">
        <v>0</v>
      </c>
      <c r="BQ829" s="106" t="n">
        <v>0</v>
      </c>
      <c r="BR829" s="106" t="n">
        <v>1633202.9595693</v>
      </c>
      <c r="BS829" s="106" t="n"/>
      <c r="BT829" s="106" t="n"/>
      <c r="BU829" s="106" t="n">
        <v>0</v>
      </c>
      <c r="BV829" s="106" t="n">
        <v>0</v>
      </c>
      <c r="BW829" s="106" t="n">
        <v>0</v>
      </c>
      <c r="BX829" s="106" t="n">
        <v>0</v>
      </c>
      <c r="BY829" s="106" t="n">
        <v>0</v>
      </c>
      <c r="BZ829" s="106" t="n"/>
      <c r="CA829" s="114" t="n"/>
      <c r="CB829" s="115" t="n">
        <v>35714.8409307</v>
      </c>
      <c r="CD829" s="116" t="e">
        <f aca="false" ca="false" dt2D="false" dtr="false" t="normal">+CD828+1</f>
        <v>#REF!</v>
      </c>
      <c r="CE829" s="117" t="e">
        <f aca="false" ca="false" dt2D="false" dtr="false" t="normal">+CE828+1</f>
        <v>#REF!</v>
      </c>
      <c r="CF829" s="104" t="s">
        <v>283</v>
      </c>
      <c r="CG829" s="104" t="s">
        <v>764</v>
      </c>
      <c r="CH829" s="232" t="n">
        <f aca="false" ca="true" dt2D="false" dtr="false" t="normal">SUBTOTAL(9, CI829:CW829)</f>
        <v>1668917.8</v>
      </c>
      <c r="CI829" s="106" t="n">
        <v>0</v>
      </c>
      <c r="CJ829" s="114" t="n">
        <v>0</v>
      </c>
      <c r="CK829" s="114" t="n">
        <v>0</v>
      </c>
      <c r="CL829" s="114" t="n">
        <v>0</v>
      </c>
      <c r="CM829" s="114" t="n">
        <v>1633202.96</v>
      </c>
      <c r="CN829" s="114" t="n"/>
      <c r="CO829" s="106" t="n"/>
      <c r="CP829" s="114" t="n">
        <v>0</v>
      </c>
      <c r="CQ829" s="114" t="n">
        <v>0</v>
      </c>
      <c r="CR829" s="114" t="n">
        <v>0</v>
      </c>
      <c r="CS829" s="114" t="n">
        <v>0</v>
      </c>
      <c r="CT829" s="114" t="n">
        <v>0</v>
      </c>
      <c r="CU829" s="114" t="n"/>
      <c r="CV829" s="114" t="n"/>
      <c r="CW829" s="115" t="n">
        <v>35714.84</v>
      </c>
      <c r="CX829" s="3" t="n">
        <f aca="false" ca="false" dt2D="false" dtr="false" t="normal">+N829-CH829</f>
        <v>-35714.840000000084</v>
      </c>
      <c r="CZ829" s="104" t="s">
        <v>764</v>
      </c>
      <c r="DA829" s="186" t="n">
        <f aca="false" ca="true" dt2D="false" dtr="false" t="normal">SUBTOTAL(9, DB829:DP829)</f>
        <v>1633202.96</v>
      </c>
      <c r="DB829" s="106" t="n">
        <v>0</v>
      </c>
      <c r="DC829" s="114" t="n">
        <v>0</v>
      </c>
      <c r="DD829" s="114" t="n">
        <v>0</v>
      </c>
      <c r="DE829" s="114" t="n">
        <v>0</v>
      </c>
      <c r="DF829" s="114" t="n">
        <v>1633202.96</v>
      </c>
      <c r="DG829" s="114" t="n"/>
      <c r="DH829" s="106" t="n"/>
      <c r="DI829" s="114" t="n">
        <v>0</v>
      </c>
      <c r="DJ829" s="114" t="n">
        <v>0</v>
      </c>
      <c r="DK829" s="114" t="n">
        <v>0</v>
      </c>
      <c r="DL829" s="114" t="n">
        <v>0</v>
      </c>
      <c r="DM829" s="114" t="n">
        <v>0</v>
      </c>
      <c r="DN829" s="241" t="n"/>
      <c r="DO829" s="241" t="n"/>
      <c r="DP829" s="240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</row>
    <row customFormat="true" hidden="false" ht="15" outlineLevel="0" r="830" s="1">
      <c r="A830" s="183" t="n">
        <f aca="false" ca="false" dt2D="false" dtr="false" t="normal">+A829+1</f>
        <v>808</v>
      </c>
      <c r="B830" s="117" t="n">
        <f aca="false" ca="false" dt2D="false" dtr="false" t="normal">+B829+1</f>
        <v>348</v>
      </c>
      <c r="C830" s="104" t="s">
        <v>283</v>
      </c>
      <c r="D830" s="104" t="s">
        <v>765</v>
      </c>
      <c r="E830" s="105" t="n">
        <v>1986</v>
      </c>
      <c r="F830" s="105" t="n">
        <v>2010</v>
      </c>
      <c r="G830" s="105" t="s">
        <v>68</v>
      </c>
      <c r="H830" s="105" t="n">
        <v>5</v>
      </c>
      <c r="I830" s="105" t="n">
        <v>4</v>
      </c>
      <c r="J830" s="106" t="n">
        <v>4920.8</v>
      </c>
      <c r="K830" s="106" t="n">
        <v>4295.6</v>
      </c>
      <c r="L830" s="106" t="n">
        <v>0</v>
      </c>
      <c r="M830" s="107" t="n">
        <v>193</v>
      </c>
      <c r="N830" s="108" t="n">
        <f aca="false" ca="false" dt2D="false" dtr="false" t="normal">SUM(P830:T830)</f>
        <v>1576652.8</v>
      </c>
      <c r="O830" s="106" t="n"/>
      <c r="P830" s="114" t="n"/>
      <c r="Q830" s="114" t="n"/>
      <c r="R830" s="113" t="n">
        <v>1530056.68</v>
      </c>
      <c r="S830" s="114" t="n"/>
      <c r="T830" s="113" t="n">
        <v>46596.12</v>
      </c>
      <c r="U830" s="114" t="n">
        <v>339.567030659279</v>
      </c>
      <c r="V830" s="114" t="n">
        <v>1433.283020064</v>
      </c>
      <c r="W830" s="110" t="n">
        <v>2024</v>
      </c>
      <c r="X830" s="9" t="e">
        <f aca="false" ca="false" dt2D="false" dtr="false" t="normal">+#REF!-'[9]Приложение №1'!$P901</f>
        <v>#REF!</v>
      </c>
      <c r="Z830" s="113" t="n">
        <f aca="false" ca="false" dt2D="false" dtr="false" t="normal">SUM(AA830:AO830)</f>
        <v>2113977.01</v>
      </c>
      <c r="AA830" s="106" t="n">
        <v>0</v>
      </c>
      <c r="AB830" s="106" t="n">
        <v>0</v>
      </c>
      <c r="AC830" s="106" t="n">
        <v>0</v>
      </c>
      <c r="AD830" s="106" t="n">
        <v>0</v>
      </c>
      <c r="AE830" s="106" t="n">
        <v>1427429.15237034</v>
      </c>
      <c r="AF830" s="106" t="n"/>
      <c r="AG830" s="106" t="n">
        <v>0</v>
      </c>
      <c r="AH830" s="106" t="n">
        <v>0</v>
      </c>
      <c r="AI830" s="106" t="n">
        <v>0</v>
      </c>
      <c r="AJ830" s="106" t="n">
        <v>0</v>
      </c>
      <c r="AK830" s="106" t="n">
        <v>0</v>
      </c>
      <c r="AL830" s="106" t="n">
        <v>0</v>
      </c>
      <c r="AM830" s="106" t="n">
        <v>634193.103</v>
      </c>
      <c r="AN830" s="114" t="n">
        <v>21139.7701</v>
      </c>
      <c r="AO830" s="115" t="n">
        <v>31214.98452966</v>
      </c>
      <c r="AP830" s="112" t="n">
        <f aca="false" ca="false" dt2D="false" dtr="false" t="normal">+N830-'Приложение №2'!E830</f>
        <v>0</v>
      </c>
      <c r="AQ830" s="121" t="n">
        <v>2074367.19</v>
      </c>
      <c r="AR830" s="3" t="n">
        <f aca="false" ca="false" dt2D="false" dtr="false" t="normal">+(K830*10.5+L830*21)*12*0.85</f>
        <v>460058.76000000007</v>
      </c>
      <c r="AS830" s="3" t="n">
        <f aca="false" ca="false" dt2D="false" dtr="false" t="normal">+(K830*10.5+L830*21)*12*30</f>
        <v>16237368.000000004</v>
      </c>
      <c r="AT830" s="9" t="n">
        <f aca="false" ca="false" dt2D="false" dtr="false" t="normal">+S830-AS830</f>
        <v>-16237368.000000004</v>
      </c>
      <c r="AU830" s="9" t="e">
        <f aca="false" ca="false" dt2D="false" dtr="false" t="normal">+P830-'[5]Приложение №1'!$P713</f>
        <v>#REF!</v>
      </c>
      <c r="AV830" s="9" t="e">
        <f aca="false" ca="false" dt2D="false" dtr="false" t="normal">+Q830-'[5]Приложение №1'!$Q713</f>
        <v>#REF!</v>
      </c>
      <c r="AW830" s="186" t="n">
        <f aca="false" ca="true" dt2D="false" dtr="false" t="normal">SUBTOTAL(9, AX830:BL830)</f>
        <v>1458644.1369</v>
      </c>
      <c r="AX830" s="106" t="n">
        <v>0</v>
      </c>
      <c r="AY830" s="106" t="n">
        <v>0</v>
      </c>
      <c r="AZ830" s="106" t="n">
        <v>0</v>
      </c>
      <c r="BA830" s="106" t="n">
        <v>0</v>
      </c>
      <c r="BB830" s="106" t="n">
        <v>1427429.15237034</v>
      </c>
      <c r="BC830" s="106" t="n"/>
      <c r="BD830" s="106" t="n"/>
      <c r="BE830" s="106" t="n">
        <v>0</v>
      </c>
      <c r="BF830" s="106" t="n">
        <v>0</v>
      </c>
      <c r="BG830" s="106" t="n">
        <v>0</v>
      </c>
      <c r="BH830" s="106" t="n">
        <v>0</v>
      </c>
      <c r="BI830" s="106" t="n">
        <v>0</v>
      </c>
      <c r="BJ830" s="106" t="n"/>
      <c r="BK830" s="114" t="n"/>
      <c r="BL830" s="115" t="n">
        <v>31214.98452966</v>
      </c>
      <c r="BM830" s="186" t="n">
        <f aca="false" ca="true" dt2D="false" dtr="false" t="normal">SUBTOTAL(9, BN830:CB830)</f>
        <v>1458644.1369</v>
      </c>
      <c r="BN830" s="106" t="n">
        <v>0</v>
      </c>
      <c r="BO830" s="106" t="n">
        <v>0</v>
      </c>
      <c r="BP830" s="106" t="n">
        <v>0</v>
      </c>
      <c r="BQ830" s="106" t="n">
        <v>0</v>
      </c>
      <c r="BR830" s="106" t="n">
        <v>1427429.15237034</v>
      </c>
      <c r="BS830" s="106" t="n"/>
      <c r="BT830" s="106" t="n"/>
      <c r="BU830" s="106" t="n">
        <v>0</v>
      </c>
      <c r="BV830" s="106" t="n">
        <v>0</v>
      </c>
      <c r="BW830" s="106" t="n">
        <v>0</v>
      </c>
      <c r="BX830" s="106" t="n">
        <v>0</v>
      </c>
      <c r="BY830" s="106" t="n">
        <v>0</v>
      </c>
      <c r="BZ830" s="106" t="n"/>
      <c r="CA830" s="114" t="n"/>
      <c r="CB830" s="115" t="n">
        <v>31214.98452966</v>
      </c>
      <c r="CD830" s="116" t="e">
        <f aca="false" ca="false" dt2D="false" dtr="false" t="normal">+CD829+1</f>
        <v>#REF!</v>
      </c>
      <c r="CE830" s="117" t="e">
        <f aca="false" ca="false" dt2D="false" dtr="false" t="normal">+CE829+1</f>
        <v>#REF!</v>
      </c>
      <c r="CF830" s="104" t="s">
        <v>283</v>
      </c>
      <c r="CG830" s="104" t="s">
        <v>765</v>
      </c>
      <c r="CH830" s="232" t="n">
        <f aca="false" ca="true" dt2D="false" dtr="false" t="normal">SUBTOTAL(9, CI830:CW830)</f>
        <v>1607867.78</v>
      </c>
      <c r="CI830" s="106" t="n">
        <v>0</v>
      </c>
      <c r="CJ830" s="114" t="n">
        <v>0</v>
      </c>
      <c r="CK830" s="114" t="n">
        <v>0</v>
      </c>
      <c r="CL830" s="114" t="n">
        <v>0</v>
      </c>
      <c r="CM830" s="114" t="n">
        <v>1576652.8</v>
      </c>
      <c r="CN830" s="114" t="n"/>
      <c r="CO830" s="106" t="n"/>
      <c r="CP830" s="114" t="n">
        <v>0</v>
      </c>
      <c r="CQ830" s="114" t="n">
        <v>0</v>
      </c>
      <c r="CR830" s="114" t="n">
        <v>0</v>
      </c>
      <c r="CS830" s="114" t="n">
        <v>0</v>
      </c>
      <c r="CT830" s="114" t="n">
        <v>0</v>
      </c>
      <c r="CU830" s="114" t="n"/>
      <c r="CV830" s="114" t="n"/>
      <c r="CW830" s="115" t="n">
        <v>31214.98</v>
      </c>
      <c r="CX830" s="3" t="n">
        <f aca="false" ca="false" dt2D="false" dtr="false" t="normal">+N830-CH830</f>
        <v>-31214.97999999998</v>
      </c>
      <c r="CZ830" s="104" t="s">
        <v>765</v>
      </c>
      <c r="DA830" s="186" t="n">
        <f aca="false" ca="true" dt2D="false" dtr="false" t="normal">SUBTOTAL(9, DB830:DP830)</f>
        <v>1576652.8</v>
      </c>
      <c r="DB830" s="106" t="n">
        <v>0</v>
      </c>
      <c r="DC830" s="114" t="n">
        <v>0</v>
      </c>
      <c r="DD830" s="114" t="n">
        <v>0</v>
      </c>
      <c r="DE830" s="114" t="n">
        <v>0</v>
      </c>
      <c r="DF830" s="114" t="n">
        <v>1576652.8</v>
      </c>
      <c r="DG830" s="114" t="n"/>
      <c r="DH830" s="106" t="n"/>
      <c r="DI830" s="114" t="n">
        <v>0</v>
      </c>
      <c r="DJ830" s="114" t="n">
        <v>0</v>
      </c>
      <c r="DK830" s="114" t="n">
        <v>0</v>
      </c>
      <c r="DL830" s="114" t="n">
        <v>0</v>
      </c>
      <c r="DM830" s="114" t="n">
        <v>0</v>
      </c>
      <c r="DN830" s="241" t="n"/>
      <c r="DO830" s="241" t="n"/>
      <c r="DP830" s="240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</row>
    <row customFormat="true" hidden="false" ht="15" outlineLevel="0" r="831" s="1">
      <c r="A831" s="260" t="n">
        <f aca="false" ca="false" dt2D="false" dtr="false" t="normal">+A830+1</f>
        <v>809</v>
      </c>
      <c r="B831" s="145" t="n">
        <f aca="false" ca="false" dt2D="false" dtr="false" t="normal">+B830+1</f>
        <v>349</v>
      </c>
      <c r="C831" s="146" t="s">
        <v>766</v>
      </c>
      <c r="D831" s="146" t="s">
        <v>767</v>
      </c>
      <c r="E831" s="261" t="n">
        <v>1976</v>
      </c>
      <c r="F831" s="261" t="n">
        <v>1976</v>
      </c>
      <c r="G831" s="261" t="s">
        <v>68</v>
      </c>
      <c r="H831" s="261" t="n">
        <v>2</v>
      </c>
      <c r="I831" s="261" t="n">
        <v>1</v>
      </c>
      <c r="J831" s="140" t="n">
        <v>394</v>
      </c>
      <c r="K831" s="140" t="n">
        <v>375.6</v>
      </c>
      <c r="L831" s="140" t="n">
        <v>0</v>
      </c>
      <c r="M831" s="262" t="n">
        <v>38</v>
      </c>
      <c r="N831" s="263" t="n">
        <f aca="false" ca="false" dt2D="false" dtr="false" t="normal">SUM(P831:T831)</f>
        <v>8714688.23</v>
      </c>
      <c r="O831" s="140" t="n"/>
      <c r="P831" s="139" t="n">
        <v>2521808.39</v>
      </c>
      <c r="Q831" s="193" t="n"/>
      <c r="R831" s="113" t="n">
        <v>164955</v>
      </c>
      <c r="S831" s="139" t="n">
        <v>1419768</v>
      </c>
      <c r="T831" s="139" t="n">
        <v>4608156.84</v>
      </c>
      <c r="U831" s="193" t="n">
        <v>24910.9912539694</v>
      </c>
      <c r="V831" s="193" t="n">
        <v>1439.283020064</v>
      </c>
      <c r="W831" s="264" t="n">
        <v>2024</v>
      </c>
      <c r="X831" s="9" t="e">
        <f aca="false" ca="false" dt2D="false" dtr="false" t="normal">+#REF!-'[9]Приложение №1'!$P1743</f>
        <v>#REF!</v>
      </c>
      <c r="Z831" s="113" t="n">
        <f aca="false" ca="false" dt2D="false" dtr="false" t="normal">SUM(AA831:AO831)</f>
        <v>7351295.8599999985</v>
      </c>
      <c r="AA831" s="106" t="n">
        <v>735304.274754</v>
      </c>
      <c r="AB831" s="106" t="n">
        <v>447441.060234</v>
      </c>
      <c r="AC831" s="106" t="n">
        <v>206096.467668</v>
      </c>
      <c r="AD831" s="106" t="n">
        <v>0</v>
      </c>
      <c r="AE831" s="106" t="n">
        <v>0</v>
      </c>
      <c r="AF831" s="106" t="n"/>
      <c r="AG831" s="106" t="n">
        <v>69083.307972</v>
      </c>
      <c r="AH831" s="106" t="n">
        <v>0</v>
      </c>
      <c r="AI831" s="106" t="n">
        <v>2116583.632758</v>
      </c>
      <c r="AJ831" s="106" t="n">
        <v>0</v>
      </c>
      <c r="AK831" s="106" t="n">
        <v>1764502.807326</v>
      </c>
      <c r="AL831" s="106" t="n">
        <v>1553997.756444</v>
      </c>
      <c r="AM831" s="106" t="n">
        <v>241340.1</v>
      </c>
      <c r="AN831" s="106" t="n">
        <v>66210.3</v>
      </c>
      <c r="AO831" s="115" t="n">
        <v>150736.152844</v>
      </c>
      <c r="AP831" s="112" t="n">
        <f aca="false" ca="false" dt2D="false" dtr="false" t="normal">+N831-'Приложение №2'!E831</f>
        <v>0</v>
      </c>
      <c r="AQ831" s="121" t="n">
        <v>124728.24</v>
      </c>
      <c r="AR831" s="3" t="n">
        <f aca="false" ca="false" dt2D="false" dtr="false" t="normal">+(K831*10.5+L831*21)*12*0.85</f>
        <v>40226.76</v>
      </c>
      <c r="AS831" s="3" t="n">
        <f aca="false" ca="false" dt2D="false" dtr="false" t="normal">+(K831*10.5+L831*21)*12*30</f>
        <v>1419768.0000000002</v>
      </c>
      <c r="AT831" s="9" t="n">
        <f aca="false" ca="false" dt2D="false" dtr="false" t="normal">+S831-AS831</f>
        <v>0</v>
      </c>
      <c r="AU831" s="9" t="e">
        <f aca="false" ca="false" dt2D="false" dtr="false" t="normal">+P831-'[5]Приложение №1'!$P719</f>
        <v>#REF!</v>
      </c>
      <c r="AV831" s="9" t="e">
        <f aca="false" ca="false" dt2D="false" dtr="false" t="normal">+Q831-'[5]Приложение №1'!$Q719</f>
        <v>#REF!</v>
      </c>
      <c r="AW831" s="186" t="n">
        <f aca="false" ca="true" dt2D="false" dtr="false" t="normal">SUBTOTAL(9, AX831:BL831)</f>
        <v>9356568.314990912</v>
      </c>
      <c r="AX831" s="106" t="n">
        <v>1499120.1748707</v>
      </c>
      <c r="AY831" s="106" t="n"/>
      <c r="AZ831" s="106" t="n">
        <v>430222.501164618</v>
      </c>
      <c r="BA831" s="106" t="n">
        <v>0</v>
      </c>
      <c r="BB831" s="106" t="n">
        <v>0</v>
      </c>
      <c r="BC831" s="106" t="n"/>
      <c r="BD831" s="106" t="n">
        <v>142891.972693549</v>
      </c>
      <c r="BE831" s="106" t="n">
        <v>0</v>
      </c>
      <c r="BF831" s="106" t="n"/>
      <c r="BG831" s="106" t="n">
        <v>0</v>
      </c>
      <c r="BH831" s="106" t="n">
        <v>3599331.74331983</v>
      </c>
      <c r="BI831" s="106" t="n">
        <v>3186013.82087371</v>
      </c>
      <c r="BJ831" s="106" t="n">
        <v>241340.1</v>
      </c>
      <c r="BK831" s="106" t="n">
        <v>66210.3</v>
      </c>
      <c r="BL831" s="115" t="n">
        <v>191437.702068504</v>
      </c>
      <c r="BM831" s="186" t="n">
        <f aca="false" ca="true" dt2D="false" dtr="false" t="normal">SUBTOTAL(9, BN831:CB831)</f>
        <v>9356568.314990912</v>
      </c>
      <c r="BN831" s="106" t="n">
        <v>1499120.1748707</v>
      </c>
      <c r="BO831" s="106" t="n"/>
      <c r="BP831" s="106" t="n">
        <v>430222.501164618</v>
      </c>
      <c r="BQ831" s="106" t="n">
        <v>0</v>
      </c>
      <c r="BR831" s="106" t="n">
        <v>0</v>
      </c>
      <c r="BS831" s="106" t="n"/>
      <c r="BT831" s="106" t="n">
        <v>142891.972693549</v>
      </c>
      <c r="BU831" s="106" t="n">
        <v>0</v>
      </c>
      <c r="BV831" s="106" t="n"/>
      <c r="BW831" s="106" t="n">
        <v>0</v>
      </c>
      <c r="BX831" s="106" t="n">
        <v>3599331.74331983</v>
      </c>
      <c r="BY831" s="106" t="n">
        <v>3186013.82087371</v>
      </c>
      <c r="BZ831" s="106" t="n">
        <v>241340.1</v>
      </c>
      <c r="CA831" s="106" t="n">
        <v>66210.3</v>
      </c>
      <c r="CB831" s="115" t="n">
        <v>191437.702068504</v>
      </c>
      <c r="CD831" s="116" t="e">
        <f aca="false" ca="false" dt2D="false" dtr="false" t="normal">+CD830+1</f>
        <v>#REF!</v>
      </c>
      <c r="CE831" s="117" t="e">
        <f aca="false" ca="false" dt2D="false" dtr="false" t="normal">+CE830+1</f>
        <v>#REF!</v>
      </c>
      <c r="CF831" s="104" t="s">
        <v>766</v>
      </c>
      <c r="CG831" s="104" t="s">
        <v>767</v>
      </c>
      <c r="CH831" s="232" t="n">
        <f aca="false" ca="true" dt2D="false" dtr="false" t="normal">SUBTOTAL(9, CI831:CW831)</f>
        <v>8906125.93</v>
      </c>
      <c r="CI831" s="106" t="n">
        <v>1499120.17</v>
      </c>
      <c r="CJ831" s="114" t="n"/>
      <c r="CK831" s="114" t="n">
        <v>430222.5</v>
      </c>
      <c r="CL831" s="114" t="n">
        <v>0</v>
      </c>
      <c r="CM831" s="114" t="n">
        <v>0</v>
      </c>
      <c r="CN831" s="114" t="n"/>
      <c r="CO831" s="106" t="n"/>
      <c r="CP831" s="114" t="n">
        <v>0</v>
      </c>
      <c r="CQ831" s="114" t="n"/>
      <c r="CR831" s="114" t="n">
        <v>0</v>
      </c>
      <c r="CS831" s="114" t="n">
        <v>3599331.74</v>
      </c>
      <c r="CT831" s="114" t="n">
        <v>3186013.82</v>
      </c>
      <c r="CU831" s="114" t="n"/>
      <c r="CV831" s="114" t="n"/>
      <c r="CW831" s="115" t="n">
        <v>191437.7</v>
      </c>
      <c r="CX831" s="3" t="n">
        <f aca="false" ca="false" dt2D="false" dtr="false" t="normal">+N831-CH831</f>
        <v>-191437.69999999925</v>
      </c>
      <c r="CZ831" s="104" t="s">
        <v>767</v>
      </c>
      <c r="DA831" s="186" t="n">
        <f aca="false" ca="true" dt2D="false" dtr="false" t="normal">SUBTOTAL(9, DB831:DP831)</f>
        <v>8714688.23</v>
      </c>
      <c r="DB831" s="106" t="n">
        <v>1499120.17</v>
      </c>
      <c r="DC831" s="114" t="n"/>
      <c r="DD831" s="114" t="n">
        <v>430222.5</v>
      </c>
      <c r="DE831" s="114" t="n">
        <v>0</v>
      </c>
      <c r="DF831" s="114" t="n">
        <v>0</v>
      </c>
      <c r="DG831" s="114" t="n"/>
      <c r="DH831" s="106" t="n"/>
      <c r="DI831" s="114" t="n">
        <v>0</v>
      </c>
      <c r="DJ831" s="114" t="n"/>
      <c r="DK831" s="114" t="n">
        <v>0</v>
      </c>
      <c r="DL831" s="114" t="n">
        <v>3599331.74</v>
      </c>
      <c r="DM831" s="114" t="n">
        <v>3186013.82</v>
      </c>
      <c r="DN831" s="241" t="n"/>
      <c r="DO831" s="241" t="n"/>
      <c r="DP831" s="240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</row>
    <row customHeight="true" hidden="false" ht="26.6787109375" outlineLevel="0" r="832">
      <c r="A832" s="265" t="n"/>
      <c r="B832" s="266" t="n"/>
      <c r="C832" s="266" t="n"/>
      <c r="D832" s="267" t="s">
        <v>768</v>
      </c>
      <c r="E832" s="268" t="n"/>
      <c r="F832" s="268" t="n"/>
      <c r="G832" s="268" t="n"/>
      <c r="H832" s="268" t="n"/>
      <c r="I832" s="268" t="n"/>
      <c r="J832" s="153" t="n"/>
      <c r="K832" s="153" t="n"/>
      <c r="L832" s="153" t="n"/>
      <c r="M832" s="269" t="n"/>
      <c r="N832" s="270" t="n">
        <f aca="false" ca="false" dt2D="false" dtr="false" t="normal">SUM(N833:N856)</f>
        <v>90512431.44999999</v>
      </c>
      <c r="O832" s="270" t="n">
        <f aca="false" ca="false" dt2D="false" dtr="false" t="normal">SUM(O847:O856)</f>
        <v>0</v>
      </c>
      <c r="P832" s="270" t="n">
        <f aca="false" ca="false" dt2D="false" dtr="false" t="normal">SUM(P847:P856)</f>
        <v>0</v>
      </c>
      <c r="Q832" s="270" t="n">
        <f aca="false" ca="false" dt2D="false" dtr="false" t="normal">SUM(Q833:Q856)</f>
        <v>90512431.44999999</v>
      </c>
      <c r="R832" s="270" t="n">
        <f aca="false" ca="false" dt2D="false" dtr="false" t="normal">SUM(R847:R856)</f>
        <v>0</v>
      </c>
      <c r="S832" s="270" t="n">
        <f aca="false" ca="false" dt2D="false" dtr="false" t="normal">SUM(S847:S856)</f>
        <v>0</v>
      </c>
      <c r="T832" s="270" t="n">
        <f aca="false" ca="false" dt2D="false" dtr="false" t="normal">SUM(T847:T856)</f>
        <v>0</v>
      </c>
      <c r="U832" s="153" t="n"/>
      <c r="V832" s="153" t="n"/>
      <c r="W832" s="154" t="n"/>
      <c r="X832" s="9" t="n"/>
      <c r="Z832" s="136" t="n"/>
      <c r="AA832" s="9" t="n"/>
      <c r="AB832" s="9" t="n"/>
      <c r="AC832" s="9" t="n"/>
      <c r="AD832" s="9" t="n"/>
      <c r="AE832" s="9" t="n"/>
      <c r="AF832" s="9" t="n"/>
      <c r="AG832" s="9" t="n"/>
      <c r="AH832" s="9" t="n"/>
      <c r="AI832" s="9" t="n"/>
      <c r="AJ832" s="9" t="n"/>
      <c r="AK832" s="9" t="n"/>
      <c r="AL832" s="9" t="n"/>
      <c r="AM832" s="9" t="n"/>
      <c r="AN832" s="9" t="n"/>
      <c r="AO832" s="137" t="n"/>
      <c r="AP832" s="112" t="n"/>
      <c r="AQ832" s="242" t="n"/>
      <c r="AT832" s="9" t="n"/>
      <c r="AU832" s="9" t="n"/>
      <c r="AV832" s="9" t="n"/>
      <c r="AW832" s="136" t="n"/>
      <c r="AX832" s="9" t="n"/>
      <c r="AY832" s="9" t="n"/>
      <c r="AZ832" s="9" t="n"/>
      <c r="BA832" s="9" t="n"/>
      <c r="BB832" s="9" t="n"/>
      <c r="BC832" s="9" t="n"/>
      <c r="BD832" s="9" t="n"/>
      <c r="BE832" s="9" t="n"/>
      <c r="BF832" s="9" t="n"/>
      <c r="BG832" s="9" t="n"/>
      <c r="BH832" s="9" t="n"/>
      <c r="BI832" s="9" t="n"/>
      <c r="BJ832" s="9" t="n"/>
      <c r="BK832" s="9" t="n"/>
      <c r="BL832" s="137" t="n"/>
      <c r="BM832" s="136" t="n"/>
      <c r="BN832" s="9" t="n"/>
      <c r="BO832" s="9" t="n"/>
      <c r="BP832" s="9" t="n"/>
      <c r="BQ832" s="9" t="n"/>
      <c r="BR832" s="9" t="n"/>
      <c r="BS832" s="9" t="n"/>
      <c r="BT832" s="9" t="n"/>
      <c r="BU832" s="9" t="n"/>
      <c r="BV832" s="9" t="n"/>
      <c r="BW832" s="9" t="n"/>
      <c r="BX832" s="9" t="n"/>
      <c r="BY832" s="9" t="n"/>
      <c r="BZ832" s="9" t="n"/>
      <c r="CA832" s="9" t="n"/>
      <c r="CB832" s="137" t="n"/>
      <c r="CD832" s="191" t="n"/>
      <c r="CE832" s="191" t="n"/>
      <c r="CF832" s="1" t="n"/>
      <c r="CG832" s="1" t="n"/>
      <c r="CH832" s="271" t="n"/>
      <c r="CI832" s="9" t="n"/>
      <c r="CJ832" s="137" t="n"/>
      <c r="CK832" s="137" t="n"/>
      <c r="CL832" s="137" t="n"/>
      <c r="CM832" s="137" t="n"/>
      <c r="CN832" s="137" t="n"/>
      <c r="CO832" s="9" t="n"/>
      <c r="CP832" s="137" t="n"/>
      <c r="CQ832" s="137" t="n"/>
      <c r="CR832" s="137" t="n"/>
      <c r="CS832" s="137" t="n"/>
      <c r="CT832" s="137" t="n"/>
      <c r="CU832" s="272" t="n"/>
      <c r="CV832" s="272" t="n"/>
      <c r="CW832" s="137" t="n"/>
      <c r="CX832" s="3" t="n"/>
      <c r="CZ832" s="1" t="n"/>
      <c r="DA832" s="273" t="n"/>
      <c r="DB832" s="9" t="n"/>
      <c r="DC832" s="137" t="n"/>
      <c r="DD832" s="137" t="n"/>
      <c r="DE832" s="137" t="n"/>
      <c r="DF832" s="137" t="n"/>
      <c r="DG832" s="137" t="n"/>
      <c r="DH832" s="171" t="n"/>
      <c r="DI832" s="137" t="n"/>
      <c r="DJ832" s="137" t="n"/>
      <c r="DK832" s="137" t="n"/>
      <c r="DL832" s="137" t="n"/>
      <c r="DM832" s="137" t="n"/>
      <c r="DN832" s="274" t="n"/>
      <c r="DO832" s="274" t="n"/>
      <c r="DP832" s="274" t="n"/>
    </row>
    <row hidden="false" ht="15" outlineLevel="0" r="833">
      <c r="A833" s="183" t="n">
        <v>810</v>
      </c>
      <c r="B833" s="117" t="n">
        <v>350</v>
      </c>
      <c r="C833" s="117" t="s">
        <v>111</v>
      </c>
      <c r="D833" s="117" t="s">
        <v>123</v>
      </c>
      <c r="E833" s="261" t="n">
        <v>1962</v>
      </c>
      <c r="F833" s="261" t="n">
        <v>1962</v>
      </c>
      <c r="G833" s="261" t="s">
        <v>68</v>
      </c>
      <c r="H833" s="261" t="n">
        <v>3</v>
      </c>
      <c r="I833" s="261" t="n">
        <v>4</v>
      </c>
      <c r="J833" s="106" t="n">
        <v>2475.3</v>
      </c>
      <c r="K833" s="106" t="n">
        <v>1760.3</v>
      </c>
      <c r="L833" s="106" t="n">
        <v>633.7</v>
      </c>
      <c r="M833" s="107" t="n">
        <v>67</v>
      </c>
      <c r="N833" s="263" t="n">
        <f aca="false" ca="false" dt2D="false" dtr="false" t="normal">SUM(P833:T833)</f>
        <v>1854464.91</v>
      </c>
      <c r="O833" s="114" t="n"/>
      <c r="P833" s="114" t="n"/>
      <c r="Q833" s="114" t="n">
        <v>1854464.91</v>
      </c>
      <c r="R833" s="113" t="n"/>
      <c r="S833" s="113" t="n"/>
      <c r="T833" s="114" t="n"/>
      <c r="U833" s="114" t="n"/>
      <c r="V833" s="114" t="n"/>
      <c r="W833" s="264" t="n">
        <v>2024</v>
      </c>
      <c r="X833" s="9" t="n"/>
      <c r="Z833" s="136" t="n"/>
      <c r="AA833" s="9" t="n"/>
      <c r="AB833" s="9" t="n"/>
      <c r="AC833" s="9" t="n"/>
      <c r="AD833" s="9" t="n"/>
      <c r="AE833" s="9" t="n"/>
      <c r="AF833" s="9" t="n"/>
      <c r="AG833" s="9" t="n"/>
      <c r="AH833" s="9" t="n"/>
      <c r="AI833" s="9" t="n"/>
      <c r="AJ833" s="9" t="n"/>
      <c r="AK833" s="9" t="n"/>
      <c r="AL833" s="9" t="n"/>
      <c r="AM833" s="9" t="n"/>
      <c r="AN833" s="9" t="n"/>
      <c r="AO833" s="137" t="n"/>
      <c r="AP833" s="112" t="n"/>
      <c r="AQ833" s="242" t="n"/>
      <c r="AT833" s="9" t="n"/>
      <c r="AU833" s="9" t="n"/>
      <c r="AV833" s="9" t="n"/>
      <c r="AW833" s="136" t="n"/>
      <c r="AX833" s="9" t="n"/>
      <c r="AY833" s="9" t="n"/>
      <c r="AZ833" s="9" t="n"/>
      <c r="BA833" s="9" t="n"/>
      <c r="BB833" s="9" t="n"/>
      <c r="BC833" s="9" t="n"/>
      <c r="BD833" s="9" t="n"/>
      <c r="BE833" s="9" t="n"/>
      <c r="BF833" s="9" t="n"/>
      <c r="BG833" s="9" t="n"/>
      <c r="BH833" s="9" t="n"/>
      <c r="BI833" s="9" t="n"/>
      <c r="BJ833" s="9" t="n"/>
      <c r="BK833" s="9" t="n"/>
      <c r="BL833" s="137" t="n"/>
      <c r="BM833" s="136" t="n"/>
      <c r="BN833" s="9" t="n"/>
      <c r="BO833" s="9" t="n"/>
      <c r="BP833" s="9" t="n"/>
      <c r="BQ833" s="9" t="n"/>
      <c r="BR833" s="9" t="n"/>
      <c r="BS833" s="9" t="n"/>
      <c r="BT833" s="9" t="n"/>
      <c r="BU833" s="9" t="n"/>
      <c r="BV833" s="9" t="n"/>
      <c r="BW833" s="9" t="n"/>
      <c r="BX833" s="9" t="n"/>
      <c r="BY833" s="9" t="n"/>
      <c r="BZ833" s="9" t="n"/>
      <c r="CA833" s="9" t="n"/>
      <c r="CB833" s="137" t="n"/>
      <c r="CD833" s="191" t="n"/>
      <c r="CE833" s="191" t="n"/>
      <c r="CF833" s="1" t="n"/>
      <c r="CG833" s="1" t="n"/>
      <c r="CH833" s="271" t="n"/>
      <c r="CI833" s="9" t="n"/>
      <c r="CJ833" s="137" t="n"/>
      <c r="CK833" s="137" t="n"/>
      <c r="CL833" s="137" t="n"/>
      <c r="CM833" s="137" t="n"/>
      <c r="CN833" s="137" t="n"/>
      <c r="CO833" s="9" t="n"/>
      <c r="CP833" s="137" t="n"/>
      <c r="CQ833" s="137" t="n"/>
      <c r="CR833" s="137" t="n"/>
      <c r="CS833" s="137" t="n"/>
      <c r="CT833" s="137" t="n"/>
      <c r="CU833" s="272" t="n"/>
      <c r="CV833" s="272" t="n"/>
      <c r="CW833" s="137" t="n"/>
      <c r="CX833" s="3" t="n"/>
      <c r="CZ833" s="1" t="n"/>
      <c r="DA833" s="273" t="n"/>
      <c r="DB833" s="9" t="n"/>
      <c r="DC833" s="137" t="n"/>
      <c r="DD833" s="137" t="n"/>
      <c r="DE833" s="137" t="n"/>
      <c r="DF833" s="137" t="n"/>
      <c r="DG833" s="137" t="n"/>
      <c r="DH833" s="171" t="n"/>
      <c r="DI833" s="137" t="n"/>
      <c r="DJ833" s="137" t="n"/>
      <c r="DK833" s="137" t="n"/>
      <c r="DL833" s="137" t="n"/>
      <c r="DM833" s="137" t="n"/>
      <c r="DN833" s="274" t="n"/>
      <c r="DO833" s="274" t="n"/>
      <c r="DP833" s="274" t="n"/>
    </row>
    <row hidden="false" ht="15" outlineLevel="0" r="834">
      <c r="A834" s="183" t="n">
        <f aca="false" ca="false" dt2D="false" dtr="false" t="normal">+A833+1</f>
        <v>811</v>
      </c>
      <c r="B834" s="117" t="n">
        <v>351</v>
      </c>
      <c r="C834" s="117" t="s">
        <v>111</v>
      </c>
      <c r="D834" s="117" t="s">
        <v>769</v>
      </c>
      <c r="E834" s="261" t="n">
        <v>1957</v>
      </c>
      <c r="F834" s="261" t="n">
        <v>1957</v>
      </c>
      <c r="G834" s="261" t="s">
        <v>68</v>
      </c>
      <c r="H834" s="261" t="n">
        <v>4</v>
      </c>
      <c r="I834" s="261" t="n">
        <v>2</v>
      </c>
      <c r="J834" s="106" t="n">
        <v>1858.34</v>
      </c>
      <c r="K834" s="106" t="n">
        <v>1382.4</v>
      </c>
      <c r="L834" s="106" t="n">
        <v>475.94</v>
      </c>
      <c r="M834" s="107" t="n">
        <v>37</v>
      </c>
      <c r="N834" s="263" t="n">
        <f aca="false" ca="false" dt2D="false" dtr="false" t="normal">SUM(P834:T834)</f>
        <v>2642960.69</v>
      </c>
      <c r="O834" s="114" t="n"/>
      <c r="P834" s="114" t="n"/>
      <c r="Q834" s="114" t="n">
        <v>2642960.69</v>
      </c>
      <c r="R834" s="113" t="n"/>
      <c r="S834" s="113" t="n"/>
      <c r="T834" s="114" t="n"/>
      <c r="U834" s="114" t="n"/>
      <c r="V834" s="114" t="n"/>
      <c r="W834" s="264" t="n">
        <v>2024</v>
      </c>
      <c r="X834" s="9" t="n"/>
      <c r="Z834" s="136" t="n"/>
      <c r="AA834" s="9" t="n"/>
      <c r="AB834" s="9" t="n"/>
      <c r="AC834" s="9" t="n"/>
      <c r="AD834" s="9" t="n"/>
      <c r="AE834" s="9" t="n"/>
      <c r="AF834" s="9" t="n"/>
      <c r="AG834" s="9" t="n"/>
      <c r="AH834" s="9" t="n"/>
      <c r="AI834" s="9" t="n"/>
      <c r="AJ834" s="9" t="n"/>
      <c r="AK834" s="9" t="n"/>
      <c r="AL834" s="9" t="n"/>
      <c r="AM834" s="9" t="n"/>
      <c r="AN834" s="9" t="n"/>
      <c r="AO834" s="137" t="n"/>
      <c r="AP834" s="112" t="n"/>
      <c r="AQ834" s="242" t="n"/>
      <c r="AT834" s="9" t="n"/>
      <c r="AU834" s="9" t="n"/>
      <c r="AV834" s="9" t="n"/>
      <c r="AW834" s="136" t="n"/>
      <c r="AX834" s="9" t="n"/>
      <c r="AY834" s="9" t="n"/>
      <c r="AZ834" s="9" t="n"/>
      <c r="BA834" s="9" t="n"/>
      <c r="BB834" s="9" t="n"/>
      <c r="BC834" s="9" t="n"/>
      <c r="BD834" s="9" t="n"/>
      <c r="BE834" s="9" t="n"/>
      <c r="BF834" s="9" t="n"/>
      <c r="BG834" s="9" t="n"/>
      <c r="BH834" s="9" t="n"/>
      <c r="BI834" s="9" t="n"/>
      <c r="BJ834" s="9" t="n"/>
      <c r="BK834" s="9" t="n"/>
      <c r="BL834" s="137" t="n"/>
      <c r="BM834" s="136" t="n"/>
      <c r="BN834" s="9" t="n"/>
      <c r="BO834" s="9" t="n"/>
      <c r="BP834" s="9" t="n"/>
      <c r="BQ834" s="9" t="n"/>
      <c r="BR834" s="9" t="n"/>
      <c r="BS834" s="9" t="n"/>
      <c r="BT834" s="9" t="n"/>
      <c r="BU834" s="9" t="n"/>
      <c r="BV834" s="9" t="n"/>
      <c r="BW834" s="9" t="n"/>
      <c r="BX834" s="9" t="n"/>
      <c r="BY834" s="9" t="n"/>
      <c r="BZ834" s="9" t="n"/>
      <c r="CA834" s="9" t="n"/>
      <c r="CB834" s="137" t="n"/>
      <c r="CD834" s="191" t="n"/>
      <c r="CE834" s="191" t="n"/>
      <c r="CF834" s="1" t="n"/>
      <c r="CG834" s="1" t="n"/>
      <c r="CH834" s="271" t="n"/>
      <c r="CI834" s="9" t="n"/>
      <c r="CJ834" s="137" t="n"/>
      <c r="CK834" s="137" t="n"/>
      <c r="CL834" s="137" t="n"/>
      <c r="CM834" s="137" t="n"/>
      <c r="CN834" s="137" t="n"/>
      <c r="CO834" s="9" t="n"/>
      <c r="CP834" s="137" t="n"/>
      <c r="CQ834" s="137" t="n"/>
      <c r="CR834" s="137" t="n"/>
      <c r="CS834" s="137" t="n"/>
      <c r="CT834" s="137" t="n"/>
      <c r="CU834" s="272" t="n"/>
      <c r="CV834" s="272" t="n"/>
      <c r="CW834" s="137" t="n"/>
      <c r="CX834" s="3" t="n"/>
      <c r="CZ834" s="1" t="n"/>
      <c r="DA834" s="273" t="n"/>
      <c r="DB834" s="9" t="n"/>
      <c r="DC834" s="137" t="n"/>
      <c r="DD834" s="137" t="n"/>
      <c r="DE834" s="137" t="n"/>
      <c r="DF834" s="137" t="n"/>
      <c r="DG834" s="137" t="n"/>
      <c r="DH834" s="171" t="n"/>
      <c r="DI834" s="137" t="n"/>
      <c r="DJ834" s="137" t="n"/>
      <c r="DK834" s="137" t="n"/>
      <c r="DL834" s="137" t="n"/>
      <c r="DM834" s="137" t="n"/>
      <c r="DN834" s="274" t="n"/>
      <c r="DO834" s="274" t="n"/>
      <c r="DP834" s="274" t="n"/>
    </row>
    <row hidden="false" ht="15" outlineLevel="0" r="835">
      <c r="A835" s="183" t="n">
        <f aca="false" ca="false" dt2D="false" dtr="false" t="normal">+A834+1</f>
        <v>812</v>
      </c>
      <c r="B835" s="117" t="n">
        <v>352</v>
      </c>
      <c r="C835" s="117" t="s">
        <v>111</v>
      </c>
      <c r="D835" s="117" t="s">
        <v>333</v>
      </c>
      <c r="E835" s="261" t="n">
        <v>1964</v>
      </c>
      <c r="F835" s="261" t="n">
        <v>1964</v>
      </c>
      <c r="G835" s="261" t="s">
        <v>68</v>
      </c>
      <c r="H835" s="261" t="n">
        <v>5</v>
      </c>
      <c r="I835" s="261" t="n">
        <v>7</v>
      </c>
      <c r="J835" s="106" t="n">
        <v>6384.4</v>
      </c>
      <c r="K835" s="106" t="n">
        <v>5253.8</v>
      </c>
      <c r="L835" s="106" t="n">
        <v>1130.6</v>
      </c>
      <c r="M835" s="107" t="n">
        <v>210</v>
      </c>
      <c r="N835" s="263" t="n">
        <f aca="false" ca="false" dt2D="false" dtr="false" t="normal">SUM(P835:T835)</f>
        <v>7345324.94</v>
      </c>
      <c r="O835" s="114" t="n"/>
      <c r="P835" s="114" t="n"/>
      <c r="Q835" s="114" t="n">
        <v>7345324.94</v>
      </c>
      <c r="R835" s="113" t="n"/>
      <c r="S835" s="113" t="n"/>
      <c r="T835" s="114" t="n"/>
      <c r="U835" s="114" t="n"/>
      <c r="V835" s="114" t="n"/>
      <c r="W835" s="264" t="n">
        <v>2024</v>
      </c>
      <c r="X835" s="9" t="n"/>
      <c r="Z835" s="136" t="n"/>
      <c r="AA835" s="9" t="n"/>
      <c r="AB835" s="9" t="n"/>
      <c r="AC835" s="9" t="n"/>
      <c r="AD835" s="9" t="n"/>
      <c r="AE835" s="9" t="n"/>
      <c r="AF835" s="9" t="n"/>
      <c r="AG835" s="9" t="n"/>
      <c r="AH835" s="9" t="n"/>
      <c r="AI835" s="9" t="n"/>
      <c r="AJ835" s="9" t="n"/>
      <c r="AK835" s="9" t="n"/>
      <c r="AL835" s="9" t="n"/>
      <c r="AM835" s="9" t="n"/>
      <c r="AN835" s="9" t="n"/>
      <c r="AO835" s="137" t="n"/>
      <c r="AP835" s="112" t="n"/>
      <c r="AQ835" s="242" t="n"/>
      <c r="AT835" s="9" t="n"/>
      <c r="AU835" s="9" t="n"/>
      <c r="AV835" s="9" t="n"/>
      <c r="AW835" s="136" t="n"/>
      <c r="AX835" s="9" t="n"/>
      <c r="AY835" s="9" t="n"/>
      <c r="AZ835" s="9" t="n"/>
      <c r="BA835" s="9" t="n"/>
      <c r="BB835" s="9" t="n"/>
      <c r="BC835" s="9" t="n"/>
      <c r="BD835" s="9" t="n"/>
      <c r="BE835" s="9" t="n"/>
      <c r="BF835" s="9" t="n"/>
      <c r="BG835" s="9" t="n"/>
      <c r="BH835" s="9" t="n"/>
      <c r="BI835" s="9" t="n"/>
      <c r="BJ835" s="9" t="n"/>
      <c r="BK835" s="9" t="n"/>
      <c r="BL835" s="137" t="n"/>
      <c r="BM835" s="136" t="n"/>
      <c r="BN835" s="9" t="n"/>
      <c r="BO835" s="9" t="n"/>
      <c r="BP835" s="9" t="n"/>
      <c r="BQ835" s="9" t="n"/>
      <c r="BR835" s="9" t="n"/>
      <c r="BS835" s="9" t="n"/>
      <c r="BT835" s="9" t="n"/>
      <c r="BU835" s="9" t="n"/>
      <c r="BV835" s="9" t="n"/>
      <c r="BW835" s="9" t="n"/>
      <c r="BX835" s="9" t="n"/>
      <c r="BY835" s="9" t="n"/>
      <c r="BZ835" s="9" t="n"/>
      <c r="CA835" s="9" t="n"/>
      <c r="CB835" s="137" t="n"/>
      <c r="CD835" s="191" t="n"/>
      <c r="CE835" s="191" t="n"/>
      <c r="CF835" s="1" t="n"/>
      <c r="CG835" s="1" t="n"/>
      <c r="CH835" s="271" t="n"/>
      <c r="CI835" s="9" t="n"/>
      <c r="CJ835" s="137" t="n"/>
      <c r="CK835" s="137" t="n"/>
      <c r="CL835" s="137" t="n"/>
      <c r="CM835" s="137" t="n"/>
      <c r="CN835" s="137" t="n"/>
      <c r="CO835" s="9" t="n"/>
      <c r="CP835" s="137" t="n"/>
      <c r="CQ835" s="137" t="n"/>
      <c r="CR835" s="137" t="n"/>
      <c r="CS835" s="137" t="n"/>
      <c r="CT835" s="137" t="n"/>
      <c r="CU835" s="272" t="n"/>
      <c r="CV835" s="272" t="n"/>
      <c r="CW835" s="137" t="n"/>
      <c r="CX835" s="3" t="n"/>
      <c r="CZ835" s="1" t="n"/>
      <c r="DA835" s="273" t="n"/>
      <c r="DB835" s="9" t="n"/>
      <c r="DC835" s="137" t="n"/>
      <c r="DD835" s="137" t="n"/>
      <c r="DE835" s="137" t="n"/>
      <c r="DF835" s="137" t="n"/>
      <c r="DG835" s="137" t="n"/>
      <c r="DH835" s="171" t="n"/>
      <c r="DI835" s="137" t="n"/>
      <c r="DJ835" s="137" t="n"/>
      <c r="DK835" s="137" t="n"/>
      <c r="DL835" s="137" t="n"/>
      <c r="DM835" s="137" t="n"/>
      <c r="DN835" s="274" t="n"/>
      <c r="DO835" s="274" t="n"/>
      <c r="DP835" s="274" t="n"/>
    </row>
    <row hidden="false" ht="15" outlineLevel="0" r="836">
      <c r="A836" s="183" t="n">
        <f aca="false" ca="false" dt2D="false" dtr="false" t="normal">+A835+1</f>
        <v>813</v>
      </c>
      <c r="B836" s="117" t="n">
        <v>353</v>
      </c>
      <c r="C836" s="117" t="s">
        <v>111</v>
      </c>
      <c r="D836" s="117" t="s">
        <v>770</v>
      </c>
      <c r="E836" s="261" t="n">
        <v>1954</v>
      </c>
      <c r="F836" s="261" t="n">
        <v>1954</v>
      </c>
      <c r="G836" s="261" t="s">
        <v>68</v>
      </c>
      <c r="H836" s="261" t="n">
        <v>3</v>
      </c>
      <c r="I836" s="261" t="n">
        <v>3</v>
      </c>
      <c r="J836" s="106" t="n">
        <v>1802.3</v>
      </c>
      <c r="K836" s="106" t="n">
        <v>1033</v>
      </c>
      <c r="L836" s="106" t="n">
        <v>769.3</v>
      </c>
      <c r="M836" s="107" t="n">
        <v>35</v>
      </c>
      <c r="N836" s="263" t="n">
        <f aca="false" ca="false" dt2D="false" dtr="false" t="normal">SUM(P836:T836)</f>
        <v>2368250.05</v>
      </c>
      <c r="O836" s="114" t="n"/>
      <c r="P836" s="114" t="n"/>
      <c r="Q836" s="114" t="n">
        <v>2368250.05</v>
      </c>
      <c r="R836" s="113" t="n"/>
      <c r="S836" s="113" t="n"/>
      <c r="T836" s="114" t="n"/>
      <c r="U836" s="114" t="n"/>
      <c r="V836" s="114" t="n"/>
      <c r="W836" s="264" t="n">
        <v>2024</v>
      </c>
      <c r="X836" s="9" t="n"/>
      <c r="Z836" s="136" t="n"/>
      <c r="AA836" s="9" t="n"/>
      <c r="AB836" s="9" t="n"/>
      <c r="AC836" s="9" t="n"/>
      <c r="AD836" s="9" t="n"/>
      <c r="AE836" s="9" t="n"/>
      <c r="AF836" s="9" t="n"/>
      <c r="AG836" s="9" t="n"/>
      <c r="AH836" s="9" t="n"/>
      <c r="AI836" s="9" t="n"/>
      <c r="AJ836" s="9" t="n"/>
      <c r="AK836" s="9" t="n"/>
      <c r="AL836" s="9" t="n"/>
      <c r="AM836" s="9" t="n"/>
      <c r="AN836" s="9" t="n"/>
      <c r="AO836" s="137" t="n"/>
      <c r="AP836" s="112" t="n"/>
      <c r="AQ836" s="242" t="n"/>
      <c r="AT836" s="9" t="n"/>
      <c r="AU836" s="9" t="n"/>
      <c r="AV836" s="9" t="n"/>
      <c r="AW836" s="136" t="n"/>
      <c r="AX836" s="9" t="n"/>
      <c r="AY836" s="9" t="n"/>
      <c r="AZ836" s="9" t="n"/>
      <c r="BA836" s="9" t="n"/>
      <c r="BB836" s="9" t="n"/>
      <c r="BC836" s="9" t="n"/>
      <c r="BD836" s="9" t="n"/>
      <c r="BE836" s="9" t="n"/>
      <c r="BF836" s="9" t="n"/>
      <c r="BG836" s="9" t="n"/>
      <c r="BH836" s="9" t="n"/>
      <c r="BI836" s="9" t="n"/>
      <c r="BJ836" s="9" t="n"/>
      <c r="BK836" s="9" t="n"/>
      <c r="BL836" s="137" t="n"/>
      <c r="BM836" s="136" t="n"/>
      <c r="BN836" s="9" t="n"/>
      <c r="BO836" s="9" t="n"/>
      <c r="BP836" s="9" t="n"/>
      <c r="BQ836" s="9" t="n"/>
      <c r="BR836" s="9" t="n"/>
      <c r="BS836" s="9" t="n"/>
      <c r="BT836" s="9" t="n"/>
      <c r="BU836" s="9" t="n"/>
      <c r="BV836" s="9" t="n"/>
      <c r="BW836" s="9" t="n"/>
      <c r="BX836" s="9" t="n"/>
      <c r="BY836" s="9" t="n"/>
      <c r="BZ836" s="9" t="n"/>
      <c r="CA836" s="9" t="n"/>
      <c r="CB836" s="137" t="n"/>
      <c r="CD836" s="191" t="n"/>
      <c r="CE836" s="191" t="n"/>
      <c r="CF836" s="1" t="n"/>
      <c r="CG836" s="1" t="n"/>
      <c r="CH836" s="271" t="n"/>
      <c r="CI836" s="9" t="n"/>
      <c r="CJ836" s="137" t="n"/>
      <c r="CK836" s="137" t="n"/>
      <c r="CL836" s="137" t="n"/>
      <c r="CM836" s="137" t="n"/>
      <c r="CN836" s="137" t="n"/>
      <c r="CO836" s="9" t="n"/>
      <c r="CP836" s="137" t="n"/>
      <c r="CQ836" s="137" t="n"/>
      <c r="CR836" s="137" t="n"/>
      <c r="CS836" s="137" t="n"/>
      <c r="CT836" s="137" t="n"/>
      <c r="CU836" s="272" t="n"/>
      <c r="CV836" s="272" t="n"/>
      <c r="CW836" s="137" t="n"/>
      <c r="CX836" s="3" t="n"/>
      <c r="CZ836" s="1" t="n"/>
      <c r="DA836" s="273" t="n"/>
      <c r="DB836" s="9" t="n"/>
      <c r="DC836" s="137" t="n"/>
      <c r="DD836" s="137" t="n"/>
      <c r="DE836" s="137" t="n"/>
      <c r="DF836" s="137" t="n"/>
      <c r="DG836" s="137" t="n"/>
      <c r="DH836" s="171" t="n"/>
      <c r="DI836" s="137" t="n"/>
      <c r="DJ836" s="137" t="n"/>
      <c r="DK836" s="137" t="n"/>
      <c r="DL836" s="137" t="n"/>
      <c r="DM836" s="137" t="n"/>
      <c r="DN836" s="274" t="n"/>
      <c r="DO836" s="274" t="n"/>
      <c r="DP836" s="274" t="n"/>
    </row>
    <row hidden="false" ht="15" outlineLevel="0" r="837">
      <c r="A837" s="183" t="n">
        <f aca="false" ca="false" dt2D="false" dtr="false" t="normal">+A836+1</f>
        <v>814</v>
      </c>
      <c r="B837" s="117" t="n">
        <v>354</v>
      </c>
      <c r="C837" s="117" t="s">
        <v>111</v>
      </c>
      <c r="D837" s="117" t="s">
        <v>771</v>
      </c>
      <c r="E837" s="261" t="n">
        <v>1962</v>
      </c>
      <c r="F837" s="261" t="n">
        <v>1962</v>
      </c>
      <c r="G837" s="261" t="s">
        <v>68</v>
      </c>
      <c r="H837" s="261" t="n">
        <v>4</v>
      </c>
      <c r="I837" s="261" t="n">
        <v>4</v>
      </c>
      <c r="J837" s="106" t="n">
        <v>4073.5</v>
      </c>
      <c r="K837" s="106" t="n">
        <v>3188.1</v>
      </c>
      <c r="L837" s="106" t="n">
        <v>883.3</v>
      </c>
      <c r="M837" s="107" t="n">
        <v>80</v>
      </c>
      <c r="N837" s="263" t="n">
        <f aca="false" ca="false" dt2D="false" dtr="false" t="normal">SUM(P837:T837)</f>
        <v>4927647.92</v>
      </c>
      <c r="O837" s="114" t="n"/>
      <c r="P837" s="114" t="n"/>
      <c r="Q837" s="114" t="n">
        <v>4927647.92</v>
      </c>
      <c r="R837" s="113" t="n"/>
      <c r="S837" s="113" t="n"/>
      <c r="T837" s="114" t="n"/>
      <c r="U837" s="114" t="n"/>
      <c r="V837" s="114" t="n"/>
      <c r="W837" s="264" t="n">
        <v>2024</v>
      </c>
      <c r="X837" s="9" t="n"/>
      <c r="Z837" s="136" t="n"/>
      <c r="AA837" s="9" t="n"/>
      <c r="AB837" s="9" t="n"/>
      <c r="AC837" s="9" t="n"/>
      <c r="AD837" s="9" t="n"/>
      <c r="AE837" s="9" t="n"/>
      <c r="AF837" s="9" t="n"/>
      <c r="AG837" s="9" t="n"/>
      <c r="AH837" s="9" t="n"/>
      <c r="AI837" s="9" t="n"/>
      <c r="AJ837" s="9" t="n"/>
      <c r="AK837" s="9" t="n"/>
      <c r="AL837" s="9" t="n"/>
      <c r="AM837" s="9" t="n"/>
      <c r="AN837" s="9" t="n"/>
      <c r="AO837" s="137" t="n"/>
      <c r="AP837" s="112" t="n"/>
      <c r="AQ837" s="242" t="n"/>
      <c r="AT837" s="9" t="n"/>
      <c r="AU837" s="9" t="n"/>
      <c r="AV837" s="9" t="n"/>
      <c r="AW837" s="136" t="n"/>
      <c r="AX837" s="9" t="n"/>
      <c r="AY837" s="9" t="n"/>
      <c r="AZ837" s="9" t="n"/>
      <c r="BA837" s="9" t="n"/>
      <c r="BB837" s="9" t="n"/>
      <c r="BC837" s="9" t="n"/>
      <c r="BD837" s="9" t="n"/>
      <c r="BE837" s="9" t="n"/>
      <c r="BF837" s="9" t="n"/>
      <c r="BG837" s="9" t="n"/>
      <c r="BH837" s="9" t="n"/>
      <c r="BI837" s="9" t="n"/>
      <c r="BJ837" s="9" t="n"/>
      <c r="BK837" s="9" t="n"/>
      <c r="BL837" s="137" t="n"/>
      <c r="BM837" s="136" t="n"/>
      <c r="BN837" s="9" t="n"/>
      <c r="BO837" s="9" t="n"/>
      <c r="BP837" s="9" t="n"/>
      <c r="BQ837" s="9" t="n"/>
      <c r="BR837" s="9" t="n"/>
      <c r="BS837" s="9" t="n"/>
      <c r="BT837" s="9" t="n"/>
      <c r="BU837" s="9" t="n"/>
      <c r="BV837" s="9" t="n"/>
      <c r="BW837" s="9" t="n"/>
      <c r="BX837" s="9" t="n"/>
      <c r="BY837" s="9" t="n"/>
      <c r="BZ837" s="9" t="n"/>
      <c r="CA837" s="9" t="n"/>
      <c r="CB837" s="137" t="n"/>
      <c r="CD837" s="191" t="n"/>
      <c r="CE837" s="191" t="n"/>
      <c r="CF837" s="1" t="n"/>
      <c r="CG837" s="1" t="n"/>
      <c r="CH837" s="271" t="n"/>
      <c r="CI837" s="9" t="n"/>
      <c r="CJ837" s="137" t="n"/>
      <c r="CK837" s="137" t="n"/>
      <c r="CL837" s="137" t="n"/>
      <c r="CM837" s="137" t="n"/>
      <c r="CN837" s="137" t="n"/>
      <c r="CO837" s="9" t="n"/>
      <c r="CP837" s="137" t="n"/>
      <c r="CQ837" s="137" t="n"/>
      <c r="CR837" s="137" t="n"/>
      <c r="CS837" s="137" t="n"/>
      <c r="CT837" s="137" t="n"/>
      <c r="CU837" s="272" t="n"/>
      <c r="CV837" s="272" t="n"/>
      <c r="CW837" s="137" t="n"/>
      <c r="CX837" s="3" t="n"/>
      <c r="CZ837" s="1" t="n"/>
      <c r="DA837" s="273" t="n"/>
      <c r="DB837" s="9" t="n"/>
      <c r="DC837" s="137" t="n"/>
      <c r="DD837" s="137" t="n"/>
      <c r="DE837" s="137" t="n"/>
      <c r="DF837" s="137" t="n"/>
      <c r="DG837" s="137" t="n"/>
      <c r="DH837" s="171" t="n"/>
      <c r="DI837" s="137" t="n"/>
      <c r="DJ837" s="137" t="n"/>
      <c r="DK837" s="137" t="n"/>
      <c r="DL837" s="137" t="n"/>
      <c r="DM837" s="137" t="n"/>
      <c r="DN837" s="274" t="n"/>
      <c r="DO837" s="274" t="n"/>
      <c r="DP837" s="274" t="n"/>
    </row>
    <row hidden="false" ht="15" outlineLevel="0" r="838">
      <c r="A838" s="183" t="n">
        <f aca="false" ca="false" dt2D="false" dtr="false" t="normal">+A837+1</f>
        <v>815</v>
      </c>
      <c r="B838" s="117" t="n">
        <v>355</v>
      </c>
      <c r="C838" s="117" t="s">
        <v>111</v>
      </c>
      <c r="D838" s="117" t="s">
        <v>772</v>
      </c>
      <c r="E838" s="261" t="n">
        <v>1990</v>
      </c>
      <c r="F838" s="261" t="n">
        <v>1990</v>
      </c>
      <c r="G838" s="261" t="s">
        <v>68</v>
      </c>
      <c r="H838" s="261" t="n">
        <v>4</v>
      </c>
      <c r="I838" s="261" t="n">
        <v>2</v>
      </c>
      <c r="J838" s="106" t="n">
        <v>2012.4</v>
      </c>
      <c r="K838" s="106" t="n">
        <v>1752.2</v>
      </c>
      <c r="L838" s="106" t="n">
        <v>0</v>
      </c>
      <c r="M838" s="107" t="n">
        <v>54</v>
      </c>
      <c r="N838" s="263" t="n">
        <f aca="false" ca="false" dt2D="false" dtr="false" t="normal">SUM(P838:T838)</f>
        <v>2818468.21</v>
      </c>
      <c r="O838" s="114" t="n"/>
      <c r="P838" s="114" t="n"/>
      <c r="Q838" s="114" t="n">
        <v>2818468.21</v>
      </c>
      <c r="R838" s="113" t="n"/>
      <c r="S838" s="113" t="n"/>
      <c r="T838" s="114" t="n"/>
      <c r="U838" s="114" t="n"/>
      <c r="V838" s="114" t="n"/>
      <c r="W838" s="264" t="n">
        <v>2024</v>
      </c>
      <c r="X838" s="9" t="n"/>
      <c r="Z838" s="136" t="n"/>
      <c r="AA838" s="9" t="n"/>
      <c r="AB838" s="9" t="n"/>
      <c r="AC838" s="9" t="n"/>
      <c r="AD838" s="9" t="n"/>
      <c r="AE838" s="9" t="n"/>
      <c r="AF838" s="9" t="n"/>
      <c r="AG838" s="9" t="n"/>
      <c r="AH838" s="9" t="n"/>
      <c r="AI838" s="9" t="n"/>
      <c r="AJ838" s="9" t="n"/>
      <c r="AK838" s="9" t="n"/>
      <c r="AL838" s="9" t="n"/>
      <c r="AM838" s="9" t="n"/>
      <c r="AN838" s="9" t="n"/>
      <c r="AO838" s="137" t="n"/>
      <c r="AP838" s="112" t="n"/>
      <c r="AQ838" s="242" t="n"/>
      <c r="AT838" s="9" t="n"/>
      <c r="AU838" s="9" t="n"/>
      <c r="AV838" s="9" t="n"/>
      <c r="AW838" s="136" t="n"/>
      <c r="AX838" s="9" t="n"/>
      <c r="AY838" s="9" t="n"/>
      <c r="AZ838" s="9" t="n"/>
      <c r="BA838" s="9" t="n"/>
      <c r="BB838" s="9" t="n"/>
      <c r="BC838" s="9" t="n"/>
      <c r="BD838" s="9" t="n"/>
      <c r="BE838" s="9" t="n"/>
      <c r="BF838" s="9" t="n"/>
      <c r="BG838" s="9" t="n"/>
      <c r="BH838" s="9" t="n"/>
      <c r="BI838" s="9" t="n"/>
      <c r="BJ838" s="9" t="n"/>
      <c r="BK838" s="9" t="n"/>
      <c r="BL838" s="137" t="n"/>
      <c r="BM838" s="136" t="n"/>
      <c r="BN838" s="9" t="n"/>
      <c r="BO838" s="9" t="n"/>
      <c r="BP838" s="9" t="n"/>
      <c r="BQ838" s="9" t="n"/>
      <c r="BR838" s="9" t="n"/>
      <c r="BS838" s="9" t="n"/>
      <c r="BT838" s="9" t="n"/>
      <c r="BU838" s="9" t="n"/>
      <c r="BV838" s="9" t="n"/>
      <c r="BW838" s="9" t="n"/>
      <c r="BX838" s="9" t="n"/>
      <c r="BY838" s="9" t="n"/>
      <c r="BZ838" s="9" t="n"/>
      <c r="CA838" s="9" t="n"/>
      <c r="CB838" s="137" t="n"/>
      <c r="CD838" s="191" t="n"/>
      <c r="CE838" s="191" t="n"/>
      <c r="CF838" s="1" t="n"/>
      <c r="CG838" s="1" t="n"/>
      <c r="CH838" s="271" t="n"/>
      <c r="CI838" s="9" t="n"/>
      <c r="CJ838" s="137" t="n"/>
      <c r="CK838" s="137" t="n"/>
      <c r="CL838" s="137" t="n"/>
      <c r="CM838" s="137" t="n"/>
      <c r="CN838" s="137" t="n"/>
      <c r="CO838" s="9" t="n"/>
      <c r="CP838" s="137" t="n"/>
      <c r="CQ838" s="137" t="n"/>
      <c r="CR838" s="137" t="n"/>
      <c r="CS838" s="137" t="n"/>
      <c r="CT838" s="137" t="n"/>
      <c r="CU838" s="272" t="n"/>
      <c r="CV838" s="272" t="n"/>
      <c r="CW838" s="137" t="n"/>
      <c r="CX838" s="3" t="n"/>
      <c r="CZ838" s="1" t="n"/>
      <c r="DA838" s="273" t="n"/>
      <c r="DB838" s="9" t="n"/>
      <c r="DC838" s="137" t="n"/>
      <c r="DD838" s="137" t="n"/>
      <c r="DE838" s="137" t="n"/>
      <c r="DF838" s="137" t="n"/>
      <c r="DG838" s="137" t="n"/>
      <c r="DH838" s="171" t="n"/>
      <c r="DI838" s="137" t="n"/>
      <c r="DJ838" s="137" t="n"/>
      <c r="DK838" s="137" t="n"/>
      <c r="DL838" s="137" t="n"/>
      <c r="DM838" s="137" t="n"/>
      <c r="DN838" s="274" t="n"/>
      <c r="DO838" s="274" t="n"/>
      <c r="DP838" s="274" t="n"/>
    </row>
    <row hidden="false" ht="15" outlineLevel="0" r="839">
      <c r="A839" s="183" t="n">
        <f aca="false" ca="false" dt2D="false" dtr="false" t="normal">+A838+1</f>
        <v>816</v>
      </c>
      <c r="B839" s="117" t="n">
        <v>356</v>
      </c>
      <c r="C839" s="117" t="s">
        <v>111</v>
      </c>
      <c r="D839" s="117" t="s">
        <v>773</v>
      </c>
      <c r="E839" s="261" t="n">
        <v>1996</v>
      </c>
      <c r="F839" s="261" t="n">
        <v>1996</v>
      </c>
      <c r="G839" s="261" t="s">
        <v>68</v>
      </c>
      <c r="H839" s="261" t="n">
        <v>8</v>
      </c>
      <c r="I839" s="261" t="n">
        <v>2</v>
      </c>
      <c r="J839" s="106" t="n">
        <v>5186.36</v>
      </c>
      <c r="K839" s="106" t="n">
        <v>4076.7</v>
      </c>
      <c r="L839" s="106" t="n">
        <v>540.4</v>
      </c>
      <c r="M839" s="107" t="n">
        <v>130</v>
      </c>
      <c r="N839" s="263" t="n">
        <f aca="false" ca="false" dt2D="false" dtr="false" t="normal">SUM(P839:T839)</f>
        <v>6328505.47</v>
      </c>
      <c r="O839" s="114" t="n"/>
      <c r="P839" s="114" t="n"/>
      <c r="Q839" s="114" t="n">
        <v>6328505.47</v>
      </c>
      <c r="R839" s="113" t="n"/>
      <c r="S839" s="113" t="n"/>
      <c r="T839" s="114" t="n"/>
      <c r="U839" s="114" t="n"/>
      <c r="V839" s="114" t="n"/>
      <c r="W839" s="264" t="n">
        <v>2024</v>
      </c>
      <c r="X839" s="9" t="n"/>
      <c r="Z839" s="136" t="n"/>
      <c r="AA839" s="9" t="n"/>
      <c r="AB839" s="9" t="n"/>
      <c r="AC839" s="9" t="n"/>
      <c r="AD839" s="9" t="n"/>
      <c r="AE839" s="9" t="n"/>
      <c r="AF839" s="9" t="n"/>
      <c r="AG839" s="9" t="n"/>
      <c r="AH839" s="9" t="n"/>
      <c r="AI839" s="9" t="n"/>
      <c r="AJ839" s="9" t="n"/>
      <c r="AK839" s="9" t="n"/>
      <c r="AL839" s="9" t="n"/>
      <c r="AM839" s="9" t="n"/>
      <c r="AN839" s="9" t="n"/>
      <c r="AO839" s="137" t="n"/>
      <c r="AP839" s="112" t="n"/>
      <c r="AQ839" s="242" t="n"/>
      <c r="AT839" s="9" t="n"/>
      <c r="AU839" s="9" t="n"/>
      <c r="AV839" s="9" t="n"/>
      <c r="AW839" s="136" t="n"/>
      <c r="AX839" s="9" t="n"/>
      <c r="AY839" s="9" t="n"/>
      <c r="AZ839" s="9" t="n"/>
      <c r="BA839" s="9" t="n"/>
      <c r="BB839" s="9" t="n"/>
      <c r="BC839" s="9" t="n"/>
      <c r="BD839" s="9" t="n"/>
      <c r="BE839" s="9" t="n"/>
      <c r="BF839" s="9" t="n"/>
      <c r="BG839" s="9" t="n"/>
      <c r="BH839" s="9" t="n"/>
      <c r="BI839" s="9" t="n"/>
      <c r="BJ839" s="9" t="n"/>
      <c r="BK839" s="9" t="n"/>
      <c r="BL839" s="137" t="n"/>
      <c r="BM839" s="136" t="n"/>
      <c r="BN839" s="9" t="n"/>
      <c r="BO839" s="9" t="n"/>
      <c r="BP839" s="9" t="n"/>
      <c r="BQ839" s="9" t="n"/>
      <c r="BR839" s="9" t="n"/>
      <c r="BS839" s="9" t="n"/>
      <c r="BT839" s="9" t="n"/>
      <c r="BU839" s="9" t="n"/>
      <c r="BV839" s="9" t="n"/>
      <c r="BW839" s="9" t="n"/>
      <c r="BX839" s="9" t="n"/>
      <c r="BY839" s="9" t="n"/>
      <c r="BZ839" s="9" t="n"/>
      <c r="CA839" s="9" t="n"/>
      <c r="CB839" s="137" t="n"/>
      <c r="CD839" s="191" t="n"/>
      <c r="CE839" s="191" t="n"/>
      <c r="CF839" s="1" t="n"/>
      <c r="CG839" s="1" t="n"/>
      <c r="CH839" s="271" t="n"/>
      <c r="CI839" s="9" t="n"/>
      <c r="CJ839" s="137" t="n"/>
      <c r="CK839" s="137" t="n"/>
      <c r="CL839" s="137" t="n"/>
      <c r="CM839" s="137" t="n"/>
      <c r="CN839" s="137" t="n"/>
      <c r="CO839" s="9" t="n"/>
      <c r="CP839" s="137" t="n"/>
      <c r="CQ839" s="137" t="n"/>
      <c r="CR839" s="137" t="n"/>
      <c r="CS839" s="137" t="n"/>
      <c r="CT839" s="137" t="n"/>
      <c r="CU839" s="272" t="n"/>
      <c r="CV839" s="272" t="n"/>
      <c r="CW839" s="137" t="n"/>
      <c r="CX839" s="3" t="n"/>
      <c r="CZ839" s="1" t="n"/>
      <c r="DA839" s="273" t="n"/>
      <c r="DB839" s="9" t="n"/>
      <c r="DC839" s="137" t="n"/>
      <c r="DD839" s="137" t="n"/>
      <c r="DE839" s="137" t="n"/>
      <c r="DF839" s="137" t="n"/>
      <c r="DG839" s="137" t="n"/>
      <c r="DH839" s="171" t="n"/>
      <c r="DI839" s="137" t="n"/>
      <c r="DJ839" s="137" t="n"/>
      <c r="DK839" s="137" t="n"/>
      <c r="DL839" s="137" t="n"/>
      <c r="DM839" s="137" t="n"/>
      <c r="DN839" s="274" t="n"/>
      <c r="DO839" s="274" t="n"/>
      <c r="DP839" s="274" t="n"/>
    </row>
    <row hidden="false" ht="15" outlineLevel="0" r="840">
      <c r="A840" s="183" t="n">
        <f aca="false" ca="false" dt2D="false" dtr="false" t="normal">+A839+1</f>
        <v>817</v>
      </c>
      <c r="B840" s="117" t="n">
        <v>357</v>
      </c>
      <c r="C840" s="117" t="s">
        <v>111</v>
      </c>
      <c r="D840" s="117" t="s">
        <v>774</v>
      </c>
      <c r="E840" s="261" t="n">
        <v>1959</v>
      </c>
      <c r="F840" s="261" t="n">
        <v>1959</v>
      </c>
      <c r="G840" s="261" t="s">
        <v>68</v>
      </c>
      <c r="H840" s="261" t="n">
        <v>3</v>
      </c>
      <c r="I840" s="261" t="n">
        <v>2</v>
      </c>
      <c r="J840" s="106" t="n">
        <v>1349.3</v>
      </c>
      <c r="K840" s="106" t="n">
        <v>898.8</v>
      </c>
      <c r="L840" s="106" t="n">
        <v>450.5</v>
      </c>
      <c r="M840" s="107" t="n">
        <v>25</v>
      </c>
      <c r="N840" s="263" t="n">
        <f aca="false" ca="false" dt2D="false" dtr="false" t="normal">SUM(P840:T840)</f>
        <v>3038111.34</v>
      </c>
      <c r="O840" s="114" t="n"/>
      <c r="P840" s="114" t="n"/>
      <c r="Q840" s="114" t="n">
        <v>3038111.34</v>
      </c>
      <c r="R840" s="113" t="n"/>
      <c r="S840" s="113" t="n"/>
      <c r="T840" s="114" t="n"/>
      <c r="U840" s="114" t="n"/>
      <c r="V840" s="114" t="n"/>
      <c r="W840" s="264" t="n">
        <v>2024</v>
      </c>
      <c r="X840" s="9" t="n"/>
      <c r="Z840" s="136" t="n"/>
      <c r="AA840" s="9" t="n"/>
      <c r="AB840" s="9" t="n"/>
      <c r="AC840" s="9" t="n"/>
      <c r="AD840" s="9" t="n"/>
      <c r="AE840" s="9" t="n"/>
      <c r="AF840" s="9" t="n"/>
      <c r="AG840" s="9" t="n"/>
      <c r="AH840" s="9" t="n"/>
      <c r="AI840" s="9" t="n"/>
      <c r="AJ840" s="9" t="n"/>
      <c r="AK840" s="9" t="n"/>
      <c r="AL840" s="9" t="n"/>
      <c r="AM840" s="9" t="n"/>
      <c r="AN840" s="9" t="n"/>
      <c r="AO840" s="137" t="n"/>
      <c r="AP840" s="112" t="n"/>
      <c r="AQ840" s="242" t="n"/>
      <c r="AT840" s="9" t="n"/>
      <c r="AU840" s="9" t="n"/>
      <c r="AV840" s="9" t="n"/>
      <c r="AW840" s="136" t="n"/>
      <c r="AX840" s="9" t="n"/>
      <c r="AY840" s="9" t="n"/>
      <c r="AZ840" s="9" t="n"/>
      <c r="BA840" s="9" t="n"/>
      <c r="BB840" s="9" t="n"/>
      <c r="BC840" s="9" t="n"/>
      <c r="BD840" s="9" t="n"/>
      <c r="BE840" s="9" t="n"/>
      <c r="BF840" s="9" t="n"/>
      <c r="BG840" s="9" t="n"/>
      <c r="BH840" s="9" t="n"/>
      <c r="BI840" s="9" t="n"/>
      <c r="BJ840" s="9" t="n"/>
      <c r="BK840" s="9" t="n"/>
      <c r="BL840" s="137" t="n"/>
      <c r="BM840" s="136" t="n"/>
      <c r="BN840" s="9" t="n"/>
      <c r="BO840" s="9" t="n"/>
      <c r="BP840" s="9" t="n"/>
      <c r="BQ840" s="9" t="n"/>
      <c r="BR840" s="9" t="n"/>
      <c r="BS840" s="9" t="n"/>
      <c r="BT840" s="9" t="n"/>
      <c r="BU840" s="9" t="n"/>
      <c r="BV840" s="9" t="n"/>
      <c r="BW840" s="9" t="n"/>
      <c r="BX840" s="9" t="n"/>
      <c r="BY840" s="9" t="n"/>
      <c r="BZ840" s="9" t="n"/>
      <c r="CA840" s="9" t="n"/>
      <c r="CB840" s="137" t="n"/>
      <c r="CD840" s="191" t="n"/>
      <c r="CE840" s="191" t="n"/>
      <c r="CF840" s="1" t="n"/>
      <c r="CG840" s="1" t="n"/>
      <c r="CH840" s="271" t="n"/>
      <c r="CI840" s="9" t="n"/>
      <c r="CJ840" s="137" t="n"/>
      <c r="CK840" s="137" t="n"/>
      <c r="CL840" s="137" t="n"/>
      <c r="CM840" s="137" t="n"/>
      <c r="CN840" s="137" t="n"/>
      <c r="CO840" s="9" t="n"/>
      <c r="CP840" s="137" t="n"/>
      <c r="CQ840" s="137" t="n"/>
      <c r="CR840" s="137" t="n"/>
      <c r="CS840" s="137" t="n"/>
      <c r="CT840" s="137" t="n"/>
      <c r="CU840" s="272" t="n"/>
      <c r="CV840" s="272" t="n"/>
      <c r="CW840" s="137" t="n"/>
      <c r="CX840" s="3" t="n"/>
      <c r="CZ840" s="1" t="n"/>
      <c r="DA840" s="273" t="n"/>
      <c r="DB840" s="9" t="n"/>
      <c r="DC840" s="137" t="n"/>
      <c r="DD840" s="137" t="n"/>
      <c r="DE840" s="137" t="n"/>
      <c r="DF840" s="137" t="n"/>
      <c r="DG840" s="137" t="n"/>
      <c r="DH840" s="171" t="n"/>
      <c r="DI840" s="137" t="n"/>
      <c r="DJ840" s="137" t="n"/>
      <c r="DK840" s="137" t="n"/>
      <c r="DL840" s="137" t="n"/>
      <c r="DM840" s="137" t="n"/>
      <c r="DN840" s="274" t="n"/>
      <c r="DO840" s="274" t="n"/>
      <c r="DP840" s="274" t="n"/>
    </row>
    <row hidden="false" ht="15" outlineLevel="0" r="841">
      <c r="A841" s="183" t="n">
        <f aca="false" ca="false" dt2D="false" dtr="false" t="normal">+A840+1</f>
        <v>818</v>
      </c>
      <c r="B841" s="117" t="n">
        <v>358</v>
      </c>
      <c r="C841" s="117" t="s">
        <v>111</v>
      </c>
      <c r="D841" s="117" t="s">
        <v>775</v>
      </c>
      <c r="E841" s="261" t="n">
        <v>1968</v>
      </c>
      <c r="F841" s="261" t="n">
        <v>1968</v>
      </c>
      <c r="G841" s="261" t="s">
        <v>68</v>
      </c>
      <c r="H841" s="261" t="n">
        <v>4</v>
      </c>
      <c r="I841" s="261" t="n">
        <v>3</v>
      </c>
      <c r="J841" s="106" t="n">
        <v>1951.7</v>
      </c>
      <c r="K841" s="106" t="n">
        <v>1451.8</v>
      </c>
      <c r="L841" s="106" t="n">
        <v>499.9</v>
      </c>
      <c r="M841" s="107" t="n">
        <v>64</v>
      </c>
      <c r="N841" s="263" t="n">
        <f aca="false" ca="false" dt2D="false" dtr="false" t="normal">SUM(P841:T841)</f>
        <v>2779153.08</v>
      </c>
      <c r="O841" s="114" t="n"/>
      <c r="P841" s="114" t="n"/>
      <c r="Q841" s="114" t="n">
        <v>2779153.08</v>
      </c>
      <c r="R841" s="113" t="n"/>
      <c r="S841" s="113" t="n"/>
      <c r="T841" s="114" t="n"/>
      <c r="U841" s="114" t="n"/>
      <c r="V841" s="114" t="n"/>
      <c r="W841" s="264" t="n">
        <v>2024</v>
      </c>
      <c r="X841" s="9" t="n"/>
      <c r="Z841" s="136" t="n"/>
      <c r="AA841" s="9" t="n"/>
      <c r="AB841" s="9" t="n"/>
      <c r="AC841" s="9" t="n"/>
      <c r="AD841" s="9" t="n"/>
      <c r="AE841" s="9" t="n"/>
      <c r="AF841" s="9" t="n"/>
      <c r="AG841" s="9" t="n"/>
      <c r="AH841" s="9" t="n"/>
      <c r="AI841" s="9" t="n"/>
      <c r="AJ841" s="9" t="n"/>
      <c r="AK841" s="9" t="n"/>
      <c r="AL841" s="9" t="n"/>
      <c r="AM841" s="9" t="n"/>
      <c r="AN841" s="9" t="n"/>
      <c r="AO841" s="137" t="n"/>
      <c r="AP841" s="112" t="n"/>
      <c r="AQ841" s="242" t="n"/>
      <c r="AT841" s="9" t="n"/>
      <c r="AU841" s="9" t="n"/>
      <c r="AV841" s="9" t="n"/>
      <c r="AW841" s="136" t="n"/>
      <c r="AX841" s="9" t="n"/>
      <c r="AY841" s="9" t="n"/>
      <c r="AZ841" s="9" t="n"/>
      <c r="BA841" s="9" t="n"/>
      <c r="BB841" s="9" t="n"/>
      <c r="BC841" s="9" t="n"/>
      <c r="BD841" s="9" t="n"/>
      <c r="BE841" s="9" t="n"/>
      <c r="BF841" s="9" t="n"/>
      <c r="BG841" s="9" t="n"/>
      <c r="BH841" s="9" t="n"/>
      <c r="BI841" s="9" t="n"/>
      <c r="BJ841" s="9" t="n"/>
      <c r="BK841" s="9" t="n"/>
      <c r="BL841" s="137" t="n"/>
      <c r="BM841" s="136" t="n"/>
      <c r="BN841" s="9" t="n"/>
      <c r="BO841" s="9" t="n"/>
      <c r="BP841" s="9" t="n"/>
      <c r="BQ841" s="9" t="n"/>
      <c r="BR841" s="9" t="n"/>
      <c r="BS841" s="9" t="n"/>
      <c r="BT841" s="9" t="n"/>
      <c r="BU841" s="9" t="n"/>
      <c r="BV841" s="9" t="n"/>
      <c r="BW841" s="9" t="n"/>
      <c r="BX841" s="9" t="n"/>
      <c r="BY841" s="9" t="n"/>
      <c r="BZ841" s="9" t="n"/>
      <c r="CA841" s="9" t="n"/>
      <c r="CB841" s="137" t="n"/>
      <c r="CD841" s="191" t="n"/>
      <c r="CE841" s="191" t="n"/>
      <c r="CF841" s="1" t="n"/>
      <c r="CG841" s="1" t="n"/>
      <c r="CH841" s="271" t="n"/>
      <c r="CI841" s="9" t="n"/>
      <c r="CJ841" s="137" t="n"/>
      <c r="CK841" s="137" t="n"/>
      <c r="CL841" s="137" t="n"/>
      <c r="CM841" s="137" t="n"/>
      <c r="CN841" s="137" t="n"/>
      <c r="CO841" s="9" t="n"/>
      <c r="CP841" s="137" t="n"/>
      <c r="CQ841" s="137" t="n"/>
      <c r="CR841" s="137" t="n"/>
      <c r="CS841" s="137" t="n"/>
      <c r="CT841" s="137" t="n"/>
      <c r="CU841" s="272" t="n"/>
      <c r="CV841" s="272" t="n"/>
      <c r="CW841" s="137" t="n"/>
      <c r="CX841" s="3" t="n"/>
      <c r="CZ841" s="1" t="n"/>
      <c r="DA841" s="273" t="n"/>
      <c r="DB841" s="9" t="n"/>
      <c r="DC841" s="137" t="n"/>
      <c r="DD841" s="137" t="n"/>
      <c r="DE841" s="137" t="n"/>
      <c r="DF841" s="137" t="n"/>
      <c r="DG841" s="137" t="n"/>
      <c r="DH841" s="171" t="n"/>
      <c r="DI841" s="137" t="n"/>
      <c r="DJ841" s="137" t="n"/>
      <c r="DK841" s="137" t="n"/>
      <c r="DL841" s="137" t="n"/>
      <c r="DM841" s="137" t="n"/>
      <c r="DN841" s="274" t="n"/>
      <c r="DO841" s="274" t="n"/>
      <c r="DP841" s="274" t="n"/>
    </row>
    <row hidden="false" ht="15" outlineLevel="0" r="842">
      <c r="A842" s="183" t="n">
        <f aca="false" ca="false" dt2D="false" dtr="false" t="normal">+A841+1</f>
        <v>819</v>
      </c>
      <c r="B842" s="117" t="n">
        <v>359</v>
      </c>
      <c r="C842" s="117" t="s">
        <v>111</v>
      </c>
      <c r="D842" s="117" t="s">
        <v>335</v>
      </c>
      <c r="E842" s="261" t="n">
        <v>1959</v>
      </c>
      <c r="F842" s="261" t="n">
        <v>1959</v>
      </c>
      <c r="G842" s="261" t="s">
        <v>68</v>
      </c>
      <c r="H842" s="261" t="n">
        <v>4</v>
      </c>
      <c r="I842" s="261" t="n">
        <v>3</v>
      </c>
      <c r="J842" s="106" t="n">
        <v>2378.2</v>
      </c>
      <c r="K842" s="106" t="n">
        <v>1790.7</v>
      </c>
      <c r="L842" s="106" t="n">
        <v>587.5</v>
      </c>
      <c r="M842" s="107" t="n">
        <v>74</v>
      </c>
      <c r="N842" s="263" t="n">
        <f aca="false" ca="false" dt2D="false" dtr="false" t="normal">SUM(P842:T842)</f>
        <v>2200606</v>
      </c>
      <c r="O842" s="114" t="n"/>
      <c r="P842" s="114" t="n"/>
      <c r="Q842" s="114" t="n">
        <v>2200606</v>
      </c>
      <c r="R842" s="113" t="n"/>
      <c r="S842" s="113" t="n"/>
      <c r="T842" s="114" t="n"/>
      <c r="U842" s="114" t="n"/>
      <c r="V842" s="114" t="n"/>
      <c r="W842" s="264" t="n">
        <v>2024</v>
      </c>
      <c r="X842" s="9" t="n"/>
      <c r="Z842" s="136" t="n"/>
      <c r="AA842" s="9" t="n"/>
      <c r="AB842" s="9" t="n"/>
      <c r="AC842" s="9" t="n"/>
      <c r="AD842" s="9" t="n"/>
      <c r="AE842" s="9" t="n"/>
      <c r="AF842" s="9" t="n"/>
      <c r="AG842" s="9" t="n"/>
      <c r="AH842" s="9" t="n"/>
      <c r="AI842" s="9" t="n"/>
      <c r="AJ842" s="9" t="n"/>
      <c r="AK842" s="9" t="n"/>
      <c r="AL842" s="9" t="n"/>
      <c r="AM842" s="9" t="n"/>
      <c r="AN842" s="9" t="n"/>
      <c r="AO842" s="137" t="n"/>
      <c r="AP842" s="112" t="n"/>
      <c r="AQ842" s="242" t="n"/>
      <c r="AT842" s="9" t="n"/>
      <c r="AU842" s="9" t="n"/>
      <c r="AV842" s="9" t="n"/>
      <c r="AW842" s="136" t="n"/>
      <c r="AX842" s="9" t="n"/>
      <c r="AY842" s="9" t="n"/>
      <c r="AZ842" s="9" t="n"/>
      <c r="BA842" s="9" t="n"/>
      <c r="BB842" s="9" t="n"/>
      <c r="BC842" s="9" t="n"/>
      <c r="BD842" s="9" t="n"/>
      <c r="BE842" s="9" t="n"/>
      <c r="BF842" s="9" t="n"/>
      <c r="BG842" s="9" t="n"/>
      <c r="BH842" s="9" t="n"/>
      <c r="BI842" s="9" t="n"/>
      <c r="BJ842" s="9" t="n"/>
      <c r="BK842" s="9" t="n"/>
      <c r="BL842" s="137" t="n"/>
      <c r="BM842" s="136" t="n"/>
      <c r="BN842" s="9" t="n"/>
      <c r="BO842" s="9" t="n"/>
      <c r="BP842" s="9" t="n"/>
      <c r="BQ842" s="9" t="n"/>
      <c r="BR842" s="9" t="n"/>
      <c r="BS842" s="9" t="n"/>
      <c r="BT842" s="9" t="n"/>
      <c r="BU842" s="9" t="n"/>
      <c r="BV842" s="9" t="n"/>
      <c r="BW842" s="9" t="n"/>
      <c r="BX842" s="9" t="n"/>
      <c r="BY842" s="9" t="n"/>
      <c r="BZ842" s="9" t="n"/>
      <c r="CA842" s="9" t="n"/>
      <c r="CB842" s="137" t="n"/>
      <c r="CD842" s="191" t="n"/>
      <c r="CE842" s="191" t="n"/>
      <c r="CF842" s="1" t="n"/>
      <c r="CG842" s="1" t="n"/>
      <c r="CH842" s="271" t="n"/>
      <c r="CI842" s="9" t="n"/>
      <c r="CJ842" s="137" t="n"/>
      <c r="CK842" s="137" t="n"/>
      <c r="CL842" s="137" t="n"/>
      <c r="CM842" s="137" t="n"/>
      <c r="CN842" s="137" t="n"/>
      <c r="CO842" s="9" t="n"/>
      <c r="CP842" s="137" t="n"/>
      <c r="CQ842" s="137" t="n"/>
      <c r="CR842" s="137" t="n"/>
      <c r="CS842" s="137" t="n"/>
      <c r="CT842" s="137" t="n"/>
      <c r="CU842" s="272" t="n"/>
      <c r="CV842" s="272" t="n"/>
      <c r="CW842" s="137" t="n"/>
      <c r="CX842" s="3" t="n"/>
      <c r="CZ842" s="1" t="n"/>
      <c r="DA842" s="273" t="n"/>
      <c r="DB842" s="9" t="n"/>
      <c r="DC842" s="137" t="n"/>
      <c r="DD842" s="137" t="n"/>
      <c r="DE842" s="137" t="n"/>
      <c r="DF842" s="137" t="n"/>
      <c r="DG842" s="137" t="n"/>
      <c r="DH842" s="171" t="n"/>
      <c r="DI842" s="137" t="n"/>
      <c r="DJ842" s="137" t="n"/>
      <c r="DK842" s="137" t="n"/>
      <c r="DL842" s="137" t="n"/>
      <c r="DM842" s="137" t="n"/>
      <c r="DN842" s="274" t="n"/>
      <c r="DO842" s="274" t="n"/>
      <c r="DP842" s="274" t="n"/>
    </row>
    <row hidden="false" ht="15" outlineLevel="0" r="843">
      <c r="A843" s="183" t="n">
        <f aca="false" ca="false" dt2D="false" dtr="false" t="normal">+A842+1</f>
        <v>820</v>
      </c>
      <c r="B843" s="117" t="n">
        <v>360</v>
      </c>
      <c r="C843" s="117" t="s">
        <v>111</v>
      </c>
      <c r="D843" s="117" t="s">
        <v>129</v>
      </c>
      <c r="E843" s="261" t="n">
        <v>1968</v>
      </c>
      <c r="F843" s="261" t="n">
        <v>1968</v>
      </c>
      <c r="G843" s="261" t="s">
        <v>68</v>
      </c>
      <c r="H843" s="261" t="n">
        <v>5</v>
      </c>
      <c r="I843" s="261" t="n">
        <v>4</v>
      </c>
      <c r="J843" s="106" t="n">
        <v>3228.9</v>
      </c>
      <c r="K843" s="106" t="n">
        <v>2518.9</v>
      </c>
      <c r="L843" s="106" t="n">
        <v>710</v>
      </c>
      <c r="M843" s="107" t="n">
        <v>136</v>
      </c>
      <c r="N843" s="263" t="n">
        <f aca="false" ca="false" dt2D="false" dtr="false" t="normal">SUM(P843:T843)</f>
        <v>3507252.66</v>
      </c>
      <c r="O843" s="114" t="n"/>
      <c r="P843" s="114" t="n"/>
      <c r="Q843" s="114" t="n">
        <v>3507252.66</v>
      </c>
      <c r="R843" s="113" t="n"/>
      <c r="S843" s="113" t="n"/>
      <c r="T843" s="114" t="n"/>
      <c r="U843" s="114" t="n"/>
      <c r="V843" s="114" t="n"/>
      <c r="W843" s="264" t="n">
        <v>2024</v>
      </c>
      <c r="X843" s="9" t="n"/>
      <c r="Z843" s="136" t="n"/>
      <c r="AA843" s="9" t="n"/>
      <c r="AB843" s="9" t="n"/>
      <c r="AC843" s="9" t="n"/>
      <c r="AD843" s="9" t="n"/>
      <c r="AE843" s="9" t="n"/>
      <c r="AF843" s="9" t="n"/>
      <c r="AG843" s="9" t="n"/>
      <c r="AH843" s="9" t="n"/>
      <c r="AI843" s="9" t="n"/>
      <c r="AJ843" s="9" t="n"/>
      <c r="AK843" s="9" t="n"/>
      <c r="AL843" s="9" t="n"/>
      <c r="AM843" s="9" t="n"/>
      <c r="AN843" s="9" t="n"/>
      <c r="AO843" s="137" t="n"/>
      <c r="AP843" s="112" t="n"/>
      <c r="AQ843" s="242" t="n"/>
      <c r="AT843" s="9" t="n"/>
      <c r="AU843" s="9" t="n"/>
      <c r="AV843" s="9" t="n"/>
      <c r="AW843" s="136" t="n"/>
      <c r="AX843" s="9" t="n"/>
      <c r="AY843" s="9" t="n"/>
      <c r="AZ843" s="9" t="n"/>
      <c r="BA843" s="9" t="n"/>
      <c r="BB843" s="9" t="n"/>
      <c r="BC843" s="9" t="n"/>
      <c r="BD843" s="9" t="n"/>
      <c r="BE843" s="9" t="n"/>
      <c r="BF843" s="9" t="n"/>
      <c r="BG843" s="9" t="n"/>
      <c r="BH843" s="9" t="n"/>
      <c r="BI843" s="9" t="n"/>
      <c r="BJ843" s="9" t="n"/>
      <c r="BK843" s="9" t="n"/>
      <c r="BL843" s="137" t="n"/>
      <c r="BM843" s="136" t="n"/>
      <c r="BN843" s="9" t="n"/>
      <c r="BO843" s="9" t="n"/>
      <c r="BP843" s="9" t="n"/>
      <c r="BQ843" s="9" t="n"/>
      <c r="BR843" s="9" t="n"/>
      <c r="BS843" s="9" t="n"/>
      <c r="BT843" s="9" t="n"/>
      <c r="BU843" s="9" t="n"/>
      <c r="BV843" s="9" t="n"/>
      <c r="BW843" s="9" t="n"/>
      <c r="BX843" s="9" t="n"/>
      <c r="BY843" s="9" t="n"/>
      <c r="BZ843" s="9" t="n"/>
      <c r="CA843" s="9" t="n"/>
      <c r="CB843" s="137" t="n"/>
      <c r="CD843" s="191" t="n"/>
      <c r="CE843" s="191" t="n"/>
      <c r="CF843" s="1" t="n"/>
      <c r="CG843" s="1" t="n"/>
      <c r="CH843" s="271" t="n"/>
      <c r="CI843" s="9" t="n"/>
      <c r="CJ843" s="137" t="n"/>
      <c r="CK843" s="137" t="n"/>
      <c r="CL843" s="137" t="n"/>
      <c r="CM843" s="137" t="n"/>
      <c r="CN843" s="137" t="n"/>
      <c r="CO843" s="9" t="n"/>
      <c r="CP843" s="137" t="n"/>
      <c r="CQ843" s="137" t="n"/>
      <c r="CR843" s="137" t="n"/>
      <c r="CS843" s="137" t="n"/>
      <c r="CT843" s="137" t="n"/>
      <c r="CU843" s="272" t="n"/>
      <c r="CV843" s="272" t="n"/>
      <c r="CW843" s="137" t="n"/>
      <c r="CX843" s="3" t="n"/>
      <c r="CZ843" s="1" t="n"/>
      <c r="DA843" s="273" t="n"/>
      <c r="DB843" s="9" t="n"/>
      <c r="DC843" s="137" t="n"/>
      <c r="DD843" s="137" t="n"/>
      <c r="DE843" s="137" t="n"/>
      <c r="DF843" s="137" t="n"/>
      <c r="DG843" s="137" t="n"/>
      <c r="DH843" s="171" t="n"/>
      <c r="DI843" s="137" t="n"/>
      <c r="DJ843" s="137" t="n"/>
      <c r="DK843" s="137" t="n"/>
      <c r="DL843" s="137" t="n"/>
      <c r="DM843" s="137" t="n"/>
      <c r="DN843" s="274" t="n"/>
      <c r="DO843" s="274" t="n"/>
      <c r="DP843" s="274" t="n"/>
    </row>
    <row hidden="false" ht="15" outlineLevel="0" r="844">
      <c r="A844" s="183" t="n">
        <f aca="false" ca="false" dt2D="false" dtr="false" t="normal">+A843+1</f>
        <v>821</v>
      </c>
      <c r="B844" s="117" t="n">
        <v>361</v>
      </c>
      <c r="C844" s="117" t="s">
        <v>111</v>
      </c>
      <c r="D844" s="117" t="s">
        <v>130</v>
      </c>
      <c r="E844" s="261" t="n">
        <v>1965</v>
      </c>
      <c r="F844" s="261" t="n">
        <v>1965</v>
      </c>
      <c r="G844" s="261" t="s">
        <v>68</v>
      </c>
      <c r="H844" s="261" t="n">
        <v>4</v>
      </c>
      <c r="I844" s="261" t="n">
        <v>2</v>
      </c>
      <c r="J844" s="106" t="n">
        <v>1948.5</v>
      </c>
      <c r="K844" s="106" t="n">
        <v>1410</v>
      </c>
      <c r="L844" s="106" t="n">
        <v>537.7</v>
      </c>
      <c r="M844" s="107" t="n">
        <v>38</v>
      </c>
      <c r="N844" s="263" t="n">
        <f aca="false" ca="false" dt2D="false" dtr="false" t="normal">SUM(P844:T844)</f>
        <v>3193243.9</v>
      </c>
      <c r="O844" s="114" t="n"/>
      <c r="P844" s="114" t="n"/>
      <c r="Q844" s="114" t="n">
        <v>3193243.9</v>
      </c>
      <c r="R844" s="113" t="n"/>
      <c r="S844" s="113" t="n"/>
      <c r="T844" s="114" t="n"/>
      <c r="U844" s="114" t="n"/>
      <c r="V844" s="114" t="n"/>
      <c r="W844" s="264" t="n">
        <v>2024</v>
      </c>
      <c r="X844" s="9" t="n"/>
      <c r="Z844" s="136" t="n"/>
      <c r="AA844" s="9" t="n"/>
      <c r="AB844" s="9" t="n"/>
      <c r="AC844" s="9" t="n"/>
      <c r="AD844" s="9" t="n"/>
      <c r="AE844" s="9" t="n"/>
      <c r="AF844" s="9" t="n"/>
      <c r="AG844" s="9" t="n"/>
      <c r="AH844" s="9" t="n"/>
      <c r="AI844" s="9" t="n"/>
      <c r="AJ844" s="9" t="n"/>
      <c r="AK844" s="9" t="n"/>
      <c r="AL844" s="9" t="n"/>
      <c r="AM844" s="9" t="n"/>
      <c r="AN844" s="9" t="n"/>
      <c r="AO844" s="137" t="n"/>
      <c r="AP844" s="112" t="n"/>
      <c r="AQ844" s="242" t="n"/>
      <c r="AT844" s="9" t="n"/>
      <c r="AU844" s="9" t="n"/>
      <c r="AV844" s="9" t="n"/>
      <c r="AW844" s="136" t="n"/>
      <c r="AX844" s="9" t="n"/>
      <c r="AY844" s="9" t="n"/>
      <c r="AZ844" s="9" t="n"/>
      <c r="BA844" s="9" t="n"/>
      <c r="BB844" s="9" t="n"/>
      <c r="BC844" s="9" t="n"/>
      <c r="BD844" s="9" t="n"/>
      <c r="BE844" s="9" t="n"/>
      <c r="BF844" s="9" t="n"/>
      <c r="BG844" s="9" t="n"/>
      <c r="BH844" s="9" t="n"/>
      <c r="BI844" s="9" t="n"/>
      <c r="BJ844" s="9" t="n"/>
      <c r="BK844" s="9" t="n"/>
      <c r="BL844" s="137" t="n"/>
      <c r="BM844" s="136" t="n"/>
      <c r="BN844" s="9" t="n"/>
      <c r="BO844" s="9" t="n"/>
      <c r="BP844" s="9" t="n"/>
      <c r="BQ844" s="9" t="n"/>
      <c r="BR844" s="9" t="n"/>
      <c r="BS844" s="9" t="n"/>
      <c r="BT844" s="9" t="n"/>
      <c r="BU844" s="9" t="n"/>
      <c r="BV844" s="9" t="n"/>
      <c r="BW844" s="9" t="n"/>
      <c r="BX844" s="9" t="n"/>
      <c r="BY844" s="9" t="n"/>
      <c r="BZ844" s="9" t="n"/>
      <c r="CA844" s="9" t="n"/>
      <c r="CB844" s="137" t="n"/>
      <c r="CD844" s="191" t="n"/>
      <c r="CE844" s="191" t="n"/>
      <c r="CF844" s="1" t="n"/>
      <c r="CG844" s="1" t="n"/>
      <c r="CH844" s="271" t="n"/>
      <c r="CI844" s="9" t="n"/>
      <c r="CJ844" s="137" t="n"/>
      <c r="CK844" s="137" t="n"/>
      <c r="CL844" s="137" t="n"/>
      <c r="CM844" s="137" t="n"/>
      <c r="CN844" s="137" t="n"/>
      <c r="CO844" s="9" t="n"/>
      <c r="CP844" s="137" t="n"/>
      <c r="CQ844" s="137" t="n"/>
      <c r="CR844" s="137" t="n"/>
      <c r="CS844" s="137" t="n"/>
      <c r="CT844" s="137" t="n"/>
      <c r="CU844" s="272" t="n"/>
      <c r="CV844" s="272" t="n"/>
      <c r="CW844" s="137" t="n"/>
      <c r="CX844" s="3" t="n"/>
      <c r="CZ844" s="1" t="n"/>
      <c r="DA844" s="273" t="n"/>
      <c r="DB844" s="9" t="n"/>
      <c r="DC844" s="137" t="n"/>
      <c r="DD844" s="137" t="n"/>
      <c r="DE844" s="137" t="n"/>
      <c r="DF844" s="137" t="n"/>
      <c r="DG844" s="137" t="n"/>
      <c r="DH844" s="171" t="n"/>
      <c r="DI844" s="137" t="n"/>
      <c r="DJ844" s="137" t="n"/>
      <c r="DK844" s="137" t="n"/>
      <c r="DL844" s="137" t="n"/>
      <c r="DM844" s="137" t="n"/>
      <c r="DN844" s="274" t="n"/>
      <c r="DO844" s="274" t="n"/>
      <c r="DP844" s="274" t="n"/>
    </row>
    <row hidden="false" ht="15" outlineLevel="0" r="845">
      <c r="A845" s="183" t="n">
        <f aca="false" ca="false" dt2D="false" dtr="false" t="normal">+A844+1</f>
        <v>822</v>
      </c>
      <c r="B845" s="117" t="n">
        <v>362</v>
      </c>
      <c r="C845" s="117" t="s">
        <v>111</v>
      </c>
      <c r="D845" s="117" t="s">
        <v>131</v>
      </c>
      <c r="E845" s="261" t="n">
        <v>1963</v>
      </c>
      <c r="F845" s="261" t="n">
        <v>1963</v>
      </c>
      <c r="G845" s="261" t="s">
        <v>68</v>
      </c>
      <c r="H845" s="261" t="n">
        <v>4</v>
      </c>
      <c r="I845" s="261" t="n">
        <v>3</v>
      </c>
      <c r="J845" s="106" t="n">
        <v>2328.4</v>
      </c>
      <c r="K845" s="106" t="n">
        <v>1950.9</v>
      </c>
      <c r="L845" s="106" t="n">
        <v>377.5</v>
      </c>
      <c r="M845" s="107" t="n">
        <v>49</v>
      </c>
      <c r="N845" s="263" t="n">
        <f aca="false" ca="false" dt2D="false" dtr="false" t="normal">SUM(P845:T845)</f>
        <v>5250283.93</v>
      </c>
      <c r="O845" s="114" t="n"/>
      <c r="P845" s="114" t="n"/>
      <c r="Q845" s="114" t="n">
        <v>5250283.93</v>
      </c>
      <c r="R845" s="113" t="n"/>
      <c r="S845" s="113" t="n"/>
      <c r="T845" s="114" t="n"/>
      <c r="U845" s="114" t="n"/>
      <c r="V845" s="114" t="n"/>
      <c r="W845" s="264" t="n">
        <v>2024</v>
      </c>
      <c r="X845" s="9" t="n"/>
      <c r="Z845" s="136" t="n"/>
      <c r="AA845" s="9" t="n"/>
      <c r="AB845" s="9" t="n"/>
      <c r="AC845" s="9" t="n"/>
      <c r="AD845" s="9" t="n"/>
      <c r="AE845" s="9" t="n"/>
      <c r="AF845" s="9" t="n"/>
      <c r="AG845" s="9" t="n"/>
      <c r="AH845" s="9" t="n"/>
      <c r="AI845" s="9" t="n"/>
      <c r="AJ845" s="9" t="n"/>
      <c r="AK845" s="9" t="n"/>
      <c r="AL845" s="9" t="n"/>
      <c r="AM845" s="9" t="n"/>
      <c r="AN845" s="9" t="n"/>
      <c r="AO845" s="137" t="n"/>
      <c r="AP845" s="112" t="n"/>
      <c r="AQ845" s="242" t="n"/>
      <c r="AT845" s="9" t="n"/>
      <c r="AU845" s="9" t="n"/>
      <c r="AV845" s="9" t="n"/>
      <c r="AW845" s="136" t="n"/>
      <c r="AX845" s="9" t="n"/>
      <c r="AY845" s="9" t="n"/>
      <c r="AZ845" s="9" t="n"/>
      <c r="BA845" s="9" t="n"/>
      <c r="BB845" s="9" t="n"/>
      <c r="BC845" s="9" t="n"/>
      <c r="BD845" s="9" t="n"/>
      <c r="BE845" s="9" t="n"/>
      <c r="BF845" s="9" t="n"/>
      <c r="BG845" s="9" t="n"/>
      <c r="BH845" s="9" t="n"/>
      <c r="BI845" s="9" t="n"/>
      <c r="BJ845" s="9" t="n"/>
      <c r="BK845" s="9" t="n"/>
      <c r="BL845" s="137" t="n"/>
      <c r="BM845" s="136" t="n"/>
      <c r="BN845" s="9" t="n"/>
      <c r="BO845" s="9" t="n"/>
      <c r="BP845" s="9" t="n"/>
      <c r="BQ845" s="9" t="n"/>
      <c r="BR845" s="9" t="n"/>
      <c r="BS845" s="9" t="n"/>
      <c r="BT845" s="9" t="n"/>
      <c r="BU845" s="9" t="n"/>
      <c r="BV845" s="9" t="n"/>
      <c r="BW845" s="9" t="n"/>
      <c r="BX845" s="9" t="n"/>
      <c r="BY845" s="9" t="n"/>
      <c r="BZ845" s="9" t="n"/>
      <c r="CA845" s="9" t="n"/>
      <c r="CB845" s="137" t="n"/>
      <c r="CD845" s="191" t="n"/>
      <c r="CE845" s="191" t="n"/>
      <c r="CF845" s="1" t="n"/>
      <c r="CG845" s="1" t="n"/>
      <c r="CH845" s="271" t="n"/>
      <c r="CI845" s="9" t="n"/>
      <c r="CJ845" s="137" t="n"/>
      <c r="CK845" s="137" t="n"/>
      <c r="CL845" s="137" t="n"/>
      <c r="CM845" s="137" t="n"/>
      <c r="CN845" s="137" t="n"/>
      <c r="CO845" s="9" t="n"/>
      <c r="CP845" s="137" t="n"/>
      <c r="CQ845" s="137" t="n"/>
      <c r="CR845" s="137" t="n"/>
      <c r="CS845" s="137" t="n"/>
      <c r="CT845" s="137" t="n"/>
      <c r="CU845" s="272" t="n"/>
      <c r="CV845" s="272" t="n"/>
      <c r="CW845" s="137" t="n"/>
      <c r="CX845" s="3" t="n"/>
      <c r="CZ845" s="1" t="n"/>
      <c r="DA845" s="273" t="n"/>
      <c r="DB845" s="9" t="n"/>
      <c r="DC845" s="137" t="n"/>
      <c r="DD845" s="137" t="n"/>
      <c r="DE845" s="137" t="n"/>
      <c r="DF845" s="137" t="n"/>
      <c r="DG845" s="137" t="n"/>
      <c r="DH845" s="171" t="n"/>
      <c r="DI845" s="137" t="n"/>
      <c r="DJ845" s="137" t="n"/>
      <c r="DK845" s="137" t="n"/>
      <c r="DL845" s="137" t="n"/>
      <c r="DM845" s="137" t="n"/>
      <c r="DN845" s="274" t="n"/>
      <c r="DO845" s="274" t="n"/>
      <c r="DP845" s="274" t="n"/>
    </row>
    <row hidden="false" ht="15" outlineLevel="0" r="846">
      <c r="A846" s="183" t="n">
        <f aca="false" ca="false" dt2D="false" dtr="false" t="normal">+A845+1</f>
        <v>823</v>
      </c>
      <c r="B846" s="117" t="n">
        <v>363</v>
      </c>
      <c r="C846" s="117" t="s">
        <v>111</v>
      </c>
      <c r="D846" s="117" t="s">
        <v>776</v>
      </c>
      <c r="E846" s="261" t="n">
        <v>1962</v>
      </c>
      <c r="F846" s="261" t="n">
        <v>1962</v>
      </c>
      <c r="G846" s="261" t="s">
        <v>68</v>
      </c>
      <c r="H846" s="261" t="n">
        <v>4</v>
      </c>
      <c r="I846" s="261" t="n">
        <v>4</v>
      </c>
      <c r="J846" s="106" t="n">
        <v>3217.2</v>
      </c>
      <c r="K846" s="106" t="n">
        <v>1859.9</v>
      </c>
      <c r="L846" s="106" t="n">
        <v>1357.3</v>
      </c>
      <c r="M846" s="107" t="n">
        <v>96</v>
      </c>
      <c r="N846" s="263" t="n">
        <f aca="false" ca="false" dt2D="false" dtr="false" t="normal">SUM(P846:T846)</f>
        <v>5013004.5</v>
      </c>
      <c r="O846" s="114" t="n"/>
      <c r="P846" s="114" t="n"/>
      <c r="Q846" s="114" t="n">
        <v>5013004.5</v>
      </c>
      <c r="R846" s="113" t="n"/>
      <c r="S846" s="113" t="n"/>
      <c r="T846" s="114" t="n"/>
      <c r="U846" s="114" t="n"/>
      <c r="V846" s="114" t="n"/>
      <c r="W846" s="264" t="n">
        <v>2024</v>
      </c>
      <c r="X846" s="9" t="n"/>
      <c r="Z846" s="136" t="n"/>
      <c r="AA846" s="9" t="n"/>
      <c r="AB846" s="9" t="n"/>
      <c r="AC846" s="9" t="n"/>
      <c r="AD846" s="9" t="n"/>
      <c r="AE846" s="9" t="n"/>
      <c r="AF846" s="9" t="n"/>
      <c r="AG846" s="9" t="n"/>
      <c r="AH846" s="9" t="n"/>
      <c r="AI846" s="9" t="n"/>
      <c r="AJ846" s="9" t="n"/>
      <c r="AK846" s="9" t="n"/>
      <c r="AL846" s="9" t="n"/>
      <c r="AM846" s="9" t="n"/>
      <c r="AN846" s="9" t="n"/>
      <c r="AO846" s="137" t="n"/>
      <c r="AP846" s="112" t="n"/>
      <c r="AQ846" s="242" t="n"/>
      <c r="AT846" s="9" t="n"/>
      <c r="AU846" s="9" t="n"/>
      <c r="AV846" s="9" t="n"/>
      <c r="AW846" s="136" t="n"/>
      <c r="AX846" s="9" t="n"/>
      <c r="AY846" s="9" t="n"/>
      <c r="AZ846" s="9" t="n"/>
      <c r="BA846" s="9" t="n"/>
      <c r="BB846" s="9" t="n"/>
      <c r="BC846" s="9" t="n"/>
      <c r="BD846" s="9" t="n"/>
      <c r="BE846" s="9" t="n"/>
      <c r="BF846" s="9" t="n"/>
      <c r="BG846" s="9" t="n"/>
      <c r="BH846" s="9" t="n"/>
      <c r="BI846" s="9" t="n"/>
      <c r="BJ846" s="9" t="n"/>
      <c r="BK846" s="9" t="n"/>
      <c r="BL846" s="137" t="n"/>
      <c r="BM846" s="136" t="n"/>
      <c r="BN846" s="9" t="n"/>
      <c r="BO846" s="9" t="n"/>
      <c r="BP846" s="9" t="n"/>
      <c r="BQ846" s="9" t="n"/>
      <c r="BR846" s="9" t="n"/>
      <c r="BS846" s="9" t="n"/>
      <c r="BT846" s="9" t="n"/>
      <c r="BU846" s="9" t="n"/>
      <c r="BV846" s="9" t="n"/>
      <c r="BW846" s="9" t="n"/>
      <c r="BX846" s="9" t="n"/>
      <c r="BY846" s="9" t="n"/>
      <c r="BZ846" s="9" t="n"/>
      <c r="CA846" s="9" t="n"/>
      <c r="CB846" s="137" t="n"/>
      <c r="CD846" s="191" t="n"/>
      <c r="CE846" s="191" t="n"/>
      <c r="CF846" s="1" t="n"/>
      <c r="CG846" s="1" t="n"/>
      <c r="CH846" s="271" t="n"/>
      <c r="CI846" s="9" t="n"/>
      <c r="CJ846" s="137" t="n"/>
      <c r="CK846" s="137" t="n"/>
      <c r="CL846" s="137" t="n"/>
      <c r="CM846" s="137" t="n"/>
      <c r="CN846" s="137" t="n"/>
      <c r="CO846" s="9" t="n"/>
      <c r="CP846" s="137" t="n"/>
      <c r="CQ846" s="137" t="n"/>
      <c r="CR846" s="137" t="n"/>
      <c r="CS846" s="137" t="n"/>
      <c r="CT846" s="137" t="n"/>
      <c r="CU846" s="272" t="n"/>
      <c r="CV846" s="272" t="n"/>
      <c r="CW846" s="137" t="n"/>
      <c r="CX846" s="3" t="n"/>
      <c r="CZ846" s="1" t="n"/>
      <c r="DA846" s="273" t="n"/>
      <c r="DB846" s="9" t="n"/>
      <c r="DC846" s="137" t="n"/>
      <c r="DD846" s="137" t="n"/>
      <c r="DE846" s="137" t="n"/>
      <c r="DF846" s="137" t="n"/>
      <c r="DG846" s="137" t="n"/>
      <c r="DH846" s="171" t="n"/>
      <c r="DI846" s="137" t="n"/>
      <c r="DJ846" s="137" t="n"/>
      <c r="DK846" s="137" t="n"/>
      <c r="DL846" s="137" t="n"/>
      <c r="DM846" s="137" t="n"/>
      <c r="DN846" s="274" t="n"/>
      <c r="DO846" s="274" t="n"/>
      <c r="DP846" s="274" t="n"/>
    </row>
    <row hidden="false" ht="15" outlineLevel="0" r="847">
      <c r="A847" s="183" t="n">
        <f aca="false" ca="false" dt2D="false" dtr="false" t="normal">+A846+1</f>
        <v>824</v>
      </c>
      <c r="B847" s="117" t="n">
        <v>364</v>
      </c>
      <c r="C847" s="117" t="s">
        <v>111</v>
      </c>
      <c r="D847" s="117" t="s">
        <v>777</v>
      </c>
      <c r="E847" s="261" t="n">
        <v>1981</v>
      </c>
      <c r="F847" s="261" t="n">
        <v>1981</v>
      </c>
      <c r="G847" s="261" t="s">
        <v>68</v>
      </c>
      <c r="H847" s="261" t="n">
        <v>5</v>
      </c>
      <c r="I847" s="261" t="n">
        <v>1</v>
      </c>
      <c r="J847" s="106" t="n">
        <v>2376.66</v>
      </c>
      <c r="K847" s="106" t="n">
        <v>2008.3</v>
      </c>
      <c r="L847" s="106" t="n">
        <v>0</v>
      </c>
      <c r="M847" s="107" t="n">
        <v>127</v>
      </c>
      <c r="N847" s="263" t="n">
        <f aca="false" ca="false" dt2D="false" dtr="false" t="normal">SUM(P847:T847)</f>
        <v>3364207.54</v>
      </c>
      <c r="O847" s="114" t="n"/>
      <c r="P847" s="114" t="n"/>
      <c r="Q847" s="114" t="n">
        <v>3364207.54</v>
      </c>
      <c r="R847" s="113" t="n"/>
      <c r="S847" s="113" t="n"/>
      <c r="T847" s="114" t="n"/>
      <c r="U847" s="114" t="n"/>
      <c r="V847" s="114" t="n"/>
      <c r="W847" s="264" t="n">
        <v>2024</v>
      </c>
      <c r="X847" s="9" t="n"/>
      <c r="Z847" s="136" t="n"/>
      <c r="AA847" s="9" t="n"/>
      <c r="AB847" s="9" t="n"/>
      <c r="AC847" s="9" t="n"/>
      <c r="AD847" s="9" t="n"/>
      <c r="AE847" s="9" t="n"/>
      <c r="AF847" s="9" t="n"/>
      <c r="AG847" s="9" t="n"/>
      <c r="AH847" s="9" t="n"/>
      <c r="AI847" s="9" t="n"/>
      <c r="AJ847" s="9" t="n"/>
      <c r="AK847" s="9" t="n"/>
      <c r="AL847" s="9" t="n"/>
      <c r="AM847" s="9" t="n"/>
      <c r="AN847" s="9" t="n"/>
      <c r="AO847" s="137" t="n"/>
      <c r="AP847" s="112" t="n"/>
      <c r="AQ847" s="242" t="n"/>
      <c r="AT847" s="9" t="n"/>
      <c r="AU847" s="9" t="n"/>
      <c r="AV847" s="9" t="n"/>
      <c r="AW847" s="136" t="n"/>
      <c r="AX847" s="9" t="n"/>
      <c r="AY847" s="9" t="n"/>
      <c r="AZ847" s="9" t="n"/>
      <c r="BA847" s="9" t="n"/>
      <c r="BB847" s="9" t="n"/>
      <c r="BC847" s="9" t="n"/>
      <c r="BD847" s="9" t="n"/>
      <c r="BE847" s="9" t="n"/>
      <c r="BF847" s="9" t="n"/>
      <c r="BG847" s="9" t="n"/>
      <c r="BH847" s="9" t="n"/>
      <c r="BI847" s="9" t="n"/>
      <c r="BJ847" s="9" t="n"/>
      <c r="BK847" s="9" t="n"/>
      <c r="BL847" s="137" t="n"/>
      <c r="BM847" s="136" t="n"/>
      <c r="BN847" s="9" t="n"/>
      <c r="BO847" s="9" t="n"/>
      <c r="BP847" s="9" t="n"/>
      <c r="BQ847" s="9" t="n"/>
      <c r="BR847" s="9" t="n"/>
      <c r="BS847" s="9" t="n"/>
      <c r="BT847" s="9" t="n"/>
      <c r="BU847" s="9" t="n"/>
      <c r="BV847" s="9" t="n"/>
      <c r="BW847" s="9" t="n"/>
      <c r="BX847" s="9" t="n"/>
      <c r="BY847" s="9" t="n"/>
      <c r="BZ847" s="9" t="n"/>
      <c r="CA847" s="9" t="n"/>
      <c r="CB847" s="137" t="n"/>
      <c r="CD847" s="191" t="n"/>
      <c r="CE847" s="191" t="n"/>
      <c r="CF847" s="1" t="n"/>
      <c r="CG847" s="1" t="n"/>
      <c r="CH847" s="271" t="n"/>
      <c r="CI847" s="9" t="n"/>
      <c r="CJ847" s="137" t="n"/>
      <c r="CK847" s="137" t="n"/>
      <c r="CL847" s="137" t="n"/>
      <c r="CM847" s="137" t="n"/>
      <c r="CN847" s="137" t="n"/>
      <c r="CO847" s="9" t="n"/>
      <c r="CP847" s="137" t="n"/>
      <c r="CQ847" s="137" t="n"/>
      <c r="CR847" s="137" t="n"/>
      <c r="CS847" s="137" t="n"/>
      <c r="CT847" s="137" t="n"/>
      <c r="CU847" s="272" t="n"/>
      <c r="CV847" s="272" t="n"/>
      <c r="CW847" s="137" t="n"/>
      <c r="CX847" s="3" t="n"/>
      <c r="CZ847" s="1" t="n"/>
      <c r="DA847" s="273" t="n"/>
      <c r="DB847" s="9" t="n"/>
      <c r="DC847" s="137" t="n"/>
      <c r="DD847" s="137" t="n"/>
      <c r="DE847" s="137" t="n"/>
      <c r="DF847" s="137" t="n"/>
      <c r="DG847" s="137" t="n"/>
      <c r="DH847" s="171" t="n"/>
      <c r="DI847" s="137" t="n"/>
      <c r="DJ847" s="137" t="n"/>
      <c r="DK847" s="137" t="n"/>
      <c r="DL847" s="137" t="n"/>
      <c r="DM847" s="137" t="n"/>
      <c r="DN847" s="274" t="n"/>
      <c r="DO847" s="274" t="n"/>
      <c r="DP847" s="274" t="n"/>
    </row>
    <row hidden="false" ht="15" outlineLevel="0" r="848">
      <c r="A848" s="183" t="n">
        <f aca="false" ca="false" dt2D="false" dtr="false" t="normal">+A847+1</f>
        <v>825</v>
      </c>
      <c r="B848" s="117" t="n">
        <v>365</v>
      </c>
      <c r="C848" s="117" t="s">
        <v>111</v>
      </c>
      <c r="D848" s="117" t="s">
        <v>778</v>
      </c>
      <c r="E848" s="261" t="n">
        <v>1991</v>
      </c>
      <c r="F848" s="261" t="n">
        <v>1991</v>
      </c>
      <c r="G848" s="261" t="s">
        <v>68</v>
      </c>
      <c r="H848" s="261" t="n">
        <v>5</v>
      </c>
      <c r="I848" s="261" t="n">
        <v>4</v>
      </c>
      <c r="J848" s="106" t="n">
        <v>4793.7</v>
      </c>
      <c r="K848" s="106" t="n">
        <v>4325.8</v>
      </c>
      <c r="L848" s="106" t="n">
        <v>0</v>
      </c>
      <c r="M848" s="107" t="n">
        <v>190</v>
      </c>
      <c r="N848" s="263" t="n">
        <f aca="false" ca="false" dt2D="false" dtr="false" t="normal">SUM(P848:T848)</f>
        <v>4361787.46</v>
      </c>
      <c r="O848" s="114" t="n"/>
      <c r="P848" s="114" t="n"/>
      <c r="Q848" s="114" t="n">
        <v>4361787.46</v>
      </c>
      <c r="R848" s="113" t="n"/>
      <c r="S848" s="113" t="n"/>
      <c r="T848" s="114" t="n"/>
      <c r="U848" s="114" t="n"/>
      <c r="V848" s="114" t="n"/>
      <c r="W848" s="264" t="n">
        <v>2024</v>
      </c>
      <c r="X848" s="9" t="n"/>
      <c r="Z848" s="136" t="n"/>
      <c r="AA848" s="9" t="n"/>
      <c r="AB848" s="9" t="n"/>
      <c r="AC848" s="9" t="n"/>
      <c r="AD848" s="9" t="n"/>
      <c r="AE848" s="9" t="n"/>
      <c r="AF848" s="9" t="n"/>
      <c r="AG848" s="9" t="n"/>
      <c r="AH848" s="9" t="n"/>
      <c r="AI848" s="9" t="n"/>
      <c r="AJ848" s="9" t="n"/>
      <c r="AK848" s="9" t="n"/>
      <c r="AL848" s="9" t="n"/>
      <c r="AM848" s="9" t="n"/>
      <c r="AN848" s="9" t="n"/>
      <c r="AO848" s="137" t="n"/>
      <c r="AP848" s="112" t="n"/>
      <c r="AQ848" s="242" t="n"/>
      <c r="AT848" s="9" t="n"/>
      <c r="AU848" s="9" t="n"/>
      <c r="AV848" s="9" t="n"/>
      <c r="AW848" s="136" t="n"/>
      <c r="AX848" s="9" t="n"/>
      <c r="AY848" s="9" t="n"/>
      <c r="AZ848" s="9" t="n"/>
      <c r="BA848" s="9" t="n"/>
      <c r="BB848" s="9" t="n"/>
      <c r="BC848" s="9" t="n"/>
      <c r="BD848" s="9" t="n"/>
      <c r="BE848" s="9" t="n"/>
      <c r="BF848" s="9" t="n"/>
      <c r="BG848" s="9" t="n"/>
      <c r="BH848" s="9" t="n"/>
      <c r="BI848" s="9" t="n"/>
      <c r="BJ848" s="9" t="n"/>
      <c r="BK848" s="9" t="n"/>
      <c r="BL848" s="137" t="n"/>
      <c r="BM848" s="136" t="n"/>
      <c r="BN848" s="9" t="n"/>
      <c r="BO848" s="9" t="n"/>
      <c r="BP848" s="9" t="n"/>
      <c r="BQ848" s="9" t="n"/>
      <c r="BR848" s="9" t="n"/>
      <c r="BS848" s="9" t="n"/>
      <c r="BT848" s="9" t="n"/>
      <c r="BU848" s="9" t="n"/>
      <c r="BV848" s="9" t="n"/>
      <c r="BW848" s="9" t="n"/>
      <c r="BX848" s="9" t="n"/>
      <c r="BY848" s="9" t="n"/>
      <c r="BZ848" s="9" t="n"/>
      <c r="CA848" s="9" t="n"/>
      <c r="CB848" s="137" t="n"/>
      <c r="CD848" s="191" t="n"/>
      <c r="CE848" s="191" t="n"/>
      <c r="CF848" s="1" t="n"/>
      <c r="CG848" s="1" t="n"/>
      <c r="CH848" s="271" t="n"/>
      <c r="CI848" s="9" t="n"/>
      <c r="CJ848" s="137" t="n"/>
      <c r="CK848" s="137" t="n"/>
      <c r="CL848" s="137" t="n"/>
      <c r="CM848" s="137" t="n"/>
      <c r="CN848" s="137" t="n"/>
      <c r="CO848" s="9" t="n"/>
      <c r="CP848" s="137" t="n"/>
      <c r="CQ848" s="137" t="n"/>
      <c r="CR848" s="137" t="n"/>
      <c r="CS848" s="137" t="n"/>
      <c r="CT848" s="137" t="n"/>
      <c r="CU848" s="272" t="n"/>
      <c r="CV848" s="272" t="n"/>
      <c r="CW848" s="137" t="n"/>
      <c r="CX848" s="3" t="n"/>
      <c r="CZ848" s="1" t="n"/>
      <c r="DA848" s="273" t="n"/>
      <c r="DB848" s="9" t="n"/>
      <c r="DC848" s="137" t="n"/>
      <c r="DD848" s="137" t="n"/>
      <c r="DE848" s="137" t="n"/>
      <c r="DF848" s="137" t="n"/>
      <c r="DG848" s="137" t="n"/>
      <c r="DH848" s="171" t="n"/>
      <c r="DI848" s="137" t="n"/>
      <c r="DJ848" s="137" t="n"/>
      <c r="DK848" s="137" t="n"/>
      <c r="DL848" s="137" t="n"/>
      <c r="DM848" s="137" t="n"/>
      <c r="DN848" s="274" t="n"/>
      <c r="DO848" s="274" t="n"/>
      <c r="DP848" s="274" t="n"/>
    </row>
    <row hidden="false" ht="15" outlineLevel="0" r="849">
      <c r="A849" s="183" t="n">
        <f aca="false" ca="false" dt2D="false" dtr="false" t="normal">+A848+1</f>
        <v>826</v>
      </c>
      <c r="B849" s="117" t="n">
        <v>366</v>
      </c>
      <c r="C849" s="117" t="s">
        <v>111</v>
      </c>
      <c r="D849" s="117" t="s">
        <v>779</v>
      </c>
      <c r="E849" s="261" t="n">
        <v>1996</v>
      </c>
      <c r="F849" s="261" t="n">
        <v>1996</v>
      </c>
      <c r="G849" s="261" t="s">
        <v>68</v>
      </c>
      <c r="H849" s="261" t="n">
        <v>5</v>
      </c>
      <c r="I849" s="261" t="n">
        <v>3</v>
      </c>
      <c r="J849" s="106" t="n">
        <v>2575.7</v>
      </c>
      <c r="K849" s="106" t="n">
        <v>2285.6</v>
      </c>
      <c r="L849" s="106" t="n">
        <v>0</v>
      </c>
      <c r="M849" s="107" t="n">
        <v>96</v>
      </c>
      <c r="N849" s="263" t="n">
        <f aca="false" ca="false" dt2D="false" dtr="false" t="normal">SUM(P849:T849)</f>
        <v>3942951.58</v>
      </c>
      <c r="O849" s="114" t="n"/>
      <c r="P849" s="114" t="n"/>
      <c r="Q849" s="114" t="n">
        <v>3942951.58</v>
      </c>
      <c r="R849" s="113" t="n"/>
      <c r="S849" s="113" t="n"/>
      <c r="T849" s="114" t="n"/>
      <c r="U849" s="114" t="n"/>
      <c r="V849" s="114" t="n"/>
      <c r="W849" s="264" t="n">
        <v>2024</v>
      </c>
      <c r="X849" s="9" t="n"/>
      <c r="Z849" s="136" t="n"/>
      <c r="AA849" s="9" t="n"/>
      <c r="AB849" s="9" t="n"/>
      <c r="AC849" s="9" t="n"/>
      <c r="AD849" s="9" t="n"/>
      <c r="AE849" s="9" t="n"/>
      <c r="AF849" s="9" t="n"/>
      <c r="AG849" s="9" t="n"/>
      <c r="AH849" s="9" t="n"/>
      <c r="AI849" s="9" t="n"/>
      <c r="AJ849" s="9" t="n"/>
      <c r="AK849" s="9" t="n"/>
      <c r="AL849" s="9" t="n"/>
      <c r="AM849" s="9" t="n"/>
      <c r="AN849" s="9" t="n"/>
      <c r="AO849" s="137" t="n"/>
      <c r="AP849" s="112" t="n"/>
      <c r="AQ849" s="242" t="n"/>
      <c r="AT849" s="9" t="n"/>
      <c r="AU849" s="9" t="n"/>
      <c r="AV849" s="9" t="n"/>
      <c r="AW849" s="136" t="n"/>
      <c r="AX849" s="9" t="n"/>
      <c r="AY849" s="9" t="n"/>
      <c r="AZ849" s="9" t="n"/>
      <c r="BA849" s="9" t="n"/>
      <c r="BB849" s="9" t="n"/>
      <c r="BC849" s="9" t="n"/>
      <c r="BD849" s="9" t="n"/>
      <c r="BE849" s="9" t="n"/>
      <c r="BF849" s="9" t="n"/>
      <c r="BG849" s="9" t="n"/>
      <c r="BH849" s="9" t="n"/>
      <c r="BI849" s="9" t="n"/>
      <c r="BJ849" s="9" t="n"/>
      <c r="BK849" s="9" t="n"/>
      <c r="BL849" s="137" t="n"/>
      <c r="BM849" s="136" t="n"/>
      <c r="BN849" s="9" t="n"/>
      <c r="BO849" s="9" t="n"/>
      <c r="BP849" s="9" t="n"/>
      <c r="BQ849" s="9" t="n"/>
      <c r="BR849" s="9" t="n"/>
      <c r="BS849" s="9" t="n"/>
      <c r="BT849" s="9" t="n"/>
      <c r="BU849" s="9" t="n"/>
      <c r="BV849" s="9" t="n"/>
      <c r="BW849" s="9" t="n"/>
      <c r="BX849" s="9" t="n"/>
      <c r="BY849" s="9" t="n"/>
      <c r="BZ849" s="9" t="n"/>
      <c r="CA849" s="9" t="n"/>
      <c r="CB849" s="137" t="n"/>
      <c r="CD849" s="191" t="n"/>
      <c r="CE849" s="191" t="n"/>
      <c r="CF849" s="1" t="n"/>
      <c r="CG849" s="1" t="n"/>
      <c r="CH849" s="271" t="n"/>
      <c r="CI849" s="9" t="n"/>
      <c r="CJ849" s="137" t="n"/>
      <c r="CK849" s="137" t="n"/>
      <c r="CL849" s="137" t="n"/>
      <c r="CM849" s="137" t="n"/>
      <c r="CN849" s="137" t="n"/>
      <c r="CO849" s="9" t="n"/>
      <c r="CP849" s="137" t="n"/>
      <c r="CQ849" s="137" t="n"/>
      <c r="CR849" s="137" t="n"/>
      <c r="CS849" s="137" t="n"/>
      <c r="CT849" s="137" t="n"/>
      <c r="CU849" s="272" t="n"/>
      <c r="CV849" s="272" t="n"/>
      <c r="CW849" s="137" t="n"/>
      <c r="CX849" s="3" t="n"/>
      <c r="CZ849" s="1" t="n"/>
      <c r="DA849" s="273" t="n"/>
      <c r="DB849" s="9" t="n"/>
      <c r="DC849" s="137" t="n"/>
      <c r="DD849" s="137" t="n"/>
      <c r="DE849" s="137" t="n"/>
      <c r="DF849" s="137" t="n"/>
      <c r="DG849" s="137" t="n"/>
      <c r="DH849" s="171" t="n"/>
      <c r="DI849" s="137" t="n"/>
      <c r="DJ849" s="137" t="n"/>
      <c r="DK849" s="137" t="n"/>
      <c r="DL849" s="137" t="n"/>
      <c r="DM849" s="137" t="n"/>
      <c r="DN849" s="274" t="n"/>
      <c r="DO849" s="274" t="n"/>
      <c r="DP849" s="274" t="n"/>
    </row>
    <row hidden="false" ht="15" outlineLevel="0" r="850">
      <c r="A850" s="183" t="n">
        <f aca="false" ca="false" dt2D="false" dtr="false" t="normal">+A849+1</f>
        <v>827</v>
      </c>
      <c r="B850" s="117" t="n">
        <v>367</v>
      </c>
      <c r="C850" s="117" t="s">
        <v>111</v>
      </c>
      <c r="D850" s="117" t="s">
        <v>780</v>
      </c>
      <c r="E850" s="261" t="n">
        <v>1972</v>
      </c>
      <c r="F850" s="261" t="n">
        <v>1972</v>
      </c>
      <c r="G850" s="261" t="s">
        <v>68</v>
      </c>
      <c r="H850" s="261" t="n">
        <v>5</v>
      </c>
      <c r="I850" s="261" t="n">
        <v>4</v>
      </c>
      <c r="J850" s="106" t="n">
        <v>3135.5</v>
      </c>
      <c r="K850" s="106" t="n">
        <v>2483.8</v>
      </c>
      <c r="L850" s="106" t="n">
        <v>651.7</v>
      </c>
      <c r="M850" s="107" t="n">
        <v>95</v>
      </c>
      <c r="N850" s="263" t="n">
        <f aca="false" ca="false" dt2D="false" dtr="false" t="normal">SUM(P850:T850)</f>
        <v>4395710.49</v>
      </c>
      <c r="O850" s="114" t="n"/>
      <c r="P850" s="114" t="n"/>
      <c r="Q850" s="114" t="n">
        <v>4395710.49</v>
      </c>
      <c r="R850" s="113" t="n"/>
      <c r="S850" s="113" t="n"/>
      <c r="T850" s="114" t="n"/>
      <c r="U850" s="114" t="n"/>
      <c r="V850" s="114" t="n"/>
      <c r="W850" s="264" t="n">
        <v>2024</v>
      </c>
      <c r="X850" s="9" t="n"/>
      <c r="Z850" s="136" t="n"/>
      <c r="AA850" s="9" t="n"/>
      <c r="AB850" s="9" t="n"/>
      <c r="AC850" s="9" t="n"/>
      <c r="AD850" s="9" t="n"/>
      <c r="AE850" s="9" t="n"/>
      <c r="AF850" s="9" t="n"/>
      <c r="AG850" s="9" t="n"/>
      <c r="AH850" s="9" t="n"/>
      <c r="AI850" s="9" t="n"/>
      <c r="AJ850" s="9" t="n"/>
      <c r="AK850" s="9" t="n"/>
      <c r="AL850" s="9" t="n"/>
      <c r="AM850" s="9" t="n"/>
      <c r="AN850" s="9" t="n"/>
      <c r="AO850" s="137" t="n"/>
      <c r="AP850" s="112" t="n"/>
      <c r="AQ850" s="242" t="n"/>
      <c r="AT850" s="9" t="n"/>
      <c r="AU850" s="9" t="n"/>
      <c r="AV850" s="9" t="n"/>
      <c r="AW850" s="136" t="n"/>
      <c r="AX850" s="9" t="n"/>
      <c r="AY850" s="9" t="n"/>
      <c r="AZ850" s="9" t="n"/>
      <c r="BA850" s="9" t="n"/>
      <c r="BB850" s="9" t="n"/>
      <c r="BC850" s="9" t="n"/>
      <c r="BD850" s="9" t="n"/>
      <c r="BE850" s="9" t="n"/>
      <c r="BF850" s="9" t="n"/>
      <c r="BG850" s="9" t="n"/>
      <c r="BH850" s="9" t="n"/>
      <c r="BI850" s="9" t="n"/>
      <c r="BJ850" s="9" t="n"/>
      <c r="BK850" s="9" t="n"/>
      <c r="BL850" s="137" t="n"/>
      <c r="BM850" s="136" t="n"/>
      <c r="BN850" s="9" t="n"/>
      <c r="BO850" s="9" t="n"/>
      <c r="BP850" s="9" t="n"/>
      <c r="BQ850" s="9" t="n"/>
      <c r="BR850" s="9" t="n"/>
      <c r="BS850" s="9" t="n"/>
      <c r="BT850" s="9" t="n"/>
      <c r="BU850" s="9" t="n"/>
      <c r="BV850" s="9" t="n"/>
      <c r="BW850" s="9" t="n"/>
      <c r="BX850" s="9" t="n"/>
      <c r="BY850" s="9" t="n"/>
      <c r="BZ850" s="9" t="n"/>
      <c r="CA850" s="9" t="n"/>
      <c r="CB850" s="137" t="n"/>
      <c r="CD850" s="191" t="n"/>
      <c r="CE850" s="191" t="n"/>
      <c r="CF850" s="1" t="n"/>
      <c r="CG850" s="1" t="n"/>
      <c r="CH850" s="271" t="n"/>
      <c r="CI850" s="9" t="n"/>
      <c r="CJ850" s="137" t="n"/>
      <c r="CK850" s="137" t="n"/>
      <c r="CL850" s="137" t="n"/>
      <c r="CM850" s="137" t="n"/>
      <c r="CN850" s="137" t="n"/>
      <c r="CO850" s="9" t="n"/>
      <c r="CP850" s="137" t="n"/>
      <c r="CQ850" s="137" t="n"/>
      <c r="CR850" s="137" t="n"/>
      <c r="CS850" s="137" t="n"/>
      <c r="CT850" s="137" t="n"/>
      <c r="CU850" s="272" t="n"/>
      <c r="CV850" s="272" t="n"/>
      <c r="CW850" s="137" t="n"/>
      <c r="CX850" s="3" t="n"/>
      <c r="CZ850" s="1" t="n"/>
      <c r="DA850" s="273" t="n"/>
      <c r="DB850" s="9" t="n"/>
      <c r="DC850" s="137" t="n"/>
      <c r="DD850" s="137" t="n"/>
      <c r="DE850" s="137" t="n"/>
      <c r="DF850" s="137" t="n"/>
      <c r="DG850" s="137" t="n"/>
      <c r="DH850" s="171" t="n"/>
      <c r="DI850" s="137" t="n"/>
      <c r="DJ850" s="137" t="n"/>
      <c r="DK850" s="137" t="n"/>
      <c r="DL850" s="137" t="n"/>
      <c r="DM850" s="137" t="n"/>
      <c r="DN850" s="274" t="n"/>
      <c r="DO850" s="274" t="n"/>
      <c r="DP850" s="274" t="n"/>
    </row>
    <row hidden="false" ht="15" outlineLevel="0" r="851">
      <c r="A851" s="183" t="n">
        <f aca="false" ca="false" dt2D="false" dtr="false" t="normal">+A850+1</f>
        <v>828</v>
      </c>
      <c r="B851" s="117" t="n">
        <v>368</v>
      </c>
      <c r="C851" s="117" t="s">
        <v>111</v>
      </c>
      <c r="D851" s="117" t="s">
        <v>781</v>
      </c>
      <c r="E851" s="261" t="n">
        <v>1999</v>
      </c>
      <c r="F851" s="261" t="n">
        <v>1999</v>
      </c>
      <c r="G851" s="261" t="s">
        <v>68</v>
      </c>
      <c r="H851" s="261" t="n">
        <v>5</v>
      </c>
      <c r="I851" s="261" t="n">
        <v>1</v>
      </c>
      <c r="J851" s="106" t="n">
        <v>1935.9</v>
      </c>
      <c r="K851" s="106" t="n">
        <v>1434.9</v>
      </c>
      <c r="L851" s="106" t="n">
        <v>373.6</v>
      </c>
      <c r="M851" s="107" t="n">
        <v>50</v>
      </c>
      <c r="N851" s="263" t="n">
        <f aca="false" ca="false" dt2D="false" dtr="false" t="normal">SUM(P851:T851)</f>
        <v>3341819.9</v>
      </c>
      <c r="O851" s="114" t="n"/>
      <c r="P851" s="114" t="n"/>
      <c r="Q851" s="114" t="n">
        <v>3341819.9</v>
      </c>
      <c r="R851" s="113" t="n"/>
      <c r="S851" s="113" t="n"/>
      <c r="T851" s="114" t="n"/>
      <c r="U851" s="114" t="n"/>
      <c r="V851" s="114" t="n"/>
      <c r="W851" s="264" t="n">
        <v>2024</v>
      </c>
      <c r="X851" s="9" t="n"/>
      <c r="Z851" s="136" t="n"/>
      <c r="AA851" s="9" t="n"/>
      <c r="AB851" s="9" t="n"/>
      <c r="AC851" s="9" t="n"/>
      <c r="AD851" s="9" t="n"/>
      <c r="AE851" s="9" t="n"/>
      <c r="AF851" s="9" t="n"/>
      <c r="AG851" s="9" t="n"/>
      <c r="AH851" s="9" t="n"/>
      <c r="AI851" s="9" t="n"/>
      <c r="AJ851" s="9" t="n"/>
      <c r="AK851" s="9" t="n"/>
      <c r="AL851" s="9" t="n"/>
      <c r="AM851" s="9" t="n"/>
      <c r="AN851" s="9" t="n"/>
      <c r="AO851" s="137" t="n"/>
      <c r="AP851" s="112" t="n"/>
      <c r="AQ851" s="242" t="n"/>
      <c r="AT851" s="9" t="n"/>
      <c r="AU851" s="9" t="n"/>
      <c r="AV851" s="9" t="n"/>
      <c r="AW851" s="136" t="n"/>
      <c r="AX851" s="9" t="n"/>
      <c r="AY851" s="9" t="n"/>
      <c r="AZ851" s="9" t="n"/>
      <c r="BA851" s="9" t="n"/>
      <c r="BB851" s="9" t="n"/>
      <c r="BC851" s="9" t="n"/>
      <c r="BD851" s="9" t="n"/>
      <c r="BE851" s="9" t="n"/>
      <c r="BF851" s="9" t="n"/>
      <c r="BG851" s="9" t="n"/>
      <c r="BH851" s="9" t="n"/>
      <c r="BI851" s="9" t="n"/>
      <c r="BJ851" s="9" t="n"/>
      <c r="BK851" s="9" t="n"/>
      <c r="BL851" s="137" t="n"/>
      <c r="BM851" s="136" t="n"/>
      <c r="BN851" s="9" t="n"/>
      <c r="BO851" s="9" t="n"/>
      <c r="BP851" s="9" t="n"/>
      <c r="BQ851" s="9" t="n"/>
      <c r="BR851" s="9" t="n"/>
      <c r="BS851" s="9" t="n"/>
      <c r="BT851" s="9" t="n"/>
      <c r="BU851" s="9" t="n"/>
      <c r="BV851" s="9" t="n"/>
      <c r="BW851" s="9" t="n"/>
      <c r="BX851" s="9" t="n"/>
      <c r="BY851" s="9" t="n"/>
      <c r="BZ851" s="9" t="n"/>
      <c r="CA851" s="9" t="n"/>
      <c r="CB851" s="137" t="n"/>
      <c r="CD851" s="191" t="n"/>
      <c r="CE851" s="191" t="n"/>
      <c r="CF851" s="1" t="n"/>
      <c r="CG851" s="1" t="n"/>
      <c r="CH851" s="271" t="n"/>
      <c r="CI851" s="9" t="n"/>
      <c r="CJ851" s="137" t="n"/>
      <c r="CK851" s="137" t="n"/>
      <c r="CL851" s="137" t="n"/>
      <c r="CM851" s="137" t="n"/>
      <c r="CN851" s="137" t="n"/>
      <c r="CO851" s="9" t="n"/>
      <c r="CP851" s="137" t="n"/>
      <c r="CQ851" s="137" t="n"/>
      <c r="CR851" s="137" t="n"/>
      <c r="CS851" s="137" t="n"/>
      <c r="CT851" s="137" t="n"/>
      <c r="CU851" s="272" t="n"/>
      <c r="CV851" s="272" t="n"/>
      <c r="CW851" s="137" t="n"/>
      <c r="CX851" s="3" t="n"/>
      <c r="CZ851" s="1" t="n"/>
      <c r="DA851" s="273" t="n"/>
      <c r="DB851" s="9" t="n"/>
      <c r="DC851" s="137" t="n"/>
      <c r="DD851" s="137" t="n"/>
      <c r="DE851" s="137" t="n"/>
      <c r="DF851" s="137" t="n"/>
      <c r="DG851" s="137" t="n"/>
      <c r="DH851" s="171" t="n"/>
      <c r="DI851" s="137" t="n"/>
      <c r="DJ851" s="137" t="n"/>
      <c r="DK851" s="137" t="n"/>
      <c r="DL851" s="137" t="n"/>
      <c r="DM851" s="137" t="n"/>
      <c r="DN851" s="274" t="n"/>
      <c r="DO851" s="274" t="n"/>
      <c r="DP851" s="274" t="n"/>
    </row>
    <row hidden="false" ht="15" outlineLevel="0" r="852">
      <c r="A852" s="183" t="n">
        <f aca="false" ca="false" dt2D="false" dtr="false" t="normal">+A851+1</f>
        <v>829</v>
      </c>
      <c r="B852" s="117" t="n">
        <v>369</v>
      </c>
      <c r="C852" s="117" t="s">
        <v>111</v>
      </c>
      <c r="D852" s="117" t="s">
        <v>167</v>
      </c>
      <c r="E852" s="261" t="n">
        <v>1963</v>
      </c>
      <c r="F852" s="261" t="n">
        <v>1963</v>
      </c>
      <c r="G852" s="261" t="s">
        <v>68</v>
      </c>
      <c r="H852" s="261" t="n">
        <v>4</v>
      </c>
      <c r="I852" s="261" t="n">
        <v>2</v>
      </c>
      <c r="J852" s="106" t="n">
        <v>1240.4</v>
      </c>
      <c r="K852" s="106" t="n">
        <v>1075.8</v>
      </c>
      <c r="L852" s="106" t="n">
        <v>111.9</v>
      </c>
      <c r="M852" s="107" t="n">
        <v>70</v>
      </c>
      <c r="N852" s="263" t="n">
        <f aca="false" ca="false" dt2D="false" dtr="false" t="normal">SUM(P852:T852)</f>
        <v>2651830.86</v>
      </c>
      <c r="O852" s="114" t="n"/>
      <c r="P852" s="114" t="n"/>
      <c r="Q852" s="114" t="n">
        <v>2651830.86</v>
      </c>
      <c r="R852" s="113" t="n"/>
      <c r="S852" s="113" t="n"/>
      <c r="T852" s="114" t="n"/>
      <c r="U852" s="114" t="n"/>
      <c r="V852" s="114" t="n"/>
      <c r="W852" s="264" t="n">
        <v>2024</v>
      </c>
      <c r="X852" s="9" t="n"/>
      <c r="Z852" s="136" t="n"/>
      <c r="AA852" s="9" t="n"/>
      <c r="AB852" s="9" t="n"/>
      <c r="AC852" s="9" t="n"/>
      <c r="AD852" s="9" t="n"/>
      <c r="AE852" s="9" t="n"/>
      <c r="AF852" s="9" t="n"/>
      <c r="AG852" s="9" t="n"/>
      <c r="AH852" s="9" t="n"/>
      <c r="AI852" s="9" t="n"/>
      <c r="AJ852" s="9" t="n"/>
      <c r="AK852" s="9" t="n"/>
      <c r="AL852" s="9" t="n"/>
      <c r="AM852" s="9" t="n"/>
      <c r="AN852" s="9" t="n"/>
      <c r="AO852" s="137" t="n"/>
      <c r="AP852" s="112" t="n"/>
      <c r="AQ852" s="242" t="n"/>
      <c r="AT852" s="9" t="n"/>
      <c r="AU852" s="9" t="n"/>
      <c r="AV852" s="9" t="n"/>
      <c r="AW852" s="136" t="n"/>
      <c r="AX852" s="9" t="n"/>
      <c r="AY852" s="9" t="n"/>
      <c r="AZ852" s="9" t="n"/>
      <c r="BA852" s="9" t="n"/>
      <c r="BB852" s="9" t="n"/>
      <c r="BC852" s="9" t="n"/>
      <c r="BD852" s="9" t="n"/>
      <c r="BE852" s="9" t="n"/>
      <c r="BF852" s="9" t="n"/>
      <c r="BG852" s="9" t="n"/>
      <c r="BH852" s="9" t="n"/>
      <c r="BI852" s="9" t="n"/>
      <c r="BJ852" s="9" t="n"/>
      <c r="BK852" s="9" t="n"/>
      <c r="BL852" s="137" t="n"/>
      <c r="BM852" s="136" t="n"/>
      <c r="BN852" s="9" t="n"/>
      <c r="BO852" s="9" t="n"/>
      <c r="BP852" s="9" t="n"/>
      <c r="BQ852" s="9" t="n"/>
      <c r="BR852" s="9" t="n"/>
      <c r="BS852" s="9" t="n"/>
      <c r="BT852" s="9" t="n"/>
      <c r="BU852" s="9" t="n"/>
      <c r="BV852" s="9" t="n"/>
      <c r="BW852" s="9" t="n"/>
      <c r="BX852" s="9" t="n"/>
      <c r="BY852" s="9" t="n"/>
      <c r="BZ852" s="9" t="n"/>
      <c r="CA852" s="9" t="n"/>
      <c r="CB852" s="137" t="n"/>
      <c r="CD852" s="191" t="n"/>
      <c r="CE852" s="191" t="n"/>
      <c r="CF852" s="1" t="n"/>
      <c r="CG852" s="1" t="n"/>
      <c r="CH852" s="271" t="n"/>
      <c r="CI852" s="9" t="n"/>
      <c r="CJ852" s="137" t="n"/>
      <c r="CK852" s="137" t="n"/>
      <c r="CL852" s="137" t="n"/>
      <c r="CM852" s="137" t="n"/>
      <c r="CN852" s="137" t="n"/>
      <c r="CO852" s="9" t="n"/>
      <c r="CP852" s="137" t="n"/>
      <c r="CQ852" s="137" t="n"/>
      <c r="CR852" s="137" t="n"/>
      <c r="CS852" s="137" t="n"/>
      <c r="CT852" s="137" t="n"/>
      <c r="CU852" s="272" t="n"/>
      <c r="CV852" s="272" t="n"/>
      <c r="CW852" s="137" t="n"/>
      <c r="CX852" s="3" t="n"/>
      <c r="CZ852" s="1" t="n"/>
      <c r="DA852" s="273" t="n"/>
      <c r="DB852" s="9" t="n"/>
      <c r="DC852" s="137" t="n"/>
      <c r="DD852" s="137" t="n"/>
      <c r="DE852" s="137" t="n"/>
      <c r="DF852" s="137" t="n"/>
      <c r="DG852" s="137" t="n"/>
      <c r="DH852" s="171" t="n"/>
      <c r="DI852" s="137" t="n"/>
      <c r="DJ852" s="137" t="n"/>
      <c r="DK852" s="137" t="n"/>
      <c r="DL852" s="137" t="n"/>
      <c r="DM852" s="137" t="n"/>
      <c r="DN852" s="274" t="n"/>
      <c r="DO852" s="274" t="n"/>
      <c r="DP852" s="274" t="n"/>
    </row>
    <row hidden="false" ht="15" outlineLevel="0" r="853">
      <c r="A853" s="183" t="n">
        <f aca="false" ca="false" dt2D="false" dtr="false" t="normal">+A852+1</f>
        <v>830</v>
      </c>
      <c r="B853" s="117" t="n">
        <v>370</v>
      </c>
      <c r="C853" s="117" t="s">
        <v>111</v>
      </c>
      <c r="D853" s="117" t="s">
        <v>782</v>
      </c>
      <c r="E853" s="261" t="n">
        <v>1980</v>
      </c>
      <c r="F853" s="261" t="n">
        <v>1980</v>
      </c>
      <c r="G853" s="261" t="s">
        <v>68</v>
      </c>
      <c r="H853" s="261" t="n">
        <v>4</v>
      </c>
      <c r="I853" s="261" t="n">
        <v>6</v>
      </c>
      <c r="J853" s="106" t="n">
        <v>5816.9</v>
      </c>
      <c r="K853" s="106" t="n">
        <v>5011.5</v>
      </c>
      <c r="L853" s="106" t="n">
        <v>0</v>
      </c>
      <c r="M853" s="107" t="n">
        <v>221</v>
      </c>
      <c r="N853" s="263" t="n">
        <f aca="false" ca="false" dt2D="false" dtr="false" t="normal">SUM(P853:T853)</f>
        <v>4041615.02</v>
      </c>
      <c r="O853" s="114" t="n"/>
      <c r="P853" s="114" t="n"/>
      <c r="Q853" s="114" t="n">
        <v>4041615.02</v>
      </c>
      <c r="R853" s="113" t="n"/>
      <c r="S853" s="113" t="n"/>
      <c r="T853" s="114" t="n"/>
      <c r="U853" s="114" t="n"/>
      <c r="V853" s="114" t="n"/>
      <c r="W853" s="264" t="n">
        <v>2024</v>
      </c>
      <c r="X853" s="9" t="n"/>
      <c r="Z853" s="136" t="n"/>
      <c r="AA853" s="9" t="n"/>
      <c r="AB853" s="9" t="n"/>
      <c r="AC853" s="9" t="n"/>
      <c r="AD853" s="9" t="n"/>
      <c r="AE853" s="9" t="n"/>
      <c r="AF853" s="9" t="n"/>
      <c r="AG853" s="9" t="n"/>
      <c r="AH853" s="9" t="n"/>
      <c r="AI853" s="9" t="n"/>
      <c r="AJ853" s="9" t="n"/>
      <c r="AK853" s="9" t="n"/>
      <c r="AL853" s="9" t="n"/>
      <c r="AM853" s="9" t="n"/>
      <c r="AN853" s="9" t="n"/>
      <c r="AO853" s="137" t="n"/>
      <c r="AP853" s="112" t="n"/>
      <c r="AQ853" s="242" t="n"/>
      <c r="AT853" s="9" t="n"/>
      <c r="AU853" s="9" t="n"/>
      <c r="AV853" s="9" t="n"/>
      <c r="AW853" s="136" t="n"/>
      <c r="AX853" s="9" t="n"/>
      <c r="AY853" s="9" t="n"/>
      <c r="AZ853" s="9" t="n"/>
      <c r="BA853" s="9" t="n"/>
      <c r="BB853" s="9" t="n"/>
      <c r="BC853" s="9" t="n"/>
      <c r="BD853" s="9" t="n"/>
      <c r="BE853" s="9" t="n"/>
      <c r="BF853" s="9" t="n"/>
      <c r="BG853" s="9" t="n"/>
      <c r="BH853" s="9" t="n"/>
      <c r="BI853" s="9" t="n"/>
      <c r="BJ853" s="9" t="n"/>
      <c r="BK853" s="9" t="n"/>
      <c r="BL853" s="137" t="n"/>
      <c r="BM853" s="136" t="n"/>
      <c r="BN853" s="9" t="n"/>
      <c r="BO853" s="9" t="n"/>
      <c r="BP853" s="9" t="n"/>
      <c r="BQ853" s="9" t="n"/>
      <c r="BR853" s="9" t="n"/>
      <c r="BS853" s="9" t="n"/>
      <c r="BT853" s="9" t="n"/>
      <c r="BU853" s="9" t="n"/>
      <c r="BV853" s="9" t="n"/>
      <c r="BW853" s="9" t="n"/>
      <c r="BX853" s="9" t="n"/>
      <c r="BY853" s="9" t="n"/>
      <c r="BZ853" s="9" t="n"/>
      <c r="CA853" s="9" t="n"/>
      <c r="CB853" s="137" t="n"/>
      <c r="CD853" s="191" t="n"/>
      <c r="CE853" s="191" t="n"/>
      <c r="CF853" s="1" t="n"/>
      <c r="CG853" s="1" t="n"/>
      <c r="CH853" s="271" t="n"/>
      <c r="CI853" s="9" t="n"/>
      <c r="CJ853" s="137" t="n"/>
      <c r="CK853" s="137" t="n"/>
      <c r="CL853" s="137" t="n"/>
      <c r="CM853" s="137" t="n"/>
      <c r="CN853" s="137" t="n"/>
      <c r="CO853" s="9" t="n"/>
      <c r="CP853" s="137" t="n"/>
      <c r="CQ853" s="137" t="n"/>
      <c r="CR853" s="137" t="n"/>
      <c r="CS853" s="137" t="n"/>
      <c r="CT853" s="137" t="n"/>
      <c r="CU853" s="272" t="n"/>
      <c r="CV853" s="272" t="n"/>
      <c r="CW853" s="137" t="n"/>
      <c r="CX853" s="3" t="n"/>
      <c r="CZ853" s="1" t="n"/>
      <c r="DA853" s="273" t="n"/>
      <c r="DB853" s="9" t="n"/>
      <c r="DC853" s="137" t="n"/>
      <c r="DD853" s="137" t="n"/>
      <c r="DE853" s="137" t="n"/>
      <c r="DF853" s="137" t="n"/>
      <c r="DG853" s="137" t="n"/>
      <c r="DH853" s="171" t="n"/>
      <c r="DI853" s="137" t="n"/>
      <c r="DJ853" s="137" t="n"/>
      <c r="DK853" s="137" t="n"/>
      <c r="DL853" s="137" t="n"/>
      <c r="DM853" s="137" t="n"/>
      <c r="DN853" s="274" t="n"/>
      <c r="DO853" s="274" t="n"/>
      <c r="DP853" s="274" t="n"/>
    </row>
    <row hidden="false" ht="15" outlineLevel="0" r="854">
      <c r="A854" s="183" t="n">
        <f aca="false" ca="false" dt2D="false" dtr="false" t="normal">+A853+1</f>
        <v>831</v>
      </c>
      <c r="B854" s="117" t="n">
        <v>371</v>
      </c>
      <c r="C854" s="117" t="s">
        <v>111</v>
      </c>
      <c r="D854" s="117" t="s">
        <v>783</v>
      </c>
      <c r="E854" s="261" t="n">
        <v>1993</v>
      </c>
      <c r="F854" s="261" t="n">
        <v>1993</v>
      </c>
      <c r="G854" s="261" t="s">
        <v>68</v>
      </c>
      <c r="H854" s="261" t="n">
        <v>3</v>
      </c>
      <c r="I854" s="261" t="n">
        <v>3</v>
      </c>
      <c r="J854" s="106" t="n">
        <v>2561.5</v>
      </c>
      <c r="K854" s="106" t="n">
        <v>2407.1</v>
      </c>
      <c r="L854" s="106" t="n">
        <v>0</v>
      </c>
      <c r="M854" s="107" t="n">
        <v>130</v>
      </c>
      <c r="N854" s="263" t="n">
        <f aca="false" ca="false" dt2D="false" dtr="false" t="normal">SUM(P854:T854)</f>
        <v>6181547.1</v>
      </c>
      <c r="O854" s="114" t="n"/>
      <c r="P854" s="114" t="n"/>
      <c r="Q854" s="114" t="n">
        <v>6181547.1</v>
      </c>
      <c r="R854" s="113" t="n"/>
      <c r="S854" s="113" t="n"/>
      <c r="T854" s="114" t="n"/>
      <c r="U854" s="114" t="n"/>
      <c r="V854" s="114" t="n"/>
      <c r="W854" s="264" t="n">
        <v>2024</v>
      </c>
      <c r="X854" s="9" t="n"/>
      <c r="Z854" s="136" t="n"/>
      <c r="AA854" s="9" t="n"/>
      <c r="AB854" s="9" t="n"/>
      <c r="AC854" s="9" t="n"/>
      <c r="AD854" s="9" t="n"/>
      <c r="AE854" s="9" t="n"/>
      <c r="AF854" s="9" t="n"/>
      <c r="AG854" s="9" t="n"/>
      <c r="AH854" s="9" t="n"/>
      <c r="AI854" s="9" t="n"/>
      <c r="AJ854" s="9" t="n"/>
      <c r="AK854" s="9" t="n"/>
      <c r="AL854" s="9" t="n"/>
      <c r="AM854" s="9" t="n"/>
      <c r="AN854" s="9" t="n"/>
      <c r="AO854" s="137" t="n"/>
      <c r="AP854" s="112" t="n"/>
      <c r="AQ854" s="242" t="n"/>
      <c r="AT854" s="9" t="n"/>
      <c r="AU854" s="9" t="n"/>
      <c r="AV854" s="9" t="n"/>
      <c r="AW854" s="136" t="n"/>
      <c r="AX854" s="9" t="n"/>
      <c r="AY854" s="9" t="n"/>
      <c r="AZ854" s="9" t="n"/>
      <c r="BA854" s="9" t="n"/>
      <c r="BB854" s="9" t="n"/>
      <c r="BC854" s="9" t="n"/>
      <c r="BD854" s="9" t="n"/>
      <c r="BE854" s="9" t="n"/>
      <c r="BF854" s="9" t="n"/>
      <c r="BG854" s="9" t="n"/>
      <c r="BH854" s="9" t="n"/>
      <c r="BI854" s="9" t="n"/>
      <c r="BJ854" s="9" t="n"/>
      <c r="BK854" s="9" t="n"/>
      <c r="BL854" s="137" t="n"/>
      <c r="BM854" s="136" t="n"/>
      <c r="BN854" s="9" t="n"/>
      <c r="BO854" s="9" t="n"/>
      <c r="BP854" s="9" t="n"/>
      <c r="BQ854" s="9" t="n"/>
      <c r="BR854" s="9" t="n"/>
      <c r="BS854" s="9" t="n"/>
      <c r="BT854" s="9" t="n"/>
      <c r="BU854" s="9" t="n"/>
      <c r="BV854" s="9" t="n"/>
      <c r="BW854" s="9" t="n"/>
      <c r="BX854" s="9" t="n"/>
      <c r="BY854" s="9" t="n"/>
      <c r="BZ854" s="9" t="n"/>
      <c r="CA854" s="9" t="n"/>
      <c r="CB854" s="137" t="n"/>
      <c r="CD854" s="191" t="n"/>
      <c r="CE854" s="191" t="n"/>
      <c r="CF854" s="1" t="n"/>
      <c r="CG854" s="1" t="n"/>
      <c r="CH854" s="271" t="n"/>
      <c r="CI854" s="9" t="n"/>
      <c r="CJ854" s="137" t="n"/>
      <c r="CK854" s="137" t="n"/>
      <c r="CL854" s="137" t="n"/>
      <c r="CM854" s="137" t="n"/>
      <c r="CN854" s="137" t="n"/>
      <c r="CO854" s="9" t="n"/>
      <c r="CP854" s="137" t="n"/>
      <c r="CQ854" s="137" t="n"/>
      <c r="CR854" s="137" t="n"/>
      <c r="CS854" s="137" t="n"/>
      <c r="CT854" s="137" t="n"/>
      <c r="CU854" s="272" t="n"/>
      <c r="CV854" s="272" t="n"/>
      <c r="CW854" s="137" t="n"/>
      <c r="CX854" s="3" t="n"/>
      <c r="CZ854" s="1" t="n"/>
      <c r="DA854" s="273" t="n"/>
      <c r="DB854" s="9" t="n"/>
      <c r="DC854" s="137" t="n"/>
      <c r="DD854" s="137" t="n"/>
      <c r="DE854" s="137" t="n"/>
      <c r="DF854" s="137" t="n"/>
      <c r="DG854" s="137" t="n"/>
      <c r="DH854" s="171" t="n"/>
      <c r="DI854" s="137" t="n"/>
      <c r="DJ854" s="137" t="n"/>
      <c r="DK854" s="137" t="n"/>
      <c r="DL854" s="137" t="n"/>
      <c r="DM854" s="137" t="n"/>
      <c r="DN854" s="274" t="n"/>
      <c r="DO854" s="274" t="n"/>
      <c r="DP854" s="274" t="n"/>
    </row>
    <row hidden="false" ht="15" outlineLevel="0" r="855">
      <c r="A855" s="183" t="n">
        <f aca="false" ca="false" dt2D="false" dtr="false" t="normal">+A854+1</f>
        <v>832</v>
      </c>
      <c r="B855" s="117" t="n">
        <v>372</v>
      </c>
      <c r="C855" s="117" t="s">
        <v>111</v>
      </c>
      <c r="D855" s="117" t="s">
        <v>784</v>
      </c>
      <c r="E855" s="261" t="n">
        <v>1996</v>
      </c>
      <c r="F855" s="261" t="n">
        <v>1996</v>
      </c>
      <c r="G855" s="261" t="s">
        <v>68</v>
      </c>
      <c r="H855" s="261" t="n">
        <v>2</v>
      </c>
      <c r="I855" s="261" t="n">
        <v>3</v>
      </c>
      <c r="J855" s="106" t="n">
        <v>1766.8</v>
      </c>
      <c r="K855" s="106" t="n">
        <v>1461.5</v>
      </c>
      <c r="L855" s="106" t="n">
        <v>0</v>
      </c>
      <c r="M855" s="107" t="n">
        <v>66</v>
      </c>
      <c r="N855" s="263" t="n">
        <f aca="false" ca="false" dt2D="false" dtr="false" t="normal">SUM(P855:T855)</f>
        <v>2446535.59</v>
      </c>
      <c r="O855" s="114" t="n"/>
      <c r="P855" s="114" t="n"/>
      <c r="Q855" s="114" t="n">
        <v>2446535.59</v>
      </c>
      <c r="R855" s="113" t="n"/>
      <c r="S855" s="113" t="n"/>
      <c r="T855" s="114" t="n"/>
      <c r="U855" s="114" t="n"/>
      <c r="V855" s="114" t="n"/>
      <c r="W855" s="264" t="n">
        <v>2024</v>
      </c>
      <c r="X855" s="9" t="n"/>
      <c r="Z855" s="136" t="n"/>
      <c r="AA855" s="9" t="n"/>
      <c r="AB855" s="9" t="n"/>
      <c r="AC855" s="9" t="n"/>
      <c r="AD855" s="9" t="n"/>
      <c r="AE855" s="9" t="n"/>
      <c r="AF855" s="9" t="n"/>
      <c r="AG855" s="9" t="n"/>
      <c r="AH855" s="9" t="n"/>
      <c r="AI855" s="9" t="n"/>
      <c r="AJ855" s="9" t="n"/>
      <c r="AK855" s="9" t="n"/>
      <c r="AL855" s="9" t="n"/>
      <c r="AM855" s="9" t="n"/>
      <c r="AN855" s="9" t="n"/>
      <c r="AO855" s="137" t="n"/>
      <c r="AP855" s="112" t="n"/>
      <c r="AQ855" s="242" t="n"/>
      <c r="AT855" s="9" t="n"/>
      <c r="AU855" s="9" t="n"/>
      <c r="AV855" s="9" t="n"/>
      <c r="AW855" s="136" t="n"/>
      <c r="AX855" s="9" t="n"/>
      <c r="AY855" s="9" t="n"/>
      <c r="AZ855" s="9" t="n"/>
      <c r="BA855" s="9" t="n"/>
      <c r="BB855" s="9" t="n"/>
      <c r="BC855" s="9" t="n"/>
      <c r="BD855" s="9" t="n"/>
      <c r="BE855" s="9" t="n"/>
      <c r="BF855" s="9" t="n"/>
      <c r="BG855" s="9" t="n"/>
      <c r="BH855" s="9" t="n"/>
      <c r="BI855" s="9" t="n"/>
      <c r="BJ855" s="9" t="n"/>
      <c r="BK855" s="9" t="n"/>
      <c r="BL855" s="137" t="n"/>
      <c r="BM855" s="136" t="n"/>
      <c r="BN855" s="9" t="n"/>
      <c r="BO855" s="9" t="n"/>
      <c r="BP855" s="9" t="n"/>
      <c r="BQ855" s="9" t="n"/>
      <c r="BR855" s="9" t="n"/>
      <c r="BS855" s="9" t="n"/>
      <c r="BT855" s="9" t="n"/>
      <c r="BU855" s="9" t="n"/>
      <c r="BV855" s="9" t="n"/>
      <c r="BW855" s="9" t="n"/>
      <c r="BX855" s="9" t="n"/>
      <c r="BY855" s="9" t="n"/>
      <c r="BZ855" s="9" t="n"/>
      <c r="CA855" s="9" t="n"/>
      <c r="CB855" s="137" t="n"/>
      <c r="CD855" s="191" t="n"/>
      <c r="CE855" s="191" t="n"/>
      <c r="CF855" s="1" t="n"/>
      <c r="CG855" s="1" t="n"/>
      <c r="CH855" s="271" t="n"/>
      <c r="CI855" s="9" t="n"/>
      <c r="CJ855" s="137" t="n"/>
      <c r="CK855" s="137" t="n"/>
      <c r="CL855" s="137" t="n"/>
      <c r="CM855" s="137" t="n"/>
      <c r="CN855" s="137" t="n"/>
      <c r="CO855" s="9" t="n"/>
      <c r="CP855" s="137" t="n"/>
      <c r="CQ855" s="137" t="n"/>
      <c r="CR855" s="137" t="n"/>
      <c r="CS855" s="137" t="n"/>
      <c r="CT855" s="137" t="n"/>
      <c r="CU855" s="272" t="n"/>
      <c r="CV855" s="272" t="n"/>
      <c r="CW855" s="137" t="n"/>
      <c r="CX855" s="3" t="n"/>
      <c r="CZ855" s="1" t="n"/>
      <c r="DA855" s="273" t="n"/>
      <c r="DB855" s="9" t="n"/>
      <c r="DC855" s="137" t="n"/>
      <c r="DD855" s="137" t="n"/>
      <c r="DE855" s="137" t="n"/>
      <c r="DF855" s="137" t="n"/>
      <c r="DG855" s="137" t="n"/>
      <c r="DH855" s="171" t="n"/>
      <c r="DI855" s="137" t="n"/>
      <c r="DJ855" s="137" t="n"/>
      <c r="DK855" s="137" t="n"/>
      <c r="DL855" s="137" t="n"/>
      <c r="DM855" s="137" t="n"/>
      <c r="DN855" s="274" t="n"/>
      <c r="DO855" s="274" t="n"/>
      <c r="DP855" s="274" t="n"/>
    </row>
    <row hidden="false" ht="15" outlineLevel="0" r="856">
      <c r="A856" s="275" t="n">
        <f aca="false" ca="false" dt2D="false" dtr="false" t="normal">+A855+1</f>
        <v>833</v>
      </c>
      <c r="B856" s="276" t="n">
        <v>373</v>
      </c>
      <c r="C856" s="276" t="s">
        <v>111</v>
      </c>
      <c r="D856" s="276" t="s">
        <v>785</v>
      </c>
      <c r="E856" s="277" t="n">
        <v>1994</v>
      </c>
      <c r="F856" s="277" t="n">
        <v>1994</v>
      </c>
      <c r="G856" s="277" t="s">
        <v>68</v>
      </c>
      <c r="H856" s="277" t="n">
        <v>2</v>
      </c>
      <c r="I856" s="277" t="n">
        <v>4</v>
      </c>
      <c r="J856" s="278" t="n">
        <v>2338.3</v>
      </c>
      <c r="K856" s="278" t="n">
        <v>1936</v>
      </c>
      <c r="L856" s="278" t="n">
        <v>0</v>
      </c>
      <c r="M856" s="279" t="n">
        <v>66</v>
      </c>
      <c r="N856" s="280" t="n">
        <f aca="false" ca="false" dt2D="false" dtr="false" t="normal">SUM(P856:T856)</f>
        <v>2517148.31</v>
      </c>
      <c r="O856" s="281" t="n"/>
      <c r="P856" s="281" t="n"/>
      <c r="Q856" s="281" t="n">
        <v>2517148.31</v>
      </c>
      <c r="R856" s="282" t="n"/>
      <c r="S856" s="282" t="n"/>
      <c r="T856" s="281" t="n"/>
      <c r="U856" s="281" t="n"/>
      <c r="V856" s="283" t="n"/>
      <c r="W856" s="284" t="n">
        <v>2024</v>
      </c>
      <c r="X856" s="9" t="n"/>
      <c r="Z856" s="136" t="n"/>
      <c r="AA856" s="9" t="n"/>
      <c r="AB856" s="9" t="n"/>
      <c r="AC856" s="9" t="n"/>
      <c r="AD856" s="9" t="n"/>
      <c r="AE856" s="9" t="n"/>
      <c r="AF856" s="9" t="n"/>
      <c r="AG856" s="9" t="n"/>
      <c r="AH856" s="9" t="n"/>
      <c r="AI856" s="9" t="n"/>
      <c r="AJ856" s="9" t="n"/>
      <c r="AK856" s="9" t="n"/>
      <c r="AL856" s="9" t="n"/>
      <c r="AM856" s="9" t="n"/>
      <c r="AN856" s="9" t="n"/>
      <c r="AO856" s="137" t="n"/>
      <c r="AP856" s="112" t="n"/>
      <c r="AQ856" s="242" t="n"/>
      <c r="AT856" s="9" t="n"/>
      <c r="AU856" s="9" t="n"/>
      <c r="AV856" s="9" t="n"/>
      <c r="AW856" s="136" t="n"/>
      <c r="AX856" s="9" t="n"/>
      <c r="AY856" s="9" t="n"/>
      <c r="AZ856" s="9" t="n"/>
      <c r="BA856" s="9" t="n"/>
      <c r="BB856" s="9" t="n"/>
      <c r="BC856" s="9" t="n"/>
      <c r="BD856" s="9" t="n"/>
      <c r="BE856" s="9" t="n"/>
      <c r="BF856" s="9" t="n"/>
      <c r="BG856" s="9" t="n"/>
      <c r="BH856" s="9" t="n"/>
      <c r="BI856" s="9" t="n"/>
      <c r="BJ856" s="9" t="n"/>
      <c r="BK856" s="9" t="n"/>
      <c r="BL856" s="137" t="n"/>
      <c r="BM856" s="136" t="n"/>
      <c r="BN856" s="9" t="n"/>
      <c r="BO856" s="9" t="n"/>
      <c r="BP856" s="9" t="n"/>
      <c r="BQ856" s="9" t="n"/>
      <c r="BR856" s="9" t="n"/>
      <c r="BS856" s="9" t="n"/>
      <c r="BT856" s="9" t="n"/>
      <c r="BU856" s="9" t="n"/>
      <c r="BV856" s="9" t="n"/>
      <c r="BW856" s="9" t="n"/>
      <c r="BX856" s="9" t="n"/>
      <c r="BY856" s="9" t="n"/>
      <c r="BZ856" s="9" t="n"/>
      <c r="CA856" s="9" t="n"/>
      <c r="CB856" s="137" t="n"/>
      <c r="CD856" s="191" t="n"/>
      <c r="CE856" s="191" t="n"/>
      <c r="CF856" s="1" t="n"/>
      <c r="CG856" s="1" t="n"/>
      <c r="CH856" s="271" t="n"/>
      <c r="CI856" s="9" t="n"/>
      <c r="CJ856" s="137" t="n"/>
      <c r="CK856" s="137" t="n"/>
      <c r="CL856" s="137" t="n"/>
      <c r="CM856" s="137" t="n"/>
      <c r="CN856" s="137" t="n"/>
      <c r="CO856" s="9" t="n"/>
      <c r="CP856" s="137" t="n"/>
      <c r="CQ856" s="137" t="n"/>
      <c r="CR856" s="137" t="n"/>
      <c r="CS856" s="137" t="n"/>
      <c r="CT856" s="137" t="n"/>
      <c r="CU856" s="272" t="n"/>
      <c r="CV856" s="272" t="n"/>
      <c r="CW856" s="137" t="n"/>
      <c r="CX856" s="3" t="n"/>
      <c r="CZ856" s="1" t="n"/>
      <c r="DA856" s="273" t="n"/>
      <c r="DB856" s="9" t="n"/>
      <c r="DC856" s="137" t="n"/>
      <c r="DD856" s="137" t="n"/>
      <c r="DE856" s="137" t="n"/>
      <c r="DF856" s="137" t="n"/>
      <c r="DG856" s="137" t="n"/>
      <c r="DH856" s="171" t="n"/>
      <c r="DI856" s="137" t="n"/>
      <c r="DJ856" s="137" t="n"/>
      <c r="DK856" s="137" t="n"/>
      <c r="DL856" s="137" t="n"/>
      <c r="DM856" s="137" t="n"/>
      <c r="DN856" s="274" t="n"/>
      <c r="DO856" s="274" t="n"/>
      <c r="DP856" s="274" t="n"/>
    </row>
    <row outlineLevel="0" r="858">
      <c r="B858" s="285" t="n"/>
      <c r="C858" s="285" t="s">
        <v>786</v>
      </c>
      <c r="D858" s="285" t="n"/>
      <c r="E858" s="285" t="n"/>
      <c r="R858" s="3" t="n"/>
      <c r="S858" s="3" t="n"/>
      <c r="T858" s="3" t="n"/>
    </row>
    <row outlineLevel="0" r="859">
      <c r="C859" s="286" t="s">
        <v>592</v>
      </c>
      <c r="D859" s="285" t="s">
        <v>787</v>
      </c>
      <c r="E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2" t="n"/>
    </row>
    <row outlineLevel="0" r="860">
      <c r="C860" s="286" t="s">
        <v>592</v>
      </c>
      <c r="D860" s="285" t="s">
        <v>788</v>
      </c>
      <c r="E860" s="1" t="n"/>
      <c r="O860" s="1" t="n"/>
      <c r="P860" s="1" t="n"/>
      <c r="Q860" s="1" t="n"/>
      <c r="R860" s="1" t="n"/>
      <c r="S860" s="1" t="n"/>
      <c r="T860" s="3" t="n"/>
      <c r="U860" s="1" t="n"/>
      <c r="V860" s="1" t="n"/>
      <c r="W860" s="287" t="n"/>
    </row>
    <row outlineLevel="0" r="861">
      <c r="B861" s="286" t="n"/>
      <c r="O861" s="1" t="n"/>
      <c r="P861" s="1" t="n"/>
      <c r="Q861" s="1" t="n"/>
      <c r="R861" s="3" t="n"/>
      <c r="S861" s="1" t="n"/>
      <c r="T861" s="1" t="n"/>
      <c r="U861" s="1" t="n"/>
      <c r="V861" s="1" t="n"/>
      <c r="W861" s="287" t="n"/>
    </row>
    <row outlineLevel="0" r="862">
      <c r="C862" s="285" t="s">
        <v>789</v>
      </c>
      <c r="O862" s="1" t="n"/>
      <c r="P862" s="1" t="n"/>
      <c r="Q862" s="1" t="n"/>
      <c r="R862" s="3" t="n"/>
      <c r="S862" s="3" t="n"/>
      <c r="T862" s="1" t="n"/>
      <c r="U862" s="1" t="n"/>
      <c r="V862" s="1" t="n"/>
      <c r="W862" s="2" t="n"/>
    </row>
    <row outlineLevel="0" r="863">
      <c r="O863" s="1" t="n"/>
      <c r="P863" s="288" t="n"/>
      <c r="Q863" s="1" t="n"/>
      <c r="R863" s="3" t="n"/>
      <c r="S863" s="3" t="n"/>
      <c r="T863" s="3" t="n"/>
      <c r="U863" s="1" t="n"/>
      <c r="V863" s="1" t="n"/>
      <c r="W863" s="2" t="n"/>
    </row>
    <row outlineLevel="0" r="864">
      <c r="O864" s="1" t="n"/>
      <c r="P864" s="1" t="n"/>
      <c r="Q864" s="1" t="n"/>
      <c r="R864" s="1" t="n"/>
      <c r="S864" s="3" t="n"/>
      <c r="T864" s="1" t="n"/>
      <c r="U864" s="1" t="n"/>
      <c r="V864" s="1" t="n"/>
      <c r="W864" s="2" t="n"/>
    </row>
    <row outlineLevel="0" r="865">
      <c r="O865" s="1" t="n"/>
      <c r="P865" s="9" t="n"/>
      <c r="Q865" s="1" t="n"/>
      <c r="R865" s="1" t="n"/>
      <c r="S865" s="9" t="n"/>
      <c r="T865" s="1" t="n"/>
      <c r="U865" s="1" t="n"/>
      <c r="V865" s="1" t="n"/>
      <c r="W865" s="2" t="n"/>
    </row>
    <row outlineLevel="0" r="866">
      <c r="O866" s="1" t="n"/>
      <c r="P866" s="1" t="n"/>
      <c r="Q866" s="1" t="n"/>
      <c r="R866" s="1" t="n"/>
      <c r="S866" s="1" t="n"/>
      <c r="T866" s="1" t="n"/>
      <c r="U866" s="1" t="n"/>
      <c r="V866" s="1" t="n"/>
      <c r="W866" s="2" t="n"/>
    </row>
    <row outlineLevel="0" r="867">
      <c r="O867" s="1" t="n"/>
      <c r="P867" s="1" t="n"/>
      <c r="Q867" s="1" t="n"/>
      <c r="R867" s="1" t="n"/>
      <c r="S867" s="1" t="n"/>
      <c r="T867" s="1" t="n"/>
      <c r="U867" s="1" t="n"/>
      <c r="V867" s="1" t="n"/>
      <c r="W867" s="2" t="n"/>
    </row>
    <row outlineLevel="0" r="868">
      <c r="O868" s="1" t="n"/>
      <c r="P868" s="1" t="n"/>
      <c r="Q868" s="1" t="n"/>
      <c r="R868" s="1" t="n"/>
      <c r="S868" s="1" t="n"/>
      <c r="T868" s="1" t="n"/>
      <c r="U868" s="1" t="n"/>
      <c r="V868" s="1" t="n"/>
      <c r="W868" s="2" t="n"/>
    </row>
    <row outlineLevel="0" r="869">
      <c r="O869" s="1" t="n"/>
      <c r="P869" s="1" t="n"/>
      <c r="Q869" s="1" t="n"/>
      <c r="R869" s="1" t="n"/>
      <c r="S869" s="1" t="n"/>
      <c r="T869" s="1" t="n"/>
      <c r="U869" s="1" t="n"/>
      <c r="V869" s="1" t="n"/>
      <c r="W869" s="2" t="n"/>
    </row>
  </sheetData>
  <autoFilter ref="A12:BR856"/>
  <mergeCells count="81">
    <mergeCell ref="DP10:DP11"/>
    <mergeCell ref="DO10:DO11"/>
    <mergeCell ref="DN10:DN11"/>
    <mergeCell ref="DM10:DM11"/>
    <mergeCell ref="DL10:DL11"/>
    <mergeCell ref="DK10:DK11"/>
    <mergeCell ref="DJ10:DJ11"/>
    <mergeCell ref="DI10:DI11"/>
    <mergeCell ref="CU10:CU11"/>
    <mergeCell ref="CT10:CT11"/>
    <mergeCell ref="CS10:CS11"/>
    <mergeCell ref="CR10:CR11"/>
    <mergeCell ref="CQ10:CQ11"/>
    <mergeCell ref="CZ9:CZ12"/>
    <mergeCell ref="DA9:DA11"/>
    <mergeCell ref="CV10:CV11"/>
    <mergeCell ref="CW10:CW11"/>
    <mergeCell ref="CG9:CG12"/>
    <mergeCell ref="CF9:CF12"/>
    <mergeCell ref="CE9:CE12"/>
    <mergeCell ref="CD9:CD12"/>
    <mergeCell ref="A6:W6"/>
    <mergeCell ref="E9:F9"/>
    <mergeCell ref="K9:L9"/>
    <mergeCell ref="L10:L11"/>
    <mergeCell ref="DB10:DH10"/>
    <mergeCell ref="CI10:CO10"/>
    <mergeCell ref="CI9:CW9"/>
    <mergeCell ref="CP10:CP11"/>
    <mergeCell ref="CH9:CH11"/>
    <mergeCell ref="AW9:AW11"/>
    <mergeCell ref="AO10:AO11"/>
    <mergeCell ref="AN10:AN11"/>
    <mergeCell ref="AM10:AM11"/>
    <mergeCell ref="BN9:CB9"/>
    <mergeCell ref="AX9:BL9"/>
    <mergeCell ref="BN10:BT10"/>
    <mergeCell ref="AX10:BD10"/>
    <mergeCell ref="CB10:CB11"/>
    <mergeCell ref="CA10:CA11"/>
    <mergeCell ref="BZ10:BZ11"/>
    <mergeCell ref="BY10:BY11"/>
    <mergeCell ref="BX10:BX11"/>
    <mergeCell ref="BW10:BW11"/>
    <mergeCell ref="BV10:BV11"/>
    <mergeCell ref="BU10:BU11"/>
    <mergeCell ref="BM9:BM11"/>
    <mergeCell ref="BL10:BL11"/>
    <mergeCell ref="BK10:BK11"/>
    <mergeCell ref="BJ10:BJ11"/>
    <mergeCell ref="BI10:BI11"/>
    <mergeCell ref="BH10:BH11"/>
    <mergeCell ref="BG10:BG11"/>
    <mergeCell ref="BF10:BF11"/>
    <mergeCell ref="BE10:BE11"/>
    <mergeCell ref="W9:W12"/>
    <mergeCell ref="O10:T10"/>
    <mergeCell ref="N9:T9"/>
    <mergeCell ref="U9:U11"/>
    <mergeCell ref="V9:V11"/>
    <mergeCell ref="Z9:Z11"/>
    <mergeCell ref="AA10:AG10"/>
    <mergeCell ref="AH10:AH11"/>
    <mergeCell ref="AA9:AO9"/>
    <mergeCell ref="AI10:AI11"/>
    <mergeCell ref="AJ10:AJ11"/>
    <mergeCell ref="AK10:AK11"/>
    <mergeCell ref="AL10:AL11"/>
    <mergeCell ref="A9:A12"/>
    <mergeCell ref="B9:B12"/>
    <mergeCell ref="C9:C12"/>
    <mergeCell ref="D9:D12"/>
    <mergeCell ref="E10:E12"/>
    <mergeCell ref="F10:F12"/>
    <mergeCell ref="G9:G12"/>
    <mergeCell ref="H9:H12"/>
    <mergeCell ref="I9:I12"/>
    <mergeCell ref="J9:J11"/>
    <mergeCell ref="K10:K11"/>
    <mergeCell ref="M9:M11"/>
    <mergeCell ref="N10:N11"/>
  </mergeCells>
  <conditionalFormatting pivot="false" sqref="CZ831:CZ856">
    <cfRule aboveAverage="true" bottom="false" dxfId="0" equalAverage="false" percent="false" priority="285" stopIfTrue="false" type="duplicateValues"/>
  </conditionalFormatting>
  <conditionalFormatting pivot="false" sqref="CG831:CG856">
    <cfRule aboveAverage="true" bottom="false" dxfId="0" equalAverage="false" percent="false" priority="284" stopIfTrue="false" type="duplicateValues"/>
  </conditionalFormatting>
  <conditionalFormatting pivot="false" sqref="D373">
    <cfRule aboveAverage="true" bottom="false" dxfId="0" equalAverage="false" percent="false" priority="283" stopIfTrue="false" type="duplicateValues"/>
  </conditionalFormatting>
  <conditionalFormatting pivot="false" sqref="D27 D69 D112 D177 D217 D274 D290:D291 D326 D336 D339 D356:D357 D368:D369 D391 D405 D447 D462 D469 D491 D494:D495 D525 D539 D549 D573 D580 D584 D587 D655 D733:D735 D749:D752 D754 D766 D770:D771 D785 D787 D791 D793 D799 D803:D804">
    <cfRule aboveAverage="true" bottom="false" dxfId="0" equalAverage="false" percent="false" priority="282" stopIfTrue="false" type="duplicateValues"/>
  </conditionalFormatting>
  <conditionalFormatting pivot="false" sqref="D345 D348">
    <cfRule aboveAverage="true" bottom="false" dxfId="0" equalAverage="false" percent="false" priority="281" stopIfTrue="false" type="duplicateValues"/>
  </conditionalFormatting>
  <conditionalFormatting pivot="false" sqref="D375 D480">
    <cfRule aboveAverage="true" bottom="false" dxfId="0" equalAverage="false" percent="false" priority="280" stopIfTrue="false" type="duplicateValues"/>
  </conditionalFormatting>
  <conditionalFormatting pivot="false" sqref="D471:D472">
    <cfRule aboveAverage="true" bottom="false" dxfId="0" equalAverage="false" percent="false" priority="279" stopIfTrue="false" type="duplicateValues"/>
  </conditionalFormatting>
  <conditionalFormatting pivot="false" sqref="D762:D765 D768:D769 D776">
    <cfRule aboveAverage="true" bottom="false" dxfId="0" equalAverage="false" percent="false" priority="278" stopIfTrue="false" type="duplicateValues"/>
  </conditionalFormatting>
  <conditionalFormatting pivot="false" sqref="D347">
    <cfRule aboveAverage="true" bottom="false" dxfId="0" equalAverage="false" percent="false" priority="277" stopIfTrue="false" type="duplicateValues"/>
  </conditionalFormatting>
  <conditionalFormatting pivot="false" sqref="D344">
    <cfRule aboveAverage="true" bottom="false" dxfId="0" equalAverage="false" percent="false" priority="276" stopIfTrue="false" type="duplicateValues"/>
  </conditionalFormatting>
  <conditionalFormatting pivot="false" sqref="D722 D724">
    <cfRule aboveAverage="true" bottom="false" dxfId="0" equalAverage="false" percent="false" priority="275" stopIfTrue="false" type="duplicateValues"/>
  </conditionalFormatting>
  <conditionalFormatting pivot="false" sqref="D518">
    <cfRule aboveAverage="true" bottom="false" dxfId="0" equalAverage="false" percent="false" priority="274" stopIfTrue="false" type="duplicateValues"/>
  </conditionalFormatting>
  <conditionalFormatting pivot="false" sqref="D18:D25 D28:D48 D50:D51 D53:D54 D56:D57 D59 D61:D65 D67:D68 D70:D74 D77 D80:D94 D96 D98:D105 D107:D108 D110 D113:D114 D117:D121 D123:D126 D128:D129 D132:D135 D137 D139 D145:D153 D155:D162 D164:D167 D170 D172 D176 D180:D191 D193:D202 D219 D456">
    <cfRule aboveAverage="true" bottom="false" dxfId="0" equalAverage="false" percent="false" priority="273" stopIfTrue="false" type="duplicateValues"/>
  </conditionalFormatting>
  <conditionalFormatting pivot="false" sqref="D406">
    <cfRule aboveAverage="true" bottom="false" dxfId="0" equalAverage="false" percent="false" priority="272" stopIfTrue="false" type="duplicateValues"/>
  </conditionalFormatting>
  <conditionalFormatting pivot="false" sqref="D461 D753 D755:D758 D760:D761">
    <cfRule aboveAverage="true" bottom="false" dxfId="0" equalAverage="false" percent="false" priority="271" stopIfTrue="false" type="duplicateValues"/>
  </conditionalFormatting>
  <conditionalFormatting pivot="false" sqref="D523">
    <cfRule aboveAverage="true" bottom="false" dxfId="0" equalAverage="false" percent="false" priority="270" stopIfTrue="false" type="duplicateValues"/>
  </conditionalFormatting>
  <conditionalFormatting pivot="false" sqref="D244">
    <cfRule aboveAverage="true" bottom="false" dxfId="0" equalAverage="false" percent="false" priority="269" stopIfTrue="false" type="duplicateValues"/>
  </conditionalFormatting>
  <conditionalFormatting pivot="false" sqref="D649">
    <cfRule aboveAverage="true" bottom="false" dxfId="0" equalAverage="false" percent="false" priority="268" stopIfTrue="false" type="duplicateValues"/>
  </conditionalFormatting>
  <conditionalFormatting pivot="false" sqref="D773">
    <cfRule aboveAverage="true" bottom="false" dxfId="0" equalAverage="false" percent="false" priority="267" stopIfTrue="false" type="duplicateValues"/>
  </conditionalFormatting>
  <conditionalFormatting pivot="false" sqref="D783 D790">
    <cfRule aboveAverage="true" bottom="false" dxfId="0" equalAverage="false" percent="false" priority="266" stopIfTrue="false" type="duplicateValues"/>
  </conditionalFormatting>
  <conditionalFormatting pivot="false" sqref="D419">
    <cfRule aboveAverage="true" bottom="false" dxfId="0" equalAverage="false" percent="false" priority="265" stopIfTrue="false" type="duplicateValues"/>
  </conditionalFormatting>
  <conditionalFormatting pivot="false" sqref="D284">
    <cfRule aboveAverage="true" bottom="false" dxfId="0" equalAverage="false" percent="false" priority="264" stopIfTrue="false" type="duplicateValues"/>
  </conditionalFormatting>
  <conditionalFormatting pivot="false" sqref="D818">
    <cfRule aboveAverage="true" bottom="false" dxfId="0" equalAverage="false" percent="false" priority="263" stopIfTrue="false" type="duplicateValues"/>
  </conditionalFormatting>
  <conditionalFormatting pivot="false" sqref="D819">
    <cfRule aboveAverage="true" bottom="false" dxfId="0" equalAverage="false" percent="false" priority="262" stopIfTrue="false" type="duplicateValues"/>
  </conditionalFormatting>
  <conditionalFormatting pivot="false" sqref="D815">
    <cfRule aboveAverage="true" bottom="false" dxfId="0" equalAverage="false" percent="false" priority="261" stopIfTrue="false" type="duplicateValues"/>
  </conditionalFormatting>
  <conditionalFormatting pivot="false" sqref="D579">
    <cfRule aboveAverage="true" bottom="false" dxfId="0" equalAverage="false" percent="false" priority="260" stopIfTrue="false" type="duplicateValues"/>
  </conditionalFormatting>
  <conditionalFormatting pivot="false" sqref="D582">
    <cfRule aboveAverage="true" bottom="false" dxfId="0" equalAverage="false" percent="false" priority="259" stopIfTrue="false" type="duplicateValues"/>
  </conditionalFormatting>
  <conditionalFormatting pivot="false" sqref="D376 D380">
    <cfRule aboveAverage="true" bottom="false" dxfId="0" equalAverage="false" percent="false" priority="258" stopIfTrue="false" type="duplicateValues"/>
  </conditionalFormatting>
  <conditionalFormatting pivot="false" sqref="D214">
    <cfRule aboveAverage="true" bottom="false" dxfId="0" equalAverage="false" percent="false" priority="257" stopIfTrue="false" type="duplicateValues"/>
  </conditionalFormatting>
  <conditionalFormatting pivot="false" sqref="D232">
    <cfRule aboveAverage="true" bottom="false" dxfId="0" equalAverage="false" percent="false" priority="256" stopIfTrue="false" type="duplicateValues"/>
  </conditionalFormatting>
  <conditionalFormatting pivot="false" sqref="D242">
    <cfRule aboveAverage="true" bottom="false" dxfId="0" equalAverage="false" percent="false" priority="255" stopIfTrue="false" type="duplicateValues"/>
  </conditionalFormatting>
  <conditionalFormatting pivot="false" sqref="D66">
    <cfRule aboveAverage="true" bottom="false" dxfId="0" equalAverage="false" percent="false" priority="254" stopIfTrue="false" type="duplicateValues"/>
  </conditionalFormatting>
  <conditionalFormatting pivot="false" sqref="D106">
    <cfRule aboveAverage="true" bottom="false" dxfId="0" equalAverage="false" percent="false" priority="253" stopIfTrue="false" type="duplicateValues"/>
  </conditionalFormatting>
  <conditionalFormatting pivot="false" sqref="D303">
    <cfRule aboveAverage="true" bottom="false" dxfId="0" equalAverage="false" percent="false" priority="252" stopIfTrue="false" type="duplicateValues"/>
  </conditionalFormatting>
  <conditionalFormatting pivot="false" sqref="D136">
    <cfRule aboveAverage="true" bottom="false" dxfId="0" equalAverage="false" percent="false" priority="251" stopIfTrue="false" type="duplicateValues"/>
  </conditionalFormatting>
  <conditionalFormatting pivot="false" sqref="D138">
    <cfRule aboveAverage="true" bottom="false" dxfId="0" equalAverage="false" percent="false" priority="250" stopIfTrue="false" type="duplicateValues"/>
  </conditionalFormatting>
  <conditionalFormatting pivot="false" sqref="D800">
    <cfRule aboveAverage="true" bottom="false" dxfId="0" equalAverage="false" percent="false" priority="249" stopIfTrue="false" type="duplicateValues"/>
  </conditionalFormatting>
  <conditionalFormatting pivot="false" sqref="D479">
    <cfRule aboveAverage="true" bottom="false" dxfId="0" equalAverage="false" percent="false" priority="248" stopIfTrue="false" type="duplicateValues"/>
  </conditionalFormatting>
  <conditionalFormatting pivot="false" sqref="D370:D372">
    <cfRule aboveAverage="true" bottom="false" dxfId="0" equalAverage="false" percent="false" priority="247" stopIfTrue="false" type="duplicateValues"/>
  </conditionalFormatting>
  <conditionalFormatting pivot="false" sqref="D210">
    <cfRule aboveAverage="true" bottom="false" dxfId="0" equalAverage="false" percent="false" priority="246" stopIfTrue="false" type="duplicateValues"/>
  </conditionalFormatting>
  <conditionalFormatting pivot="false" sqref="D218">
    <cfRule aboveAverage="true" bottom="false" dxfId="0" equalAverage="false" percent="false" priority="245" stopIfTrue="false" type="duplicateValues"/>
  </conditionalFormatting>
  <conditionalFormatting pivot="false" sqref="D532">
    <cfRule aboveAverage="true" bottom="false" dxfId="0" equalAverage="false" percent="false" priority="244" stopIfTrue="false" type="duplicateValues"/>
  </conditionalFormatting>
  <conditionalFormatting pivot="false" sqref="D534">
    <cfRule aboveAverage="true" bottom="false" dxfId="0" equalAverage="false" percent="false" priority="243" stopIfTrue="false" type="duplicateValues"/>
  </conditionalFormatting>
  <conditionalFormatting pivot="false" sqref="D248">
    <cfRule aboveAverage="true" bottom="false" dxfId="0" equalAverage="false" percent="false" priority="242" stopIfTrue="false" type="duplicateValues"/>
  </conditionalFormatting>
  <conditionalFormatting pivot="false" sqref="D596">
    <cfRule aboveAverage="true" bottom="false" dxfId="0" equalAverage="false" percent="false" priority="241" stopIfTrue="false" type="duplicateValues"/>
  </conditionalFormatting>
  <conditionalFormatting pivot="false" sqref="D267">
    <cfRule aboveAverage="true" bottom="false" dxfId="0" equalAverage="false" percent="false" priority="240" stopIfTrue="false" type="duplicateValues"/>
  </conditionalFormatting>
  <conditionalFormatting pivot="false" sqref="D645">
    <cfRule aboveAverage="true" bottom="false" dxfId="0" equalAverage="false" percent="false" priority="239" stopIfTrue="false" type="duplicateValues"/>
  </conditionalFormatting>
  <conditionalFormatting pivot="false" sqref="D309">
    <cfRule aboveAverage="true" bottom="false" dxfId="0" equalAverage="false" percent="false" priority="238" stopIfTrue="false" type="duplicateValues"/>
  </conditionalFormatting>
  <conditionalFormatting pivot="false" sqref="D436">
    <cfRule aboveAverage="true" bottom="false" dxfId="0" equalAverage="false" percent="false" priority="237" stopIfTrue="false" type="duplicateValues"/>
  </conditionalFormatting>
  <conditionalFormatting pivot="false" sqref="D333:D334">
    <cfRule aboveAverage="true" bottom="false" dxfId="0" equalAverage="false" percent="false" priority="236" stopIfTrue="false" type="duplicateValues"/>
  </conditionalFormatting>
  <conditionalFormatting pivot="false" sqref="D355">
    <cfRule aboveAverage="true" bottom="false" dxfId="0" equalAverage="false" percent="false" priority="235" stopIfTrue="false" type="duplicateValues"/>
  </conditionalFormatting>
  <conditionalFormatting pivot="false" sqref="D827">
    <cfRule aboveAverage="true" bottom="false" dxfId="0" equalAverage="false" percent="false" priority="234" stopIfTrue="false" type="duplicateValues"/>
  </conditionalFormatting>
  <conditionalFormatting pivot="false" sqref="D169">
    <cfRule aboveAverage="true" bottom="false" dxfId="0" equalAverage="false" percent="false" priority="233" stopIfTrue="false" type="duplicateValues"/>
  </conditionalFormatting>
  <conditionalFormatting pivot="false" sqref="D173">
    <cfRule aboveAverage="true" bottom="false" dxfId="0" equalAverage="false" percent="false" priority="232" stopIfTrue="false" type="duplicateValues"/>
  </conditionalFormatting>
  <conditionalFormatting pivot="false" sqref="D246">
    <cfRule aboveAverage="true" bottom="false" dxfId="0" equalAverage="false" percent="false" priority="231" stopIfTrue="false" type="duplicateValues"/>
  </conditionalFormatting>
  <conditionalFormatting pivot="false" sqref="D270">
    <cfRule aboveAverage="true" bottom="false" dxfId="0" equalAverage="false" percent="false" priority="230" stopIfTrue="false" type="duplicateValues"/>
  </conditionalFormatting>
  <conditionalFormatting pivot="false" sqref="D631">
    <cfRule aboveAverage="true" bottom="false" dxfId="0" equalAverage="false" percent="false" priority="229" stopIfTrue="false" type="duplicateValues"/>
  </conditionalFormatting>
  <conditionalFormatting pivot="false" sqref="D283">
    <cfRule aboveAverage="true" bottom="false" dxfId="0" equalAverage="false" percent="false" priority="228" stopIfTrue="false" type="duplicateValues"/>
  </conditionalFormatting>
  <conditionalFormatting pivot="false" sqref="D295">
    <cfRule aboveAverage="true" bottom="false" dxfId="0" equalAverage="false" percent="false" priority="227" stopIfTrue="false" type="duplicateValues"/>
  </conditionalFormatting>
  <conditionalFormatting pivot="false" sqref="D315">
    <cfRule aboveAverage="true" bottom="false" dxfId="0" equalAverage="false" percent="false" priority="226" stopIfTrue="false" type="duplicateValues"/>
  </conditionalFormatting>
  <conditionalFormatting pivot="false" sqref="D455">
    <cfRule aboveAverage="true" bottom="false" dxfId="0" equalAverage="false" percent="false" priority="225" stopIfTrue="false" type="duplicateValues"/>
  </conditionalFormatting>
  <conditionalFormatting pivot="false" sqref="D175">
    <cfRule aboveAverage="true" bottom="false" dxfId="0" equalAverage="false" percent="false" priority="224" stopIfTrue="false" type="duplicateValues"/>
  </conditionalFormatting>
  <conditionalFormatting pivot="false" sqref="D49">
    <cfRule aboveAverage="true" bottom="false" dxfId="0" equalAverage="false" percent="false" priority="223" stopIfTrue="false" type="duplicateValues"/>
  </conditionalFormatting>
  <conditionalFormatting pivot="false" sqref="D243">
    <cfRule aboveAverage="true" bottom="false" dxfId="0" equalAverage="false" percent="false" priority="222" stopIfTrue="false" type="duplicateValues"/>
  </conditionalFormatting>
  <conditionalFormatting pivot="false" sqref="D662">
    <cfRule aboveAverage="true" bottom="false" dxfId="0" equalAverage="false" percent="false" priority="221" stopIfTrue="false" type="duplicateValues"/>
  </conditionalFormatting>
  <conditionalFormatting pivot="false" sqref="D502">
    <cfRule aboveAverage="true" bottom="false" dxfId="0" equalAverage="false" percent="false" priority="220" stopIfTrue="false" type="duplicateValues"/>
  </conditionalFormatting>
  <conditionalFormatting pivot="false" sqref="D585">
    <cfRule aboveAverage="true" bottom="false" dxfId="0" equalAverage="false" percent="false" priority="219" stopIfTrue="false" type="duplicateValues"/>
  </conditionalFormatting>
  <conditionalFormatting pivot="false" sqref="D388">
    <cfRule aboveAverage="true" bottom="false" dxfId="0" equalAverage="false" percent="false" priority="218" stopIfTrue="false" type="duplicateValues"/>
  </conditionalFormatting>
  <conditionalFormatting pivot="false" sqref="D221">
    <cfRule aboveAverage="true" bottom="false" dxfId="0" equalAverage="false" percent="false" priority="217" stopIfTrue="false" type="duplicateValues"/>
  </conditionalFormatting>
  <conditionalFormatting pivot="false" sqref="D222">
    <cfRule aboveAverage="true" bottom="false" dxfId="0" equalAverage="false" percent="false" priority="216" stopIfTrue="false" type="duplicateValues"/>
  </conditionalFormatting>
  <conditionalFormatting pivot="false" sqref="D245">
    <cfRule aboveAverage="true" bottom="false" dxfId="0" equalAverage="false" percent="false" priority="215" stopIfTrue="false" type="duplicateValues"/>
  </conditionalFormatting>
  <conditionalFormatting pivot="false" sqref="D249">
    <cfRule aboveAverage="true" bottom="false" dxfId="0" equalAverage="false" percent="false" priority="214" stopIfTrue="false" type="duplicateValues"/>
  </conditionalFormatting>
  <conditionalFormatting pivot="false" sqref="D280">
    <cfRule aboveAverage="true" bottom="false" dxfId="0" equalAverage="false" percent="false" priority="213" stopIfTrue="false" type="duplicateValues"/>
  </conditionalFormatting>
  <conditionalFormatting pivot="false" sqref="D319:D320">
    <cfRule aboveAverage="true" bottom="false" dxfId="0" equalAverage="false" percent="false" priority="212" stopIfTrue="false" type="duplicateValues"/>
  </conditionalFormatting>
  <conditionalFormatting pivot="false" sqref="D374">
    <cfRule aboveAverage="true" bottom="false" dxfId="0" equalAverage="false" percent="false" priority="211" stopIfTrue="false" type="duplicateValues"/>
  </conditionalFormatting>
  <conditionalFormatting pivot="false" sqref="D171">
    <cfRule aboveAverage="true" bottom="false" dxfId="0" equalAverage="false" percent="false" priority="210" stopIfTrue="false" type="duplicateValues"/>
  </conditionalFormatting>
  <conditionalFormatting pivot="false" sqref="D613">
    <cfRule aboveAverage="true" bottom="false" dxfId="0" equalAverage="false" percent="false" priority="209" stopIfTrue="false" type="duplicateValues"/>
  </conditionalFormatting>
  <conditionalFormatting pivot="false" sqref="D220">
    <cfRule aboveAverage="true" bottom="false" dxfId="0" equalAverage="false" percent="false" priority="208" stopIfTrue="false" type="duplicateValues"/>
  </conditionalFormatting>
  <conditionalFormatting pivot="false" sqref="D669">
    <cfRule aboveAverage="true" bottom="false" dxfId="0" equalAverage="false" percent="false" priority="207" stopIfTrue="false" type="duplicateValues"/>
  </conditionalFormatting>
  <conditionalFormatting pivot="false" sqref="D384">
    <cfRule aboveAverage="true" bottom="false" dxfId="0" equalAverage="false" percent="false" priority="206" stopIfTrue="false" type="duplicateValues"/>
  </conditionalFormatting>
  <conditionalFormatting pivot="false" sqref="D241">
    <cfRule aboveAverage="true" bottom="false" dxfId="0" equalAverage="false" percent="false" priority="205" stopIfTrue="false" type="duplicateValues"/>
  </conditionalFormatting>
  <conditionalFormatting pivot="false" sqref="D421">
    <cfRule aboveAverage="true" bottom="false" dxfId="0" equalAverage="false" percent="false" priority="204" stopIfTrue="false" type="duplicateValues"/>
  </conditionalFormatting>
  <conditionalFormatting pivot="false" sqref="D307">
    <cfRule aboveAverage="true" bottom="false" dxfId="0" equalAverage="false" percent="false" priority="203" stopIfTrue="false" type="duplicateValues"/>
  </conditionalFormatting>
  <conditionalFormatting pivot="false" sqref="D485">
    <cfRule aboveAverage="true" bottom="false" dxfId="0" equalAverage="false" percent="false" priority="202" stopIfTrue="false" type="duplicateValues"/>
  </conditionalFormatting>
  <conditionalFormatting pivot="false" sqref="D555">
    <cfRule aboveAverage="true" bottom="false" dxfId="0" equalAverage="false" percent="false" priority="201" stopIfTrue="false" type="duplicateValues"/>
  </conditionalFormatting>
  <conditionalFormatting pivot="false" sqref="D593">
    <cfRule aboveAverage="true" bottom="false" dxfId="0" equalAverage="false" percent="false" priority="200" stopIfTrue="false" type="duplicateValues"/>
  </conditionalFormatting>
  <conditionalFormatting pivot="false" sqref="D642">
    <cfRule aboveAverage="true" bottom="false" dxfId="0" equalAverage="false" percent="false" priority="199" stopIfTrue="false" type="duplicateValues"/>
  </conditionalFormatting>
  <conditionalFormatting pivot="false" sqref="D646">
    <cfRule aboveAverage="true" bottom="false" dxfId="0" equalAverage="false" percent="false" priority="198" stopIfTrue="false" type="duplicateValues"/>
  </conditionalFormatting>
  <conditionalFormatting pivot="false" sqref="D680">
    <cfRule aboveAverage="true" bottom="false" dxfId="0" equalAverage="false" percent="false" priority="197" stopIfTrue="false" type="duplicateValues"/>
  </conditionalFormatting>
  <conditionalFormatting pivot="false" sqref="D698">
    <cfRule aboveAverage="true" bottom="false" dxfId="0" equalAverage="false" percent="false" priority="196" stopIfTrue="false" type="duplicateValues"/>
  </conditionalFormatting>
  <conditionalFormatting pivot="false" sqref="D767">
    <cfRule aboveAverage="true" bottom="false" dxfId="0" equalAverage="false" percent="false" priority="195" stopIfTrue="false" type="duplicateValues"/>
  </conditionalFormatting>
  <conditionalFormatting pivot="false" sqref="D759">
    <cfRule aboveAverage="true" bottom="false" dxfId="0" equalAverage="false" percent="false" priority="194" stopIfTrue="false" type="duplicateValues"/>
  </conditionalFormatting>
  <conditionalFormatting pivot="false" sqref="D736">
    <cfRule aboveAverage="true" bottom="false" dxfId="0" equalAverage="false" percent="false" priority="193" stopIfTrue="false" type="duplicateValues"/>
  </conditionalFormatting>
  <conditionalFormatting pivot="false" sqref="D301">
    <cfRule aboveAverage="true" bottom="false" dxfId="0" equalAverage="false" percent="false" priority="192" stopIfTrue="false" type="duplicateValues"/>
  </conditionalFormatting>
  <conditionalFormatting pivot="false" sqref="D367">
    <cfRule aboveAverage="true" bottom="false" dxfId="0" equalAverage="false" percent="false" priority="191" stopIfTrue="false" type="duplicateValues"/>
  </conditionalFormatting>
  <conditionalFormatting pivot="false" sqref="D489">
    <cfRule aboveAverage="true" bottom="false" dxfId="0" equalAverage="false" percent="false" priority="190" stopIfTrue="false" type="duplicateValues"/>
  </conditionalFormatting>
  <conditionalFormatting pivot="false" sqref="D592">
    <cfRule aboveAverage="true" bottom="false" dxfId="0" equalAverage="false" percent="false" priority="189" stopIfTrue="false" type="duplicateValues"/>
  </conditionalFormatting>
  <conditionalFormatting pivot="false" sqref="D590">
    <cfRule aboveAverage="true" bottom="false" dxfId="0" equalAverage="false" percent="false" priority="188" stopIfTrue="false" type="duplicateValues"/>
  </conditionalFormatting>
  <conditionalFormatting pivot="false" sqref="D594">
    <cfRule aboveAverage="true" bottom="false" dxfId="0" equalAverage="false" percent="false" priority="187" stopIfTrue="false" type="duplicateValues"/>
  </conditionalFormatting>
  <conditionalFormatting pivot="false" sqref="D615">
    <cfRule aboveAverage="true" bottom="false" dxfId="0" equalAverage="false" percent="false" priority="186" stopIfTrue="false" type="duplicateValues"/>
  </conditionalFormatting>
  <conditionalFormatting pivot="false" sqref="D638">
    <cfRule aboveAverage="true" bottom="false" dxfId="0" equalAverage="false" percent="false" priority="185" stopIfTrue="false" type="duplicateValues"/>
  </conditionalFormatting>
  <conditionalFormatting pivot="false" sqref="D423">
    <cfRule aboveAverage="true" bottom="false" dxfId="0" equalAverage="false" percent="false" priority="184" stopIfTrue="false" type="duplicateValues"/>
  </conditionalFormatting>
  <conditionalFormatting pivot="false" sqref="D692">
    <cfRule aboveAverage="true" bottom="false" dxfId="0" equalAverage="false" percent="false" priority="183" stopIfTrue="false" type="duplicateValues"/>
  </conditionalFormatting>
  <conditionalFormatting pivot="false" sqref="D451">
    <cfRule aboveAverage="true" bottom="false" dxfId="0" equalAverage="false" percent="false" priority="182" stopIfTrue="false" type="duplicateValues"/>
  </conditionalFormatting>
  <conditionalFormatting pivot="false" sqref="D728">
    <cfRule aboveAverage="true" bottom="false" dxfId="0" equalAverage="false" percent="false" priority="181" stopIfTrue="false" type="duplicateValues"/>
  </conditionalFormatting>
  <conditionalFormatting pivot="false" sqref="D468">
    <cfRule aboveAverage="true" bottom="false" dxfId="0" equalAverage="false" percent="false" priority="180" stopIfTrue="false" type="duplicateValues"/>
  </conditionalFormatting>
  <conditionalFormatting pivot="false" sqref="D470">
    <cfRule aboveAverage="true" bottom="false" dxfId="0" equalAverage="false" percent="false" priority="179" stopIfTrue="false" type="duplicateValues"/>
  </conditionalFormatting>
  <conditionalFormatting pivot="false" sqref="D477">
    <cfRule aboveAverage="true" bottom="false" dxfId="0" equalAverage="false" percent="false" priority="178" stopIfTrue="false" type="duplicateValues"/>
  </conditionalFormatting>
  <conditionalFormatting pivot="false" sqref="D805">
    <cfRule aboveAverage="true" bottom="false" dxfId="0" equalAverage="false" percent="false" priority="177" stopIfTrue="false" type="duplicateValues"/>
  </conditionalFormatting>
  <conditionalFormatting pivot="false" sqref="D382">
    <cfRule aboveAverage="true" bottom="false" dxfId="0" equalAverage="false" percent="false" priority="176" stopIfTrue="false" type="duplicateValues"/>
  </conditionalFormatting>
  <conditionalFormatting pivot="false" sqref="D591">
    <cfRule aboveAverage="true" bottom="false" dxfId="0" equalAverage="false" percent="false" priority="175" stopIfTrue="false" type="duplicateValues"/>
  </conditionalFormatting>
  <conditionalFormatting pivot="false" sqref="D658">
    <cfRule aboveAverage="true" bottom="false" dxfId="0" equalAverage="false" percent="false" priority="174" stopIfTrue="false" type="duplicateValues"/>
  </conditionalFormatting>
  <conditionalFormatting pivot="false" sqref="D250">
    <cfRule aboveAverage="true" bottom="false" dxfId="0" equalAverage="false" percent="false" priority="173" stopIfTrue="false" type="duplicateValues"/>
  </conditionalFormatting>
  <conditionalFormatting pivot="false" sqref="D414">
    <cfRule aboveAverage="true" bottom="false" dxfId="0" equalAverage="false" percent="false" priority="172" stopIfTrue="false" type="duplicateValues"/>
  </conditionalFormatting>
  <conditionalFormatting pivot="false" sqref="D425">
    <cfRule aboveAverage="true" bottom="false" dxfId="0" equalAverage="false" percent="false" priority="171" stopIfTrue="false" type="duplicateValues"/>
  </conditionalFormatting>
  <conditionalFormatting pivot="false" sqref="D426">
    <cfRule aboveAverage="true" bottom="false" dxfId="0" equalAverage="false" percent="false" priority="170" stopIfTrue="false" type="duplicateValues"/>
  </conditionalFormatting>
  <conditionalFormatting pivot="false" sqref="D458">
    <cfRule aboveAverage="true" bottom="false" dxfId="0" equalAverage="false" percent="false" priority="169" stopIfTrue="false" type="duplicateValues"/>
  </conditionalFormatting>
  <conditionalFormatting pivot="false" sqref="D467">
    <cfRule aboveAverage="true" bottom="false" dxfId="0" equalAverage="false" percent="false" priority="168" stopIfTrue="false" type="duplicateValues"/>
  </conditionalFormatting>
  <conditionalFormatting pivot="false" sqref="D378">
    <cfRule aboveAverage="true" bottom="false" dxfId="0" equalAverage="false" percent="false" priority="167" stopIfTrue="false" type="duplicateValues"/>
  </conditionalFormatting>
  <conditionalFormatting pivot="false" sqref="D377">
    <cfRule aboveAverage="true" bottom="false" dxfId="0" equalAverage="false" percent="false" priority="166" stopIfTrue="false" type="duplicateValues"/>
  </conditionalFormatting>
  <conditionalFormatting pivot="false" sqref="D595">
    <cfRule aboveAverage="true" bottom="false" dxfId="0" equalAverage="false" percent="false" priority="165" stopIfTrue="false" type="duplicateValues"/>
  </conditionalFormatting>
  <conditionalFormatting pivot="false" sqref="D433">
    <cfRule aboveAverage="true" bottom="false" dxfId="0" equalAverage="false" percent="false" priority="164" stopIfTrue="false" type="duplicateValues"/>
  </conditionalFormatting>
  <conditionalFormatting pivot="false" sqref="CG373">
    <cfRule aboveAverage="true" bottom="false" dxfId="0" equalAverage="false" percent="false" priority="163" stopIfTrue="false" type="duplicateValues"/>
  </conditionalFormatting>
  <conditionalFormatting pivot="false" sqref="CG375 CG480">
    <cfRule aboveAverage="true" bottom="false" dxfId="0" equalAverage="false" percent="false" priority="162" stopIfTrue="false" type="duplicateValues"/>
  </conditionalFormatting>
  <conditionalFormatting pivot="false" sqref="CG217 CG336 CG339 CG368:CG369 CG376 CG733:CG735 CG750 CG785 CG787">
    <cfRule aboveAverage="true" bottom="false" dxfId="0" equalAverage="false" percent="false" priority="161" stopIfTrue="false" type="duplicateValues"/>
  </conditionalFormatting>
  <conditionalFormatting pivot="false" sqref="CG345 CG348">
    <cfRule aboveAverage="true" bottom="false" dxfId="0" equalAverage="false" percent="false" priority="160" stopIfTrue="false" type="duplicateValues"/>
  </conditionalFormatting>
  <conditionalFormatting pivot="false" sqref="CG762:CG765 CG768:CG769 CG776">
    <cfRule aboveAverage="true" bottom="false" dxfId="0" equalAverage="false" percent="false" priority="159" stopIfTrue="false" type="duplicateValues"/>
  </conditionalFormatting>
  <conditionalFormatting pivot="false" sqref="CG344">
    <cfRule aboveAverage="true" bottom="false" dxfId="0" equalAverage="false" percent="false" priority="158" stopIfTrue="false" type="duplicateValues"/>
  </conditionalFormatting>
  <conditionalFormatting pivot="false" sqref="CG722 CG724">
    <cfRule aboveAverage="true" bottom="false" dxfId="0" equalAverage="false" percent="false" priority="157" stopIfTrue="false" type="duplicateValues"/>
  </conditionalFormatting>
  <conditionalFormatting pivot="false" sqref="CG18:CG25 CG28:CG48 CG50:CG51 CG53 CG56:CG57 CG59 CG61:CG65 CG67:CG68 CG70:CG74 CG77 CG80:CG94 CG96 CG98:CG105 CG107:CG108 CG110 CG113:CG114 CG117:CG121 CG123:CG126 CG128:CG129 CG132:CG135 CG137 CG139 CG145:CG153 CG155:CG162 CG164:CG167 CG170 CG172 CG176 CG180:CG191 CG193:CG202 CG219 CG225 CG456">
    <cfRule aboveAverage="true" bottom="false" dxfId="0" equalAverage="false" percent="false" priority="156" stopIfTrue="false" type="duplicateValues"/>
  </conditionalFormatting>
  <conditionalFormatting pivot="false" sqref="CG783 CG790">
    <cfRule aboveAverage="true" bottom="false" dxfId="0" equalAverage="false" percent="false" priority="155" stopIfTrue="false" type="duplicateValues"/>
  </conditionalFormatting>
  <conditionalFormatting pivot="false" sqref="CG461 CG753 CG755:CG758 CG760:CG761">
    <cfRule aboveAverage="true" bottom="false" dxfId="0" equalAverage="false" percent="false" priority="154" stopIfTrue="false" type="duplicateValues"/>
  </conditionalFormatting>
  <conditionalFormatting pivot="false" sqref="CG244">
    <cfRule aboveAverage="true" bottom="false" dxfId="0" equalAverage="false" percent="false" priority="153" stopIfTrue="false" type="duplicateValues"/>
  </conditionalFormatting>
  <conditionalFormatting pivot="false" sqref="CG773">
    <cfRule aboveAverage="true" bottom="false" dxfId="0" equalAverage="false" percent="false" priority="152" stopIfTrue="false" type="duplicateValues"/>
  </conditionalFormatting>
  <conditionalFormatting pivot="false" sqref="CG54">
    <cfRule aboveAverage="true" bottom="false" dxfId="0" equalAverage="false" percent="false" priority="151" stopIfTrue="false" type="duplicateValues"/>
  </conditionalFormatting>
  <conditionalFormatting pivot="false" sqref="CG818">
    <cfRule aboveAverage="true" bottom="false" dxfId="0" equalAverage="false" percent="false" priority="150" stopIfTrue="false" type="duplicateValues"/>
  </conditionalFormatting>
  <conditionalFormatting pivot="false" sqref="CG819">
    <cfRule aboveAverage="true" bottom="false" dxfId="0" equalAverage="false" percent="false" priority="149" stopIfTrue="false" type="duplicateValues"/>
  </conditionalFormatting>
  <conditionalFormatting pivot="false" sqref="CG815">
    <cfRule aboveAverage="true" bottom="false" dxfId="0" equalAverage="false" percent="false" priority="148" stopIfTrue="false" type="duplicateValues"/>
  </conditionalFormatting>
  <conditionalFormatting pivot="false" sqref="CG214">
    <cfRule aboveAverage="true" bottom="false" dxfId="0" equalAverage="false" percent="false" priority="147" stopIfTrue="false" type="duplicateValues"/>
  </conditionalFormatting>
  <conditionalFormatting pivot="false" sqref="CG232">
    <cfRule aboveAverage="true" bottom="false" dxfId="0" equalAverage="false" percent="false" priority="146" stopIfTrue="false" type="duplicateValues"/>
  </conditionalFormatting>
  <conditionalFormatting pivot="false" sqref="CG242">
    <cfRule aboveAverage="true" bottom="false" dxfId="0" equalAverage="false" percent="false" priority="145" stopIfTrue="false" type="duplicateValues"/>
  </conditionalFormatting>
  <conditionalFormatting pivot="false" sqref="CG66">
    <cfRule aboveAverage="true" bottom="false" dxfId="0" equalAverage="false" percent="false" priority="144" stopIfTrue="false" type="duplicateValues"/>
  </conditionalFormatting>
  <conditionalFormatting pivot="false" sqref="CG106">
    <cfRule aboveAverage="true" bottom="false" dxfId="0" equalAverage="false" percent="false" priority="143" stopIfTrue="false" type="duplicateValues"/>
  </conditionalFormatting>
  <conditionalFormatting pivot="false" sqref="CG303">
    <cfRule aboveAverage="true" bottom="false" dxfId="0" equalAverage="false" percent="false" priority="142" stopIfTrue="false" type="duplicateValues"/>
  </conditionalFormatting>
  <conditionalFormatting pivot="false" sqref="CG136">
    <cfRule aboveAverage="true" bottom="false" dxfId="0" equalAverage="false" percent="false" priority="141" stopIfTrue="false" type="duplicateValues"/>
  </conditionalFormatting>
  <conditionalFormatting pivot="false" sqref="CG138">
    <cfRule aboveAverage="true" bottom="false" dxfId="0" equalAverage="false" percent="false" priority="140" stopIfTrue="false" type="duplicateValues"/>
  </conditionalFormatting>
  <conditionalFormatting pivot="false" sqref="CG800">
    <cfRule aboveAverage="true" bottom="false" dxfId="0" equalAverage="false" percent="false" priority="139" stopIfTrue="false" type="duplicateValues"/>
  </conditionalFormatting>
  <conditionalFormatting pivot="false" sqref="CG479">
    <cfRule aboveAverage="true" bottom="false" dxfId="0" equalAverage="false" percent="false" priority="138" stopIfTrue="false" type="duplicateValues"/>
  </conditionalFormatting>
  <conditionalFormatting pivot="false" sqref="CG370:CG372">
    <cfRule aboveAverage="true" bottom="false" dxfId="0" equalAverage="false" percent="false" priority="137" stopIfTrue="false" type="duplicateValues"/>
  </conditionalFormatting>
  <conditionalFormatting pivot="false" sqref="CG210">
    <cfRule aboveAverage="true" bottom="false" dxfId="0" equalAverage="false" percent="false" priority="136" stopIfTrue="false" type="duplicateValues"/>
  </conditionalFormatting>
  <conditionalFormatting pivot="false" sqref="CG218">
    <cfRule aboveAverage="true" bottom="false" dxfId="0" equalAverage="false" percent="false" priority="135" stopIfTrue="false" type="duplicateValues"/>
  </conditionalFormatting>
  <conditionalFormatting pivot="false" sqref="CG248">
    <cfRule aboveAverage="true" bottom="false" dxfId="0" equalAverage="false" percent="false" priority="134" stopIfTrue="false" type="duplicateValues"/>
  </conditionalFormatting>
  <conditionalFormatting pivot="false" sqref="CG267">
    <cfRule aboveAverage="true" bottom="false" dxfId="0" equalAverage="false" percent="false" priority="133" stopIfTrue="false" type="duplicateValues"/>
  </conditionalFormatting>
  <conditionalFormatting pivot="false" sqref="CG309">
    <cfRule aboveAverage="true" bottom="false" dxfId="0" equalAverage="false" percent="false" priority="132" stopIfTrue="false" type="duplicateValues"/>
  </conditionalFormatting>
  <conditionalFormatting pivot="false" sqref="CG436">
    <cfRule aboveAverage="true" bottom="false" dxfId="0" equalAverage="false" percent="false" priority="131" stopIfTrue="false" type="duplicateValues"/>
  </conditionalFormatting>
  <conditionalFormatting pivot="false" sqref="CG333:CG334">
    <cfRule aboveAverage="true" bottom="false" dxfId="0" equalAverage="false" percent="false" priority="130" stopIfTrue="false" type="duplicateValues"/>
  </conditionalFormatting>
  <conditionalFormatting pivot="false" sqref="CG355">
    <cfRule aboveAverage="true" bottom="false" dxfId="0" equalAverage="false" percent="false" priority="129" stopIfTrue="false" type="duplicateValues"/>
  </conditionalFormatting>
  <conditionalFormatting pivot="false" sqref="CG827">
    <cfRule aboveAverage="true" bottom="false" dxfId="0" equalAverage="false" percent="false" priority="128" stopIfTrue="false" type="duplicateValues"/>
  </conditionalFormatting>
  <conditionalFormatting pivot="false" sqref="CG246">
    <cfRule aboveAverage="true" bottom="false" dxfId="0" equalAverage="false" percent="false" priority="127" stopIfTrue="false" type="duplicateValues"/>
  </conditionalFormatting>
  <conditionalFormatting pivot="false" sqref="CG270">
    <cfRule aboveAverage="true" bottom="false" dxfId="0" equalAverage="false" percent="false" priority="126" stopIfTrue="false" type="duplicateValues"/>
  </conditionalFormatting>
  <conditionalFormatting pivot="false" sqref="CG283">
    <cfRule aboveAverage="true" bottom="false" dxfId="0" equalAverage="false" percent="false" priority="125" stopIfTrue="false" type="duplicateValues"/>
  </conditionalFormatting>
  <conditionalFormatting pivot="false" sqref="CG295">
    <cfRule aboveAverage="true" bottom="false" dxfId="0" equalAverage="false" percent="false" priority="124" stopIfTrue="false" type="duplicateValues"/>
  </conditionalFormatting>
  <conditionalFormatting pivot="false" sqref="CG315">
    <cfRule aboveAverage="true" bottom="false" dxfId="0" equalAverage="false" percent="false" priority="123" stopIfTrue="false" type="duplicateValues"/>
  </conditionalFormatting>
  <conditionalFormatting pivot="false" sqref="CG455">
    <cfRule aboveAverage="true" bottom="false" dxfId="0" equalAverage="false" percent="false" priority="122" stopIfTrue="false" type="duplicateValues"/>
  </conditionalFormatting>
  <conditionalFormatting pivot="false" sqref="CG175">
    <cfRule aboveAverage="true" bottom="false" dxfId="0" equalAverage="false" percent="false" priority="121" stopIfTrue="false" type="duplicateValues"/>
  </conditionalFormatting>
  <conditionalFormatting pivot="false" sqref="CG49">
    <cfRule aboveAverage="true" bottom="false" dxfId="0" equalAverage="false" percent="false" priority="120" stopIfTrue="false" type="duplicateValues"/>
  </conditionalFormatting>
  <conditionalFormatting pivot="false" sqref="CG243">
    <cfRule aboveAverage="true" bottom="false" dxfId="0" equalAverage="false" percent="false" priority="119" stopIfTrue="false" type="duplicateValues"/>
  </conditionalFormatting>
  <conditionalFormatting pivot="false" sqref="CG337">
    <cfRule aboveAverage="true" bottom="false" dxfId="0" equalAverage="false" percent="false" priority="118" stopIfTrue="false" type="duplicateValues"/>
  </conditionalFormatting>
  <conditionalFormatting pivot="false" sqref="CG388">
    <cfRule aboveAverage="true" bottom="false" dxfId="0" equalAverage="false" percent="false" priority="117" stopIfTrue="false" type="duplicateValues"/>
  </conditionalFormatting>
  <conditionalFormatting pivot="false" sqref="CG221">
    <cfRule aboveAverage="true" bottom="false" dxfId="0" equalAverage="false" percent="false" priority="116" stopIfTrue="false" type="duplicateValues"/>
  </conditionalFormatting>
  <conditionalFormatting pivot="false" sqref="CG222">
    <cfRule aboveAverage="true" bottom="false" dxfId="0" equalAverage="false" percent="false" priority="115" stopIfTrue="false" type="duplicateValues"/>
  </conditionalFormatting>
  <conditionalFormatting pivot="false" sqref="CG245">
    <cfRule aboveAverage="true" bottom="false" dxfId="0" equalAverage="false" percent="false" priority="114" stopIfTrue="false" type="duplicateValues"/>
  </conditionalFormatting>
  <conditionalFormatting pivot="false" sqref="CG249">
    <cfRule aboveAverage="true" bottom="false" dxfId="0" equalAverage="false" percent="false" priority="113" stopIfTrue="false" type="duplicateValues"/>
  </conditionalFormatting>
  <conditionalFormatting pivot="false" sqref="CG280">
    <cfRule aboveAverage="true" bottom="false" dxfId="0" equalAverage="false" percent="false" priority="112" stopIfTrue="false" type="duplicateValues"/>
  </conditionalFormatting>
  <conditionalFormatting pivot="false" sqref="CG319:CG320">
    <cfRule aboveAverage="true" bottom="false" dxfId="0" equalAverage="false" percent="false" priority="111" stopIfTrue="false" type="duplicateValues"/>
  </conditionalFormatting>
  <conditionalFormatting pivot="false" sqref="CG374">
    <cfRule aboveAverage="true" bottom="false" dxfId="0" equalAverage="false" percent="false" priority="110" stopIfTrue="false" type="duplicateValues"/>
  </conditionalFormatting>
  <conditionalFormatting pivot="false" sqref="CG220">
    <cfRule aboveAverage="true" bottom="false" dxfId="0" equalAverage="false" percent="false" priority="109" stopIfTrue="false" type="duplicateValues"/>
  </conditionalFormatting>
  <conditionalFormatting pivot="false" sqref="CG384">
    <cfRule aboveAverage="true" bottom="false" dxfId="0" equalAverage="false" percent="false" priority="108" stopIfTrue="false" type="duplicateValues"/>
  </conditionalFormatting>
  <conditionalFormatting pivot="false" sqref="CG241">
    <cfRule aboveAverage="true" bottom="false" dxfId="0" equalAverage="false" percent="false" priority="107" stopIfTrue="false" type="duplicateValues"/>
  </conditionalFormatting>
  <conditionalFormatting pivot="false" sqref="CG421">
    <cfRule aboveAverage="true" bottom="false" dxfId="0" equalAverage="false" percent="false" priority="106" stopIfTrue="false" type="duplicateValues"/>
  </conditionalFormatting>
  <conditionalFormatting pivot="false" sqref="CG307">
    <cfRule aboveAverage="true" bottom="false" dxfId="0" equalAverage="false" percent="false" priority="105" stopIfTrue="false" type="duplicateValues"/>
  </conditionalFormatting>
  <conditionalFormatting pivot="false" sqref="CG347">
    <cfRule aboveAverage="true" bottom="false" dxfId="0" equalAverage="false" percent="false" priority="104" stopIfTrue="false" type="duplicateValues"/>
  </conditionalFormatting>
  <conditionalFormatting pivot="false" sqref="CG680">
    <cfRule aboveAverage="true" bottom="false" dxfId="0" equalAverage="false" percent="false" priority="103" stopIfTrue="false" type="duplicateValues"/>
  </conditionalFormatting>
  <conditionalFormatting pivot="false" sqref="CG736">
    <cfRule aboveAverage="true" bottom="false" dxfId="0" equalAverage="false" percent="false" priority="102" stopIfTrue="false" type="duplicateValues"/>
  </conditionalFormatting>
  <conditionalFormatting pivot="false" sqref="CG471">
    <cfRule aboveAverage="true" bottom="false" dxfId="0" equalAverage="false" percent="false" priority="101" stopIfTrue="false" type="duplicateValues"/>
  </conditionalFormatting>
  <conditionalFormatting pivot="false" sqref="CG472">
    <cfRule aboveAverage="true" bottom="false" dxfId="0" equalAverage="false" percent="false" priority="100" stopIfTrue="false" type="duplicateValues"/>
  </conditionalFormatting>
  <conditionalFormatting pivot="false" sqref="CG367">
    <cfRule aboveAverage="true" bottom="false" dxfId="0" equalAverage="false" percent="false" priority="99" stopIfTrue="false" type="duplicateValues"/>
  </conditionalFormatting>
  <conditionalFormatting pivot="false" sqref="CG739">
    <cfRule aboveAverage="true" bottom="false" dxfId="0" equalAverage="false" percent="false" priority="98" stopIfTrue="false" type="duplicateValues"/>
  </conditionalFormatting>
  <conditionalFormatting pivot="false" sqref="CG752">
    <cfRule aboveAverage="true" bottom="false" dxfId="0" equalAverage="false" percent="false" priority="97" stopIfTrue="false" type="duplicateValues"/>
  </conditionalFormatting>
  <conditionalFormatting pivot="false" sqref="CG380">
    <cfRule aboveAverage="true" bottom="false" dxfId="0" equalAverage="false" percent="false" priority="96" stopIfTrue="false" type="duplicateValues"/>
  </conditionalFormatting>
  <conditionalFormatting pivot="false" sqref="CG405">
    <cfRule aboveAverage="true" bottom="false" dxfId="0" equalAverage="false" percent="false" priority="95" stopIfTrue="false" type="duplicateValues"/>
  </conditionalFormatting>
  <conditionalFormatting pivot="false" sqref="CG423">
    <cfRule aboveAverage="true" bottom="false" dxfId="0" equalAverage="false" percent="false" priority="94" stopIfTrue="false" type="duplicateValues"/>
  </conditionalFormatting>
  <conditionalFormatting pivot="false" sqref="CG728">
    <cfRule aboveAverage="true" bottom="false" dxfId="0" equalAverage="false" percent="false" priority="93" stopIfTrue="false" type="duplicateValues"/>
  </conditionalFormatting>
  <conditionalFormatting pivot="false" sqref="CG382">
    <cfRule aboveAverage="true" bottom="false" dxfId="0" equalAverage="false" percent="false" priority="92" stopIfTrue="false" type="duplicateValues"/>
  </conditionalFormatting>
  <conditionalFormatting pivot="false" sqref="CG250">
    <cfRule aboveAverage="true" bottom="false" dxfId="0" equalAverage="false" percent="false" priority="91" stopIfTrue="false" type="duplicateValues"/>
  </conditionalFormatting>
  <conditionalFormatting pivot="false" sqref="CG567">
    <cfRule aboveAverage="true" bottom="false" dxfId="0" equalAverage="false" percent="false" priority="90" stopIfTrue="false" type="duplicateValues"/>
  </conditionalFormatting>
  <conditionalFormatting pivot="false" sqref="CG414">
    <cfRule aboveAverage="true" bottom="false" dxfId="0" equalAverage="false" percent="false" priority="89" stopIfTrue="false" type="duplicateValues"/>
  </conditionalFormatting>
  <conditionalFormatting pivot="false" sqref="CG458">
    <cfRule aboveAverage="true" bottom="false" dxfId="0" equalAverage="false" percent="false" priority="88" stopIfTrue="false" type="duplicateValues"/>
  </conditionalFormatting>
  <conditionalFormatting pivot="false" sqref="CG467">
    <cfRule aboveAverage="true" bottom="false" dxfId="0" equalAverage="false" percent="false" priority="87" stopIfTrue="false" type="duplicateValues"/>
  </conditionalFormatting>
  <conditionalFormatting pivot="false" sqref="CG378">
    <cfRule aboveAverage="true" bottom="false" dxfId="0" equalAverage="false" percent="false" priority="86" stopIfTrue="false" type="duplicateValues"/>
  </conditionalFormatting>
  <conditionalFormatting pivot="false" sqref="CG377">
    <cfRule aboveAverage="true" bottom="false" dxfId="0" equalAverage="false" percent="false" priority="85" stopIfTrue="false" type="duplicateValues"/>
  </conditionalFormatting>
  <conditionalFormatting pivot="false" sqref="CG433">
    <cfRule aboveAverage="true" bottom="false" dxfId="0" equalAverage="false" percent="false" priority="84" stopIfTrue="false" type="duplicateValues"/>
  </conditionalFormatting>
  <conditionalFormatting pivot="false" sqref="D831">
    <cfRule aboveAverage="true" bottom="false" dxfId="0" equalAverage="false" percent="false" priority="83" stopIfTrue="false" type="duplicateValues"/>
  </conditionalFormatting>
  <conditionalFormatting pivot="false" sqref="D801">
    <cfRule aboveAverage="true" bottom="false" dxfId="0" equalAverage="false" percent="false" priority="82" stopIfTrue="false" type="duplicateValues"/>
  </conditionalFormatting>
  <conditionalFormatting pivot="false" sqref="CZ373">
    <cfRule aboveAverage="true" bottom="false" dxfId="0" equalAverage="false" percent="false" priority="81" stopIfTrue="false" type="duplicateValues"/>
  </conditionalFormatting>
  <conditionalFormatting pivot="false" sqref="CZ375 CZ480">
    <cfRule aboveAverage="true" bottom="false" dxfId="0" equalAverage="false" percent="false" priority="80" stopIfTrue="false" type="duplicateValues"/>
  </conditionalFormatting>
  <conditionalFormatting pivot="false" sqref="CZ217 CZ336 CZ339 CZ368:CZ369 CZ376 CZ733:CZ735 CZ750 CZ785 CZ787">
    <cfRule aboveAverage="true" bottom="false" dxfId="0" equalAverage="false" percent="false" priority="79" stopIfTrue="false" type="duplicateValues"/>
  </conditionalFormatting>
  <conditionalFormatting pivot="false" sqref="CZ345 CZ348">
    <cfRule aboveAverage="true" bottom="false" dxfId="0" equalAverage="false" percent="false" priority="78" stopIfTrue="false" type="duplicateValues"/>
  </conditionalFormatting>
  <conditionalFormatting pivot="false" sqref="CZ762:CZ765 CZ768:CZ769 CZ776">
    <cfRule aboveAverage="true" bottom="false" dxfId="0" equalAverage="false" percent="false" priority="77" stopIfTrue="false" type="duplicateValues"/>
  </conditionalFormatting>
  <conditionalFormatting pivot="false" sqref="CZ344">
    <cfRule aboveAverage="true" bottom="false" dxfId="0" equalAverage="false" percent="false" priority="76" stopIfTrue="false" type="duplicateValues"/>
  </conditionalFormatting>
  <conditionalFormatting pivot="false" sqref="CZ722 CZ724">
    <cfRule aboveAverage="true" bottom="false" dxfId="0" equalAverage="false" percent="false" priority="75" stopIfTrue="false" type="duplicateValues"/>
  </conditionalFormatting>
  <conditionalFormatting pivot="false" sqref="CZ18:CZ25 CZ28:CZ48 CZ50:CZ51 CZ53 CZ56:CZ57 CZ59 CZ61:CZ65 CZ67:CZ68 CZ70:CZ74 CZ77 CZ80:CZ94 CZ96 CZ98:CZ105 CZ107:CZ108 CZ110 CZ113:CZ114 CZ117:CZ121 CZ123:CZ126 CZ128:CZ129 CZ132:CZ135 CZ137 CZ139 CZ145:CZ153 CZ155:CZ162 CZ164:CZ167 CZ170 CZ172 CZ176 CZ180:CZ191 CZ193:CZ202 CZ219 CZ225 CZ456">
    <cfRule aboveAverage="true" bottom="false" dxfId="0" equalAverage="false" percent="false" priority="74" stopIfTrue="false" type="duplicateValues"/>
  </conditionalFormatting>
  <conditionalFormatting pivot="false" sqref="CZ783 CZ790">
    <cfRule aboveAverage="true" bottom="false" dxfId="0" equalAverage="false" percent="false" priority="73" stopIfTrue="false" type="duplicateValues"/>
  </conditionalFormatting>
  <conditionalFormatting pivot="false" sqref="CZ461 CZ753 CZ755:CZ758 CZ760:CZ761">
    <cfRule aboveAverage="true" bottom="false" dxfId="0" equalAverage="false" percent="false" priority="72" stopIfTrue="false" type="duplicateValues"/>
  </conditionalFormatting>
  <conditionalFormatting pivot="false" sqref="CZ244">
    <cfRule aboveAverage="true" bottom="false" dxfId="0" equalAverage="false" percent="false" priority="71" stopIfTrue="false" type="duplicateValues"/>
  </conditionalFormatting>
  <conditionalFormatting pivot="false" sqref="CZ773">
    <cfRule aboveAverage="true" bottom="false" dxfId="0" equalAverage="false" percent="false" priority="70" stopIfTrue="false" type="duplicateValues"/>
  </conditionalFormatting>
  <conditionalFormatting pivot="false" sqref="CZ54">
    <cfRule aboveAverage="true" bottom="false" dxfId="0" equalAverage="false" percent="false" priority="69" stopIfTrue="false" type="duplicateValues"/>
  </conditionalFormatting>
  <conditionalFormatting pivot="false" sqref="CZ818">
    <cfRule aboveAverage="true" bottom="false" dxfId="0" equalAverage="false" percent="false" priority="68" stopIfTrue="false" type="duplicateValues"/>
  </conditionalFormatting>
  <conditionalFormatting pivot="false" sqref="CZ819">
    <cfRule aboveAverage="true" bottom="false" dxfId="0" equalAverage="false" percent="false" priority="67" stopIfTrue="false" type="duplicateValues"/>
  </conditionalFormatting>
  <conditionalFormatting pivot="false" sqref="CZ815">
    <cfRule aboveAverage="true" bottom="false" dxfId="0" equalAverage="false" percent="false" priority="66" stopIfTrue="false" type="duplicateValues"/>
  </conditionalFormatting>
  <conditionalFormatting pivot="false" sqref="CZ214">
    <cfRule aboveAverage="true" bottom="false" dxfId="0" equalAverage="false" percent="false" priority="65" stopIfTrue="false" type="duplicateValues"/>
  </conditionalFormatting>
  <conditionalFormatting pivot="false" sqref="CZ232">
    <cfRule aboveAverage="true" bottom="false" dxfId="0" equalAverage="false" percent="false" priority="64" stopIfTrue="false" type="duplicateValues"/>
  </conditionalFormatting>
  <conditionalFormatting pivot="false" sqref="CZ242">
    <cfRule aboveAverage="true" bottom="false" dxfId="0" equalAverage="false" percent="false" priority="63" stopIfTrue="false" type="duplicateValues"/>
  </conditionalFormatting>
  <conditionalFormatting pivot="false" sqref="CZ66">
    <cfRule aboveAverage="true" bottom="false" dxfId="0" equalAverage="false" percent="false" priority="62" stopIfTrue="false" type="duplicateValues"/>
  </conditionalFormatting>
  <conditionalFormatting pivot="false" sqref="CZ106">
    <cfRule aboveAverage="true" bottom="false" dxfId="0" equalAverage="false" percent="false" priority="61" stopIfTrue="false" type="duplicateValues"/>
  </conditionalFormatting>
  <conditionalFormatting pivot="false" sqref="CZ303">
    <cfRule aboveAverage="true" bottom="false" dxfId="0" equalAverage="false" percent="false" priority="60" stopIfTrue="false" type="duplicateValues"/>
  </conditionalFormatting>
  <conditionalFormatting pivot="false" sqref="CZ136">
    <cfRule aboveAverage="true" bottom="false" dxfId="0" equalAverage="false" percent="false" priority="59" stopIfTrue="false" type="duplicateValues"/>
  </conditionalFormatting>
  <conditionalFormatting pivot="false" sqref="CZ138">
    <cfRule aboveAverage="true" bottom="false" dxfId="0" equalAverage="false" percent="false" priority="58" stopIfTrue="false" type="duplicateValues"/>
  </conditionalFormatting>
  <conditionalFormatting pivot="false" sqref="CZ800">
    <cfRule aboveAverage="true" bottom="false" dxfId="0" equalAverage="false" percent="false" priority="57" stopIfTrue="false" type="duplicateValues"/>
  </conditionalFormatting>
  <conditionalFormatting pivot="false" sqref="CZ479">
    <cfRule aboveAverage="true" bottom="false" dxfId="0" equalAverage="false" percent="false" priority="56" stopIfTrue="false" type="duplicateValues"/>
  </conditionalFormatting>
  <conditionalFormatting pivot="false" sqref="CZ370:CZ372">
    <cfRule aboveAverage="true" bottom="false" dxfId="0" equalAverage="false" percent="false" priority="55" stopIfTrue="false" type="duplicateValues"/>
  </conditionalFormatting>
  <conditionalFormatting pivot="false" sqref="CZ210">
    <cfRule aboveAverage="true" bottom="false" dxfId="0" equalAverage="false" percent="false" priority="54" stopIfTrue="false" type="duplicateValues"/>
  </conditionalFormatting>
  <conditionalFormatting pivot="false" sqref="CZ218">
    <cfRule aboveAverage="true" bottom="false" dxfId="0" equalAverage="false" percent="false" priority="53" stopIfTrue="false" type="duplicateValues"/>
  </conditionalFormatting>
  <conditionalFormatting pivot="false" sqref="CZ248">
    <cfRule aboveAverage="true" bottom="false" dxfId="0" equalAverage="false" percent="false" priority="52" stopIfTrue="false" type="duplicateValues"/>
  </conditionalFormatting>
  <conditionalFormatting pivot="false" sqref="CZ267">
    <cfRule aboveAverage="true" bottom="false" dxfId="0" equalAverage="false" percent="false" priority="51" stopIfTrue="false" type="duplicateValues"/>
  </conditionalFormatting>
  <conditionalFormatting pivot="false" sqref="CZ309">
    <cfRule aboveAverage="true" bottom="false" dxfId="0" equalAverage="false" percent="false" priority="50" stopIfTrue="false" type="duplicateValues"/>
  </conditionalFormatting>
  <conditionalFormatting pivot="false" sqref="CZ436">
    <cfRule aboveAverage="true" bottom="false" dxfId="0" equalAverage="false" percent="false" priority="49" stopIfTrue="false" type="duplicateValues"/>
  </conditionalFormatting>
  <conditionalFormatting pivot="false" sqref="CZ333:CZ334">
    <cfRule aboveAverage="true" bottom="false" dxfId="0" equalAverage="false" percent="false" priority="48" stopIfTrue="false" type="duplicateValues"/>
  </conditionalFormatting>
  <conditionalFormatting pivot="false" sqref="CZ355">
    <cfRule aboveAverage="true" bottom="false" dxfId="0" equalAverage="false" percent="false" priority="47" stopIfTrue="false" type="duplicateValues"/>
  </conditionalFormatting>
  <conditionalFormatting pivot="false" sqref="CZ827">
    <cfRule aboveAverage="true" bottom="false" dxfId="0" equalAverage="false" percent="false" priority="46" stopIfTrue="false" type="duplicateValues"/>
  </conditionalFormatting>
  <conditionalFormatting pivot="false" sqref="CZ246">
    <cfRule aboveAverage="true" bottom="false" dxfId="0" equalAverage="false" percent="false" priority="45" stopIfTrue="false" type="duplicateValues"/>
  </conditionalFormatting>
  <conditionalFormatting pivot="false" sqref="CZ270">
    <cfRule aboveAverage="true" bottom="false" dxfId="0" equalAverage="false" percent="false" priority="44" stopIfTrue="false" type="duplicateValues"/>
  </conditionalFormatting>
  <conditionalFormatting pivot="false" sqref="CZ283">
    <cfRule aboveAverage="true" bottom="false" dxfId="0" equalAverage="false" percent="false" priority="43" stopIfTrue="false" type="duplicateValues"/>
  </conditionalFormatting>
  <conditionalFormatting pivot="false" sqref="CZ295">
    <cfRule aboveAverage="true" bottom="false" dxfId="0" equalAverage="false" percent="false" priority="42" stopIfTrue="false" type="duplicateValues"/>
  </conditionalFormatting>
  <conditionalFormatting pivot="false" sqref="CZ315">
    <cfRule aboveAverage="true" bottom="false" dxfId="0" equalAverage="false" percent="false" priority="41" stopIfTrue="false" type="duplicateValues"/>
  </conditionalFormatting>
  <conditionalFormatting pivot="false" sqref="CZ455">
    <cfRule aboveAverage="true" bottom="false" dxfId="0" equalAverage="false" percent="false" priority="40" stopIfTrue="false" type="duplicateValues"/>
  </conditionalFormatting>
  <conditionalFormatting pivot="false" sqref="CZ175">
    <cfRule aboveAverage="true" bottom="false" dxfId="0" equalAverage="false" percent="false" priority="39" stopIfTrue="false" type="duplicateValues"/>
  </conditionalFormatting>
  <conditionalFormatting pivot="false" sqref="CZ49">
    <cfRule aboveAverage="true" bottom="false" dxfId="0" equalAverage="false" percent="false" priority="38" stopIfTrue="false" type="duplicateValues"/>
  </conditionalFormatting>
  <conditionalFormatting pivot="false" sqref="CZ243">
    <cfRule aboveAverage="true" bottom="false" dxfId="0" equalAverage="false" percent="false" priority="37" stopIfTrue="false" type="duplicateValues"/>
  </conditionalFormatting>
  <conditionalFormatting pivot="false" sqref="CZ337">
    <cfRule aboveAverage="true" bottom="false" dxfId="0" equalAverage="false" percent="false" priority="36" stopIfTrue="false" type="duplicateValues"/>
  </conditionalFormatting>
  <conditionalFormatting pivot="false" sqref="CZ388">
    <cfRule aboveAverage="true" bottom="false" dxfId="0" equalAverage="false" percent="false" priority="35" stopIfTrue="false" type="duplicateValues"/>
  </conditionalFormatting>
  <conditionalFormatting pivot="false" sqref="CZ221">
    <cfRule aboveAverage="true" bottom="false" dxfId="0" equalAverage="false" percent="false" priority="34" stopIfTrue="false" type="duplicateValues"/>
  </conditionalFormatting>
  <conditionalFormatting pivot="false" sqref="CZ222">
    <cfRule aboveAverage="true" bottom="false" dxfId="0" equalAverage="false" percent="false" priority="33" stopIfTrue="false" type="duplicateValues"/>
  </conditionalFormatting>
  <conditionalFormatting pivot="false" sqref="CZ245">
    <cfRule aboveAverage="true" bottom="false" dxfId="0" equalAverage="false" percent="false" priority="32" stopIfTrue="false" type="duplicateValues"/>
  </conditionalFormatting>
  <conditionalFormatting pivot="false" sqref="CZ249">
    <cfRule aboveAverage="true" bottom="false" dxfId="0" equalAverage="false" percent="false" priority="31" stopIfTrue="false" type="duplicateValues"/>
  </conditionalFormatting>
  <conditionalFormatting pivot="false" sqref="CZ280">
    <cfRule aboveAverage="true" bottom="false" dxfId="0" equalAverage="false" percent="false" priority="30" stopIfTrue="false" type="duplicateValues"/>
  </conditionalFormatting>
  <conditionalFormatting pivot="false" sqref="CZ319:CZ320">
    <cfRule aboveAverage="true" bottom="false" dxfId="0" equalAverage="false" percent="false" priority="29" stopIfTrue="false" type="duplicateValues"/>
  </conditionalFormatting>
  <conditionalFormatting pivot="false" sqref="CZ374">
    <cfRule aboveAverage="true" bottom="false" dxfId="0" equalAverage="false" percent="false" priority="28" stopIfTrue="false" type="duplicateValues"/>
  </conditionalFormatting>
  <conditionalFormatting pivot="false" sqref="CZ220">
    <cfRule aboveAverage="true" bottom="false" dxfId="0" equalAverage="false" percent="false" priority="27" stopIfTrue="false" type="duplicateValues"/>
  </conditionalFormatting>
  <conditionalFormatting pivot="false" sqref="CZ384">
    <cfRule aboveAverage="true" bottom="false" dxfId="0" equalAverage="false" percent="false" priority="26" stopIfTrue="false" type="duplicateValues"/>
  </conditionalFormatting>
  <conditionalFormatting pivot="false" sqref="CZ241">
    <cfRule aboveAverage="true" bottom="false" dxfId="0" equalAverage="false" percent="false" priority="25" stopIfTrue="false" type="duplicateValues"/>
  </conditionalFormatting>
  <conditionalFormatting pivot="false" sqref="CZ421">
    <cfRule aboveAverage="true" bottom="false" dxfId="0" equalAverage="false" percent="false" priority="24" stopIfTrue="false" type="duplicateValues"/>
  </conditionalFormatting>
  <conditionalFormatting pivot="false" sqref="CZ307">
    <cfRule aboveAverage="true" bottom="false" dxfId="0" equalAverage="false" percent="false" priority="23" stopIfTrue="false" type="duplicateValues"/>
  </conditionalFormatting>
  <conditionalFormatting pivot="false" sqref="CZ347">
    <cfRule aboveAverage="true" bottom="false" dxfId="0" equalAverage="false" percent="false" priority="22" stopIfTrue="false" type="duplicateValues"/>
  </conditionalFormatting>
  <conditionalFormatting pivot="false" sqref="CZ680">
    <cfRule aboveAverage="true" bottom="false" dxfId="0" equalAverage="false" percent="false" priority="21" stopIfTrue="false" type="duplicateValues"/>
  </conditionalFormatting>
  <conditionalFormatting pivot="false" sqref="CZ736">
    <cfRule aboveAverage="true" bottom="false" dxfId="0" equalAverage="false" percent="false" priority="20" stopIfTrue="false" type="duplicateValues"/>
  </conditionalFormatting>
  <conditionalFormatting pivot="false" sqref="CZ471">
    <cfRule aboveAverage="true" bottom="false" dxfId="0" equalAverage="false" percent="false" priority="19" stopIfTrue="false" type="duplicateValues"/>
  </conditionalFormatting>
  <conditionalFormatting pivot="false" sqref="CZ472">
    <cfRule aboveAverage="true" bottom="false" dxfId="0" equalAverage="false" percent="false" priority="18" stopIfTrue="false" type="duplicateValues"/>
  </conditionalFormatting>
  <conditionalFormatting pivot="false" sqref="CZ367">
    <cfRule aboveAverage="true" bottom="false" dxfId="0" equalAverage="false" percent="false" priority="17" stopIfTrue="false" type="duplicateValues"/>
  </conditionalFormatting>
  <conditionalFormatting pivot="false" sqref="CZ739">
    <cfRule aboveAverage="true" bottom="false" dxfId="0" equalAverage="false" percent="false" priority="16" stopIfTrue="false" type="duplicateValues"/>
  </conditionalFormatting>
  <conditionalFormatting pivot="false" sqref="CZ752">
    <cfRule aboveAverage="true" bottom="false" dxfId="0" equalAverage="false" percent="false" priority="15" stopIfTrue="false" type="duplicateValues"/>
  </conditionalFormatting>
  <conditionalFormatting pivot="false" sqref="CZ380">
    <cfRule aboveAverage="true" bottom="false" dxfId="0" equalAverage="false" percent="false" priority="14" stopIfTrue="false" type="duplicateValues"/>
  </conditionalFormatting>
  <conditionalFormatting pivot="false" sqref="CZ405">
    <cfRule aboveAverage="true" bottom="false" dxfId="0" equalAverage="false" percent="false" priority="13" stopIfTrue="false" type="duplicateValues"/>
  </conditionalFormatting>
  <conditionalFormatting pivot="false" sqref="CZ423">
    <cfRule aboveAverage="true" bottom="false" dxfId="0" equalAverage="false" percent="false" priority="12" stopIfTrue="false" type="duplicateValues"/>
  </conditionalFormatting>
  <conditionalFormatting pivot="false" sqref="CZ728">
    <cfRule aboveAverage="true" bottom="false" dxfId="0" equalAverage="false" percent="false" priority="11" stopIfTrue="false" type="duplicateValues"/>
  </conditionalFormatting>
  <conditionalFormatting pivot="false" sqref="CZ382">
    <cfRule aboveAverage="true" bottom="false" dxfId="0" equalAverage="false" percent="false" priority="10" stopIfTrue="false" type="duplicateValues"/>
  </conditionalFormatting>
  <conditionalFormatting pivot="false" sqref="CZ250">
    <cfRule aboveAverage="true" bottom="false" dxfId="0" equalAverage="false" percent="false" priority="9" stopIfTrue="false" type="duplicateValues"/>
  </conditionalFormatting>
  <conditionalFormatting pivot="false" sqref="CZ567">
    <cfRule aboveAverage="true" bottom="false" dxfId="0" equalAverage="false" percent="false" priority="8" stopIfTrue="false" type="duplicateValues"/>
  </conditionalFormatting>
  <conditionalFormatting pivot="false" sqref="CZ414">
    <cfRule aboveAverage="true" bottom="false" dxfId="0" equalAverage="false" percent="false" priority="7" stopIfTrue="false" type="duplicateValues"/>
  </conditionalFormatting>
  <conditionalFormatting pivot="false" sqref="CZ458">
    <cfRule aboveAverage="true" bottom="false" dxfId="0" equalAverage="false" percent="false" priority="6" stopIfTrue="false" type="duplicateValues"/>
  </conditionalFormatting>
  <conditionalFormatting pivot="false" sqref="CZ467">
    <cfRule aboveAverage="true" bottom="false" dxfId="0" equalAverage="false" percent="false" priority="5" stopIfTrue="false" type="duplicateValues"/>
  </conditionalFormatting>
  <conditionalFormatting pivot="false" sqref="CZ378">
    <cfRule aboveAverage="true" bottom="false" dxfId="0" equalAverage="false" percent="false" priority="4" stopIfTrue="false" type="duplicateValues"/>
  </conditionalFormatting>
  <conditionalFormatting pivot="false" sqref="CZ377">
    <cfRule aboveAverage="true" bottom="false" dxfId="0" equalAverage="false" percent="false" priority="3" stopIfTrue="false" type="duplicateValues"/>
  </conditionalFormatting>
  <conditionalFormatting pivot="false" sqref="CZ433">
    <cfRule aboveAverage="true" bottom="false" dxfId="0" equalAverage="false" percent="false" priority="2" stopIfTrue="false" type="duplicateValues"/>
  </conditionalFormatting>
  <conditionalFormatting pivot="false" sqref="N380">
    <cfRule aboveAverage="true" bottom="false" dxfId="0" equalAverage="false" percent="false" priority="1" stopIfTrue="false" type="duplicateValues"/>
  </conditionalFormatting>
  <pageMargins bottom="0.393700778484344" footer="0.31496062874794" header="0.31496062874794" left="0.393700778484344" right="0.393700778484344" top="0.393700778484344"/>
  <pageSetup fitToHeight="0" fitToWidth="1" orientation="landscape" paperHeight="297mm" paperSize="9" paperWidth="210mm" scale="100"/>
  <legacyDrawing r:id="rId1"/>
</worksheet>
</file>

<file path=xl/worksheets/sheet2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BZ877"/>
  <sheetViews>
    <sheetView showZeros="false" workbookViewId="0">
      <pane activePane="bottomLeft" state="frozen" topLeftCell="A13" xSplit="0" ySplit="12"/>
    </sheetView>
  </sheetViews>
  <sheetFormatPr baseColWidth="8" customHeight="false" defaultColWidth="9.14062530925693" defaultRowHeight="15" zeroHeight="false"/>
  <cols>
    <col customWidth="true" max="1" min="1" outlineLevel="0" style="1" width="8.14062514009074"/>
    <col customWidth="true" max="2" min="2" outlineLevel="0" style="1" width="9.00000016916618"/>
    <col customWidth="true" max="3" min="3" outlineLevel="0" style="1" width="32.4257818057373"/>
    <col customWidth="true" max="4" min="4" outlineLevel="0" style="1" width="65.5703114704652"/>
    <col customWidth="true" max="5" min="5" outlineLevel="0" style="1" width="18.5703123162961"/>
    <col customWidth="true" max="6" min="6" outlineLevel="0" style="1" width="21.1406246325922"/>
    <col customWidth="true" max="7" min="7" outlineLevel="0" style="1" width="16.8554693202751"/>
    <col customWidth="true" max="8" min="8" outlineLevel="0" style="1" width="18.4077273758417"/>
    <col customWidth="true" max="9" min="9" outlineLevel="0" style="1" width="16.8554693202751"/>
    <col customWidth="true" max="10" min="10" outlineLevel="0" style="1" width="18.1406248017584"/>
    <col customWidth="true" max="11" min="11" outlineLevel="0" style="1" width="16.8554693202751"/>
    <col customWidth="true" max="12" min="12" outlineLevel="0" style="1" width="18.2851563273142"/>
    <col customWidth="true" max="13" min="13" outlineLevel="0" style="1" width="16.8554693202751"/>
    <col customWidth="true" max="14" min="14" outlineLevel="0" style="1" width="20.4257811290726"/>
    <col customWidth="true" max="15" min="15" outlineLevel="0" style="1" width="16.8554693202751"/>
    <col customWidth="true" max="16" min="16" outlineLevel="0" style="1" width="19.710937625553"/>
    <col customWidth="true" max="18" min="17" outlineLevel="0" style="1" width="16.8554693202751"/>
    <col customWidth="true" max="19" min="19" outlineLevel="0" style="1" width="15.1406249709246"/>
    <col customWidth="true" max="20" min="20" outlineLevel="0" style="1" width="17.4257812982388"/>
    <col customWidth="true" max="21" min="21" outlineLevel="0" style="1" width="35.710937625553"/>
    <col bestFit="true" customWidth="true" max="16384" min="22" outlineLevel="0" style="1" width="9.14062530925693"/>
  </cols>
  <sheetData>
    <row outlineLevel="0" r="1">
      <c r="A1" s="20" t="n"/>
      <c r="B1" s="20" t="n"/>
      <c r="C1" s="20" t="n"/>
      <c r="Q1" s="289" t="n"/>
      <c r="R1" s="289" t="s">
        <v>790</v>
      </c>
    </row>
    <row outlineLevel="0" r="2">
      <c r="A2" s="20" t="n"/>
      <c r="B2" s="20" t="n"/>
      <c r="C2" s="20" t="n"/>
      <c r="R2" s="289" t="s">
        <v>1</v>
      </c>
    </row>
    <row outlineLevel="0" r="3">
      <c r="A3" s="20" t="n"/>
      <c r="B3" s="20" t="n"/>
      <c r="C3" s="20" t="n"/>
      <c r="R3" s="290" t="n"/>
    </row>
    <row outlineLevel="0" r="4">
      <c r="A4" s="20" t="n"/>
      <c r="B4" s="20" t="n"/>
      <c r="C4" s="20" t="n"/>
    </row>
    <row outlineLevel="0" r="5">
      <c r="A5" s="20" t="n"/>
      <c r="B5" s="20" t="n"/>
      <c r="C5" s="20" t="n"/>
    </row>
    <row ht="20.25" outlineLevel="0" r="6">
      <c r="A6" s="16" t="s">
        <v>791</v>
      </c>
      <c r="B6" s="16" t="s"/>
      <c r="C6" s="16" t="s"/>
      <c r="D6" s="16" t="s"/>
      <c r="E6" s="16" t="s"/>
      <c r="F6" s="16" t="s"/>
      <c r="G6" s="16" t="s"/>
      <c r="H6" s="16" t="s"/>
      <c r="I6" s="16" t="s"/>
      <c r="J6" s="16" t="s"/>
      <c r="K6" s="16" t="s"/>
      <c r="L6" s="16" t="s"/>
      <c r="M6" s="16" t="s"/>
      <c r="N6" s="16" t="s"/>
      <c r="O6" s="16" t="s"/>
      <c r="P6" s="16" t="s"/>
      <c r="Q6" s="16" t="s"/>
      <c r="R6" s="16" t="s"/>
    </row>
    <row outlineLevel="0" r="7">
      <c r="A7" s="20" t="n"/>
      <c r="B7" s="20" t="n"/>
      <c r="C7" s="20" t="n"/>
    </row>
    <row outlineLevel="0" r="8">
      <c r="A8" s="20" t="n"/>
      <c r="B8" s="20" t="n"/>
      <c r="C8" s="20" t="n"/>
    </row>
    <row customFormat="true" customHeight="true" ht="14.25" outlineLevel="0" r="9" s="26">
      <c r="A9" s="41" t="s">
        <v>7</v>
      </c>
      <c r="B9" s="41" t="s">
        <v>7</v>
      </c>
      <c r="C9" s="29" t="s">
        <v>8</v>
      </c>
      <c r="D9" s="29" t="s">
        <v>9</v>
      </c>
      <c r="E9" s="35" t="s">
        <v>21</v>
      </c>
      <c r="F9" s="291" t="s">
        <v>23</v>
      </c>
      <c r="G9" s="292" t="s"/>
      <c r="H9" s="292" t="s"/>
      <c r="I9" s="292" t="s"/>
      <c r="J9" s="292" t="s"/>
      <c r="K9" s="292" t="s"/>
      <c r="L9" s="292" t="s"/>
      <c r="M9" s="292" t="s"/>
      <c r="N9" s="292" t="s"/>
      <c r="O9" s="292" t="s"/>
      <c r="P9" s="292" t="s"/>
      <c r="Q9" s="292" t="s"/>
      <c r="R9" s="292" t="s"/>
      <c r="S9" s="292" t="s"/>
      <c r="T9" s="293" t="s"/>
    </row>
    <row customFormat="true" ht="14.25" outlineLevel="0" r="10" s="26">
      <c r="A10" s="46" t="s"/>
      <c r="B10" s="46" t="s"/>
      <c r="C10" s="47" t="s"/>
      <c r="D10" s="47" t="s"/>
      <c r="E10" s="53" t="s"/>
      <c r="F10" s="294" t="s">
        <v>30</v>
      </c>
      <c r="G10" s="295" t="s"/>
      <c r="H10" s="295" t="s"/>
      <c r="I10" s="295" t="s"/>
      <c r="J10" s="295" t="s"/>
      <c r="K10" s="295" t="s"/>
      <c r="L10" s="296" t="s"/>
      <c r="M10" s="35" t="s">
        <v>31</v>
      </c>
      <c r="N10" s="35" t="s">
        <v>32</v>
      </c>
      <c r="O10" s="35" t="s">
        <v>33</v>
      </c>
      <c r="P10" s="35" t="s">
        <v>39</v>
      </c>
      <c r="Q10" s="35" t="s">
        <v>35</v>
      </c>
      <c r="R10" s="35" t="s">
        <v>40</v>
      </c>
      <c r="S10" s="35" t="s">
        <v>37</v>
      </c>
      <c r="T10" s="35" t="s">
        <v>38</v>
      </c>
    </row>
    <row customFormat="true" customHeight="true" ht="177.75" outlineLevel="0" r="11" s="26">
      <c r="A11" s="46" t="s"/>
      <c r="B11" s="46" t="s"/>
      <c r="C11" s="47" t="s"/>
      <c r="D11" s="47" t="s"/>
      <c r="E11" s="64" t="s"/>
      <c r="F11" s="35" t="s">
        <v>47</v>
      </c>
      <c r="G11" s="35" t="s">
        <v>57</v>
      </c>
      <c r="H11" s="35" t="s">
        <v>49</v>
      </c>
      <c r="I11" s="35" t="s">
        <v>50</v>
      </c>
      <c r="J11" s="35" t="s">
        <v>51</v>
      </c>
      <c r="K11" s="35" t="s">
        <v>52</v>
      </c>
      <c r="L11" s="35" t="s">
        <v>53</v>
      </c>
      <c r="M11" s="64" t="s"/>
      <c r="N11" s="64" t="s"/>
      <c r="O11" s="64" t="s"/>
      <c r="P11" s="64" t="s"/>
      <c r="Q11" s="64" t="s"/>
      <c r="R11" s="64" t="s"/>
      <c r="S11" s="64" t="s"/>
      <c r="T11" s="64" t="s"/>
    </row>
    <row customFormat="true" ht="14.25" outlineLevel="0" r="12" s="26">
      <c r="A12" s="72" t="s"/>
      <c r="B12" s="72" t="s"/>
      <c r="C12" s="73" t="s"/>
      <c r="D12" s="73" t="s"/>
      <c r="E12" s="35" t="s">
        <v>60</v>
      </c>
      <c r="F12" s="35" t="s">
        <v>60</v>
      </c>
      <c r="G12" s="35" t="s">
        <v>60</v>
      </c>
      <c r="H12" s="35" t="s">
        <v>60</v>
      </c>
      <c r="I12" s="35" t="s">
        <v>60</v>
      </c>
      <c r="J12" s="35" t="s">
        <v>60</v>
      </c>
      <c r="K12" s="35" t="s">
        <v>60</v>
      </c>
      <c r="L12" s="35" t="s">
        <v>60</v>
      </c>
      <c r="M12" s="35" t="s">
        <v>60</v>
      </c>
      <c r="N12" s="35" t="s">
        <v>60</v>
      </c>
      <c r="O12" s="35" t="s">
        <v>60</v>
      </c>
      <c r="P12" s="35" t="s">
        <v>60</v>
      </c>
      <c r="Q12" s="35" t="s">
        <v>60</v>
      </c>
      <c r="R12" s="35" t="s">
        <v>60</v>
      </c>
      <c r="S12" s="35" t="s">
        <v>60</v>
      </c>
      <c r="T12" s="35" t="s">
        <v>60</v>
      </c>
      <c r="U12" s="297" t="n"/>
      <c r="V12" s="297" t="n"/>
      <c r="W12" s="297" t="n"/>
      <c r="X12" s="297" t="n"/>
      <c r="Y12" s="297" t="n"/>
      <c r="Z12" s="297" t="n"/>
      <c r="AA12" s="297" t="n"/>
      <c r="AB12" s="297" t="n"/>
      <c r="AC12" s="297" t="n"/>
      <c r="AD12" s="297" t="n"/>
      <c r="AE12" s="297" t="n"/>
      <c r="AF12" s="297" t="n"/>
      <c r="AG12" s="297" t="n"/>
      <c r="AH12" s="297" t="n"/>
      <c r="AI12" s="297" t="n"/>
      <c r="AJ12" s="297" t="n"/>
      <c r="AK12" s="297" t="n"/>
      <c r="AL12" s="297" t="n"/>
      <c r="AM12" s="297" t="n"/>
      <c r="AN12" s="297" t="n"/>
      <c r="AO12" s="297" t="n"/>
      <c r="AP12" s="297" t="n"/>
      <c r="AQ12" s="297" t="n"/>
      <c r="AR12" s="297" t="n"/>
      <c r="AS12" s="297" t="n"/>
      <c r="AT12" s="297" t="n"/>
      <c r="AU12" s="297" t="n"/>
      <c r="AV12" s="297" t="n"/>
      <c r="AW12" s="297" t="n"/>
      <c r="AX12" s="297" t="n"/>
      <c r="AY12" s="297" t="n"/>
      <c r="AZ12" s="297" t="n"/>
      <c r="BA12" s="297" t="n"/>
      <c r="BB12" s="297" t="n"/>
      <c r="BC12" s="297" t="n"/>
      <c r="BD12" s="297" t="n"/>
      <c r="BE12" s="297" t="n"/>
      <c r="BF12" s="297" t="n"/>
      <c r="BG12" s="297" t="n"/>
      <c r="BH12" s="297" t="n"/>
      <c r="BI12" s="297" t="n"/>
      <c r="BJ12" s="297" t="n"/>
      <c r="BK12" s="297" t="n"/>
      <c r="BL12" s="297" t="n"/>
      <c r="BM12" s="297" t="n"/>
      <c r="BN12" s="297" t="n"/>
      <c r="BO12" s="297" t="n"/>
      <c r="BP12" s="297" t="n"/>
    </row>
    <row customFormat="true" hidden="false" ht="14.25" outlineLevel="0" r="13" s="74">
      <c r="A13" s="76" t="n"/>
      <c r="B13" s="76" t="n"/>
      <c r="C13" s="77" t="n"/>
      <c r="D13" s="77" t="s">
        <v>62</v>
      </c>
      <c r="E13" s="298" t="n">
        <f aca="false" ca="false" dt2D="false" dtr="false" t="normal">+E14+E206+E481</f>
        <v>7945379375.5440855</v>
      </c>
      <c r="F13" s="298" t="n">
        <f aca="false" ca="false" dt2D="false" dtr="false" t="normal">+F14+F206+F481</f>
        <v>1448283313.0219998</v>
      </c>
      <c r="G13" s="298" t="n">
        <f aca="false" ca="false" dt2D="false" dtr="false" t="normal">+G14+G206+G481</f>
        <v>455863226.7299999</v>
      </c>
      <c r="H13" s="298" t="n">
        <f aca="false" ca="false" dt2D="false" dtr="false" t="normal">+H14+H206+H481</f>
        <v>553865532.4000001</v>
      </c>
      <c r="I13" s="298" t="n">
        <f aca="false" ca="false" dt2D="false" dtr="false" t="normal">+I14+I206+I481</f>
        <v>385040103.1999999</v>
      </c>
      <c r="J13" s="298" t="n">
        <f aca="false" ca="false" dt2D="false" dtr="false" t="normal">+J14+J206+J481</f>
        <v>115984666.40126199</v>
      </c>
      <c r="K13" s="298" t="n">
        <f aca="false" ca="false" dt2D="false" dtr="false" t="normal">+K14+K206+K481</f>
        <v>0</v>
      </c>
      <c r="L13" s="298" t="n">
        <f aca="false" ca="false" dt2D="false" dtr="false" t="normal">+L14+L206+L481</f>
        <v>1515829.2</v>
      </c>
      <c r="M13" s="298" t="n">
        <f aca="false" ca="false" dt2D="false" dtr="false" t="normal">+M14+M206+M481</f>
        <v>275008847.37</v>
      </c>
      <c r="N13" s="298" t="n">
        <f aca="false" ca="false" dt2D="false" dtr="false" t="normal">+N14+N206+N481</f>
        <v>1387198707.1730914</v>
      </c>
      <c r="O13" s="298" t="n">
        <f aca="false" ca="false" dt2D="false" dtr="false" t="normal">+O14+O206+O481</f>
        <v>274800325.48</v>
      </c>
      <c r="P13" s="298" t="n">
        <f aca="false" ca="false" dt2D="false" dtr="false" t="normal">+P14+P206+P481</f>
        <v>2095786542.13</v>
      </c>
      <c r="Q13" s="298" t="n">
        <f aca="false" ca="false" dt2D="false" dtr="false" t="normal">+Q14+Q206+Q481</f>
        <v>702956111.81</v>
      </c>
      <c r="R13" s="298" t="n">
        <f aca="false" ca="false" dt2D="false" dtr="false" t="normal">+R14+R206+R481</f>
        <v>80282583.78627595</v>
      </c>
      <c r="S13" s="298" t="n">
        <f aca="false" ca="false" dt2D="false" dtr="false" t="normal">+S14+S206+S481</f>
        <v>7453077.3081604885</v>
      </c>
      <c r="T13" s="298" t="n">
        <f aca="false" ca="false" dt2D="false" dtr="false" t="normal">+T14+T206+T481</f>
        <v>14031824.493296888</v>
      </c>
      <c r="U13" s="297" t="n"/>
      <c r="V13" s="297" t="n"/>
      <c r="W13" s="297" t="n"/>
      <c r="X13" s="297" t="n"/>
      <c r="Y13" s="297" t="n"/>
      <c r="Z13" s="297" t="n"/>
      <c r="AA13" s="297" t="n"/>
      <c r="AB13" s="297" t="n"/>
      <c r="AC13" s="297" t="n"/>
      <c r="AD13" s="297" t="n"/>
      <c r="AE13" s="297" t="n"/>
      <c r="AF13" s="297" t="n"/>
      <c r="AG13" s="297" t="n"/>
      <c r="AH13" s="297" t="n"/>
      <c r="AI13" s="297" t="n"/>
      <c r="AJ13" s="297" t="n"/>
      <c r="AK13" s="297" t="n"/>
      <c r="AL13" s="297" t="n"/>
      <c r="AM13" s="297" t="n"/>
      <c r="AN13" s="297" t="n"/>
      <c r="AO13" s="297" t="n"/>
      <c r="AP13" s="297" t="n"/>
      <c r="AQ13" s="297" t="n"/>
      <c r="AR13" s="297" t="n"/>
      <c r="AS13" s="297" t="n"/>
      <c r="AT13" s="297" t="n"/>
      <c r="AU13" s="297" t="n"/>
      <c r="AV13" s="297" t="n"/>
      <c r="AW13" s="297" t="n"/>
      <c r="AX13" s="297" t="n"/>
      <c r="AY13" s="297" t="n"/>
      <c r="AZ13" s="297" t="n"/>
      <c r="BA13" s="297" t="n"/>
      <c r="BB13" s="297" t="n"/>
      <c r="BC13" s="297" t="n"/>
      <c r="BD13" s="297" t="n"/>
      <c r="BE13" s="297" t="n"/>
      <c r="BF13" s="297" t="n"/>
      <c r="BG13" s="297" t="n"/>
      <c r="BH13" s="297" t="n"/>
      <c r="BI13" s="297" t="n"/>
      <c r="BJ13" s="297" t="n"/>
      <c r="BK13" s="297" t="n"/>
      <c r="BL13" s="297" t="n"/>
      <c r="BM13" s="297" t="n"/>
      <c r="BN13" s="297" t="n"/>
      <c r="BO13" s="297" t="n"/>
      <c r="BP13" s="297" t="n"/>
    </row>
    <row customFormat="true" hidden="false" ht="15" outlineLevel="0" r="14" s="91">
      <c r="A14" s="93" t="n"/>
      <c r="B14" s="93" t="n"/>
      <c r="C14" s="93" t="n"/>
      <c r="D14" s="93" t="s">
        <v>63</v>
      </c>
      <c r="E14" s="299" t="n">
        <f aca="false" ca="false" dt2D="false" dtr="false" t="normal">SUM(F14:T14)+E15+E16</f>
        <v>1841171471.989457</v>
      </c>
      <c r="F14" s="299" t="n">
        <f aca="false" ca="false" dt2D="false" dtr="false" t="normal">+F15+F17</f>
        <v>261418719.91</v>
      </c>
      <c r="G14" s="299" t="n">
        <f aca="false" ca="false" dt2D="false" dtr="false" t="normal">+G15+G17</f>
        <v>92211687.10999997</v>
      </c>
      <c r="H14" s="299" t="n">
        <f aca="false" ca="false" dt2D="false" dtr="false" t="normal">+H15+H17</f>
        <v>91010822.59000003</v>
      </c>
      <c r="I14" s="299" t="n">
        <f aca="false" ca="false" dt2D="false" dtr="false" t="normal">+I15+I17</f>
        <v>100780746.21000001</v>
      </c>
      <c r="J14" s="299" t="n">
        <f aca="false" ca="false" dt2D="false" dtr="false" t="normal">+J15+J17</f>
        <v>20726332.382262</v>
      </c>
      <c r="K14" s="299" t="n">
        <f aca="false" ca="false" dt2D="false" dtr="false" t="normal">+K15+K17</f>
        <v>0</v>
      </c>
      <c r="L14" s="299" t="n">
        <f aca="false" ca="false" dt2D="false" dtr="false" t="normal">+L15+L17</f>
        <v>0</v>
      </c>
      <c r="M14" s="299" t="n">
        <f aca="false" ca="false" dt2D="false" dtr="false" t="normal">+M15+M17</f>
        <v>28694966.41</v>
      </c>
      <c r="N14" s="299" t="n">
        <f aca="false" ca="false" dt2D="false" dtr="false" t="normal">+N15+N17</f>
        <v>417243389.468066</v>
      </c>
      <c r="O14" s="299" t="n">
        <f aca="false" ca="false" dt2D="false" dtr="false" t="normal">+O15+O17</f>
        <v>79372152.85999998</v>
      </c>
      <c r="P14" s="299" t="n">
        <f aca="false" ca="false" dt2D="false" dtr="false" t="normal">+P15+P17</f>
        <v>386032575.02000004</v>
      </c>
      <c r="Q14" s="299" t="n">
        <f aca="false" ca="false" dt2D="false" dtr="false" t="normal">+Q15+Q17</f>
        <v>162824150.39</v>
      </c>
      <c r="R14" s="299" t="n">
        <f aca="false" ca="false" dt2D="false" dtr="false" t="normal">+R15+R17</f>
        <v>44622520.01096848</v>
      </c>
      <c r="S14" s="299" t="n">
        <f aca="false" ca="false" dt2D="false" dtr="false" t="normal">+S15+S17</f>
        <v>3686982.528160488</v>
      </c>
      <c r="T14" s="299" t="n">
        <f aca="false" ca="false" dt2D="false" dtr="false" t="normal">+T15+T17</f>
        <v>5237742.060000001</v>
      </c>
      <c r="U14" s="300" t="n"/>
      <c r="V14" s="300" t="n"/>
      <c r="W14" s="300" t="n"/>
      <c r="X14" s="300" t="n"/>
      <c r="Y14" s="300" t="n"/>
      <c r="Z14" s="300" t="n"/>
      <c r="AA14" s="300" t="n"/>
      <c r="AB14" s="300" t="n"/>
      <c r="AC14" s="300" t="n"/>
      <c r="AD14" s="300" t="n"/>
      <c r="AE14" s="300" t="n"/>
      <c r="AF14" s="300" t="n"/>
      <c r="AG14" s="300" t="n"/>
      <c r="AH14" s="300" t="n"/>
      <c r="AI14" s="300" t="n"/>
      <c r="AJ14" s="300" t="n"/>
      <c r="AK14" s="300" t="n"/>
      <c r="AL14" s="300" t="n"/>
      <c r="AM14" s="300" t="n"/>
      <c r="AN14" s="300" t="n"/>
      <c r="AO14" s="300" t="n"/>
      <c r="AP14" s="300" t="n"/>
      <c r="AQ14" s="300" t="n"/>
      <c r="AR14" s="300" t="n"/>
      <c r="AS14" s="300" t="n"/>
      <c r="AT14" s="300" t="n"/>
      <c r="AU14" s="300" t="n"/>
      <c r="AV14" s="300" t="n"/>
      <c r="AW14" s="300" t="n"/>
      <c r="AX14" s="300" t="n"/>
      <c r="AY14" s="300" t="n"/>
      <c r="AZ14" s="300" t="n"/>
      <c r="BA14" s="300" t="n"/>
      <c r="BB14" s="300" t="n"/>
      <c r="BC14" s="300" t="n"/>
      <c r="BD14" s="300" t="n"/>
      <c r="BE14" s="300" t="n"/>
      <c r="BF14" s="300" t="n"/>
      <c r="BG14" s="300" t="n"/>
      <c r="BH14" s="300" t="n"/>
      <c r="BI14" s="300" t="n"/>
      <c r="BJ14" s="300" t="n"/>
      <c r="BK14" s="300" t="n"/>
      <c r="BL14" s="300" t="n"/>
      <c r="BM14" s="300" t="n"/>
      <c r="BN14" s="300" t="n"/>
      <c r="BO14" s="300" t="n"/>
      <c r="BP14" s="300" t="n"/>
    </row>
    <row customFormat="true" customHeight="true" hidden="false" ht="18" outlineLevel="0" r="15" s="91">
      <c r="A15" s="102" t="n"/>
      <c r="B15" s="93" t="n"/>
      <c r="C15" s="93" t="n"/>
      <c r="D15" s="93" t="s">
        <v>64</v>
      </c>
      <c r="E15" s="299" t="n">
        <v>147308685.04</v>
      </c>
      <c r="F15" s="299" t="s">
        <v>792</v>
      </c>
      <c r="G15" s="299" t="s">
        <v>792</v>
      </c>
      <c r="H15" s="299" t="s">
        <v>792</v>
      </c>
      <c r="I15" s="299" t="s">
        <v>792</v>
      </c>
      <c r="J15" s="299" t="s">
        <v>792</v>
      </c>
      <c r="K15" s="299" t="s">
        <v>792</v>
      </c>
      <c r="L15" s="299" t="s">
        <v>792</v>
      </c>
      <c r="M15" s="299" t="s">
        <v>792</v>
      </c>
      <c r="N15" s="299" t="s">
        <v>792</v>
      </c>
      <c r="O15" s="299" t="s">
        <v>792</v>
      </c>
      <c r="P15" s="299" t="s">
        <v>792</v>
      </c>
      <c r="Q15" s="299" t="s">
        <v>792</v>
      </c>
      <c r="R15" s="299" t="s">
        <v>792</v>
      </c>
      <c r="S15" s="299" t="s">
        <v>792</v>
      </c>
      <c r="T15" s="301" t="s">
        <v>792</v>
      </c>
      <c r="U15" s="300" t="n"/>
      <c r="V15" s="300" t="n"/>
      <c r="W15" s="300" t="n"/>
      <c r="X15" s="300" t="n"/>
      <c r="Y15" s="300" t="n"/>
      <c r="Z15" s="300" t="n"/>
      <c r="AA15" s="300" t="n"/>
      <c r="AB15" s="300" t="n"/>
      <c r="AC15" s="300" t="n"/>
      <c r="AD15" s="300" t="n"/>
      <c r="AE15" s="300" t="n"/>
      <c r="AF15" s="300" t="n"/>
      <c r="AG15" s="300" t="n"/>
      <c r="AH15" s="300" t="n"/>
      <c r="AI15" s="300" t="n"/>
      <c r="AJ15" s="300" t="n"/>
      <c r="AK15" s="300" t="n"/>
      <c r="AL15" s="300" t="n"/>
      <c r="AM15" s="300" t="n"/>
      <c r="AN15" s="300" t="n"/>
      <c r="AO15" s="300" t="n"/>
      <c r="AP15" s="300" t="n"/>
      <c r="AQ15" s="300" t="n"/>
      <c r="AR15" s="300" t="n"/>
      <c r="AS15" s="300" t="n"/>
      <c r="AT15" s="300" t="n"/>
      <c r="AU15" s="300" t="n"/>
      <c r="AV15" s="300" t="n"/>
      <c r="AW15" s="300" t="n"/>
      <c r="AX15" s="300" t="n"/>
      <c r="AY15" s="300" t="n"/>
      <c r="AZ15" s="300" t="n"/>
      <c r="BA15" s="300" t="n"/>
      <c r="BB15" s="300" t="n"/>
      <c r="BC15" s="300" t="n"/>
      <c r="BD15" s="300" t="n"/>
      <c r="BE15" s="300" t="n"/>
      <c r="BF15" s="300" t="n"/>
      <c r="BG15" s="300" t="n"/>
      <c r="BH15" s="300" t="n"/>
      <c r="BI15" s="300" t="n"/>
      <c r="BJ15" s="300" t="n"/>
      <c r="BK15" s="300" t="n"/>
      <c r="BL15" s="300" t="n"/>
      <c r="BM15" s="300" t="n"/>
      <c r="BN15" s="300" t="n"/>
      <c r="BO15" s="300" t="n"/>
      <c r="BP15" s="300" t="n"/>
    </row>
    <row customFormat="true" customHeight="true" hidden="false" ht="15.75" outlineLevel="0" r="16" s="91">
      <c r="A16" s="102" t="n"/>
      <c r="B16" s="93" t="n"/>
      <c r="C16" s="93" t="n"/>
      <c r="D16" s="93" t="s">
        <v>65</v>
      </c>
      <c r="E16" s="299" t="n">
        <f aca="false" ca="false" dt2D="false" dtr="false" t="normal">4547441.6-4547441.6</f>
        <v>0</v>
      </c>
      <c r="F16" s="299" t="s">
        <v>792</v>
      </c>
      <c r="G16" s="299" t="s">
        <v>792</v>
      </c>
      <c r="H16" s="299" t="s">
        <v>792</v>
      </c>
      <c r="I16" s="299" t="s">
        <v>792</v>
      </c>
      <c r="J16" s="299" t="s">
        <v>792</v>
      </c>
      <c r="K16" s="299" t="s">
        <v>792</v>
      </c>
      <c r="L16" s="299" t="s">
        <v>792</v>
      </c>
      <c r="M16" s="299" t="s">
        <v>792</v>
      </c>
      <c r="N16" s="299" t="s">
        <v>792</v>
      </c>
      <c r="O16" s="299" t="s">
        <v>792</v>
      </c>
      <c r="P16" s="299" t="s">
        <v>792</v>
      </c>
      <c r="Q16" s="299" t="s">
        <v>792</v>
      </c>
      <c r="R16" s="299" t="s">
        <v>792</v>
      </c>
      <c r="S16" s="299" t="s">
        <v>792</v>
      </c>
      <c r="T16" s="301" t="s">
        <v>792</v>
      </c>
      <c r="U16" s="300" t="n"/>
      <c r="V16" s="300" t="n"/>
      <c r="W16" s="300" t="n"/>
      <c r="X16" s="300" t="n"/>
      <c r="Y16" s="300" t="n"/>
      <c r="Z16" s="300" t="n"/>
      <c r="AA16" s="300" t="n"/>
      <c r="AB16" s="300" t="n"/>
      <c r="AC16" s="300" t="n"/>
      <c r="AD16" s="300" t="n"/>
      <c r="AE16" s="300" t="n"/>
      <c r="AF16" s="300" t="n"/>
      <c r="AG16" s="300" t="n"/>
      <c r="AH16" s="300" t="n"/>
      <c r="AI16" s="300" t="n"/>
      <c r="AJ16" s="300" t="n"/>
      <c r="AK16" s="300" t="n"/>
      <c r="AL16" s="300" t="n"/>
      <c r="AM16" s="300" t="n"/>
      <c r="AN16" s="300" t="n"/>
      <c r="AO16" s="300" t="n"/>
      <c r="AP16" s="300" t="n"/>
      <c r="AQ16" s="300" t="n"/>
      <c r="AR16" s="300" t="n"/>
      <c r="AS16" s="300" t="n"/>
      <c r="AT16" s="300" t="n"/>
      <c r="AU16" s="300" t="n"/>
      <c r="AV16" s="300" t="n"/>
      <c r="AW16" s="300" t="n"/>
      <c r="AX16" s="300" t="n"/>
      <c r="AY16" s="300" t="n"/>
      <c r="AZ16" s="300" t="n"/>
      <c r="BA16" s="300" t="n"/>
      <c r="BB16" s="300" t="n"/>
      <c r="BC16" s="300" t="n"/>
      <c r="BD16" s="300" t="n"/>
      <c r="BE16" s="300" t="n"/>
      <c r="BF16" s="300" t="n"/>
      <c r="BG16" s="300" t="n"/>
      <c r="BH16" s="300" t="n"/>
      <c r="BI16" s="300" t="n"/>
      <c r="BJ16" s="300" t="n"/>
      <c r="BK16" s="300" t="n"/>
      <c r="BL16" s="300" t="n"/>
      <c r="BM16" s="300" t="n"/>
      <c r="BN16" s="300" t="n"/>
      <c r="BO16" s="300" t="n"/>
      <c r="BP16" s="300" t="n"/>
    </row>
    <row customFormat="true" hidden="false" ht="15" outlineLevel="0" r="17" s="91">
      <c r="A17" s="102" t="n"/>
      <c r="B17" s="93" t="n"/>
      <c r="C17" s="93" t="n"/>
      <c r="D17" s="93" t="n"/>
      <c r="E17" s="299" t="n">
        <f aca="false" ca="false" dt2D="false" dtr="false" t="normal">SUM(E18:E205)</f>
        <v>1693862786.949457</v>
      </c>
      <c r="F17" s="299" t="n">
        <f aca="false" ca="false" dt2D="false" dtr="false" t="normal">SUM(F18:F205)</f>
        <v>261418719.91</v>
      </c>
      <c r="G17" s="299" t="n">
        <f aca="false" ca="false" dt2D="false" dtr="false" t="normal">SUM(G18:G205)</f>
        <v>92211687.10999997</v>
      </c>
      <c r="H17" s="299" t="n">
        <f aca="false" ca="false" dt2D="false" dtr="false" t="normal">SUM(H18:H205)</f>
        <v>91010822.59000003</v>
      </c>
      <c r="I17" s="299" t="n">
        <f aca="false" ca="false" dt2D="false" dtr="false" t="normal">SUM(I18:I205)</f>
        <v>100780746.21000001</v>
      </c>
      <c r="J17" s="299" t="n">
        <f aca="false" ca="false" dt2D="false" dtr="false" t="normal">SUM(J18:J205)</f>
        <v>20726332.382262</v>
      </c>
      <c r="K17" s="299" t="n">
        <f aca="false" ca="false" dt2D="false" dtr="false" t="normal">SUM(K18:K205)</f>
        <v>0</v>
      </c>
      <c r="L17" s="299" t="n">
        <f aca="false" ca="false" dt2D="false" dtr="false" t="normal">SUM(L18:L205)</f>
        <v>0</v>
      </c>
      <c r="M17" s="299" t="n">
        <f aca="false" ca="false" dt2D="false" dtr="false" t="normal">SUM(M18:M205)</f>
        <v>28694966.41</v>
      </c>
      <c r="N17" s="299" t="n">
        <f aca="false" ca="false" dt2D="false" dtr="false" t="normal">SUM(N18:N205)</f>
        <v>417243389.468066</v>
      </c>
      <c r="O17" s="299" t="n">
        <f aca="false" ca="false" dt2D="false" dtr="false" t="normal">SUM(O18:O205)</f>
        <v>79372152.85999998</v>
      </c>
      <c r="P17" s="299" t="n">
        <f aca="false" ca="false" dt2D="false" dtr="false" t="normal">SUM(P18:P205)</f>
        <v>386032575.02000004</v>
      </c>
      <c r="Q17" s="299" t="n">
        <f aca="false" ca="false" dt2D="false" dtr="false" t="normal">SUM(Q18:Q205)</f>
        <v>162824150.39</v>
      </c>
      <c r="R17" s="299" t="n">
        <f aca="false" ca="false" dt2D="false" dtr="false" t="normal">SUM(R18:R205)</f>
        <v>44622520.01096848</v>
      </c>
      <c r="S17" s="299" t="n">
        <f aca="false" ca="false" dt2D="false" dtr="false" t="normal">SUM(S18:S205)</f>
        <v>3686982.528160488</v>
      </c>
      <c r="T17" s="299" t="n">
        <f aca="false" ca="false" dt2D="false" dtr="false" t="normal">SUM(T18:T205)</f>
        <v>5237742.060000001</v>
      </c>
      <c r="U17" s="300" t="n"/>
      <c r="V17" s="300" t="n"/>
      <c r="W17" s="300" t="n"/>
      <c r="X17" s="300" t="n"/>
      <c r="Y17" s="300" t="n"/>
      <c r="Z17" s="300" t="n"/>
      <c r="AA17" s="300" t="n"/>
      <c r="AB17" s="300" t="n"/>
      <c r="AC17" s="300" t="n"/>
      <c r="AD17" s="300" t="n"/>
      <c r="AE17" s="300" t="n"/>
      <c r="AF17" s="300" t="n"/>
      <c r="AG17" s="300" t="n"/>
      <c r="AH17" s="300" t="n"/>
      <c r="AI17" s="300" t="n"/>
      <c r="AJ17" s="300" t="n"/>
      <c r="AK17" s="300" t="n"/>
      <c r="AL17" s="300" t="n"/>
      <c r="AM17" s="300" t="n"/>
      <c r="AN17" s="300" t="n"/>
      <c r="AO17" s="300" t="n"/>
      <c r="AP17" s="300" t="n"/>
      <c r="AQ17" s="300" t="n"/>
      <c r="AR17" s="300" t="n"/>
      <c r="AS17" s="300" t="n"/>
      <c r="AT17" s="300" t="n"/>
      <c r="AU17" s="300" t="n"/>
      <c r="AV17" s="300" t="n"/>
      <c r="AW17" s="300" t="n"/>
      <c r="AX17" s="300" t="n"/>
      <c r="AY17" s="300" t="n"/>
      <c r="AZ17" s="300" t="n"/>
      <c r="BA17" s="300" t="n"/>
      <c r="BB17" s="300" t="n"/>
      <c r="BC17" s="300" t="n"/>
      <c r="BD17" s="300" t="n"/>
      <c r="BE17" s="300" t="n"/>
      <c r="BF17" s="300" t="n"/>
      <c r="BG17" s="300" t="n"/>
      <c r="BH17" s="300" t="n"/>
      <c r="BI17" s="300" t="n"/>
      <c r="BJ17" s="300" t="n"/>
      <c r="BK17" s="300" t="n"/>
      <c r="BL17" s="300" t="n"/>
      <c r="BM17" s="300" t="n"/>
      <c r="BN17" s="300" t="n"/>
      <c r="BO17" s="300" t="n"/>
      <c r="BP17" s="300" t="n"/>
    </row>
    <row hidden="false" ht="15" outlineLevel="0" r="18">
      <c r="A18" s="116" t="n">
        <v>1</v>
      </c>
      <c r="B18" s="117" t="n">
        <v>1</v>
      </c>
      <c r="C18" s="104" t="s">
        <v>66</v>
      </c>
      <c r="D18" s="104" t="s">
        <v>67</v>
      </c>
      <c r="E18" s="113" t="n">
        <f aca="false" ca="true" dt2D="false" dtr="false" t="normal">SUBTOTAL(9, F18:T18)</f>
        <v>35047609.43</v>
      </c>
      <c r="F18" s="106" t="n">
        <v>11937105.2</v>
      </c>
      <c r="G18" s="106" t="n">
        <v>7031659.74</v>
      </c>
      <c r="H18" s="106" t="n"/>
      <c r="I18" s="106" t="n">
        <v>2917316.85</v>
      </c>
      <c r="J18" s="106" t="n">
        <v>0</v>
      </c>
      <c r="K18" s="106" t="n"/>
      <c r="L18" s="106" t="n"/>
      <c r="M18" s="106" t="n">
        <v>0</v>
      </c>
      <c r="N18" s="106" t="n">
        <v>4693934.4</v>
      </c>
      <c r="O18" s="106" t="n">
        <v>8467593.24</v>
      </c>
      <c r="P18" s="106" t="n">
        <v>0</v>
      </c>
      <c r="Q18" s="106" t="n">
        <v>0</v>
      </c>
      <c r="R18" s="106" t="n"/>
      <c r="S18" s="114" t="n"/>
      <c r="T18" s="115" t="n">
        <v>0</v>
      </c>
      <c r="U18" s="134" t="n"/>
      <c r="V18" s="134" t="n"/>
      <c r="W18" s="134" t="n"/>
      <c r="X18" s="134" t="n"/>
      <c r="Y18" s="134" t="n"/>
      <c r="Z18" s="134" t="n"/>
      <c r="AA18" s="134" t="n"/>
      <c r="AB18" s="134" t="n"/>
      <c r="AC18" s="134" t="n"/>
      <c r="AD18" s="134" t="n"/>
      <c r="AE18" s="134" t="n"/>
      <c r="AF18" s="134" t="n"/>
      <c r="AG18" s="134" t="n"/>
      <c r="AH18" s="134" t="n"/>
      <c r="AI18" s="134" t="n"/>
      <c r="AJ18" s="134" t="n"/>
      <c r="AK18" s="134" t="n"/>
      <c r="AL18" s="134" t="n"/>
      <c r="AM18" s="134" t="n"/>
      <c r="AN18" s="134" t="n"/>
      <c r="AO18" s="134" t="n"/>
      <c r="AP18" s="134" t="n"/>
      <c r="AQ18" s="134" t="n"/>
      <c r="AR18" s="134" t="n"/>
      <c r="AS18" s="134" t="n"/>
      <c r="AT18" s="134" t="n"/>
      <c r="AU18" s="134" t="n"/>
      <c r="AV18" s="134" t="n"/>
      <c r="AW18" s="134" t="n"/>
      <c r="AX18" s="134" t="n"/>
      <c r="AY18" s="134" t="n"/>
      <c r="AZ18" s="134" t="n"/>
      <c r="BA18" s="134" t="n"/>
      <c r="BB18" s="134" t="n"/>
      <c r="BC18" s="134" t="n"/>
      <c r="BD18" s="134" t="n"/>
      <c r="BE18" s="134" t="n"/>
      <c r="BF18" s="134" t="n"/>
      <c r="BG18" s="134" t="n"/>
      <c r="BH18" s="134" t="n"/>
      <c r="BI18" s="134" t="n"/>
      <c r="BJ18" s="134" t="n"/>
      <c r="BK18" s="134" t="n"/>
      <c r="BL18" s="134" t="n"/>
      <c r="BM18" s="134" t="n"/>
      <c r="BN18" s="134" t="n"/>
      <c r="BO18" s="134" t="n"/>
      <c r="BP18" s="134" t="n"/>
    </row>
    <row hidden="false" ht="15" outlineLevel="0" r="19">
      <c r="A19" s="116" t="n">
        <f aca="false" ca="false" dt2D="false" dtr="false" t="normal">+A18+1</f>
        <v>2</v>
      </c>
      <c r="B19" s="117" t="n">
        <f aca="false" ca="false" dt2D="false" dtr="false" t="normal">+B18+1</f>
        <v>2</v>
      </c>
      <c r="C19" s="104" t="s">
        <v>66</v>
      </c>
      <c r="D19" s="104" t="s">
        <v>69</v>
      </c>
      <c r="E19" s="113" t="n">
        <f aca="false" ca="true" dt2D="false" dtr="false" t="normal">SUBTOTAL(9, F19:T19)</f>
        <v>33206648.360000003</v>
      </c>
      <c r="F19" s="106" t="n">
        <v>10136488.12</v>
      </c>
      <c r="G19" s="106" t="n">
        <v>6838744.34</v>
      </c>
      <c r="H19" s="106" t="n"/>
      <c r="I19" s="106" t="n">
        <v>2920060.1</v>
      </c>
      <c r="J19" s="106" t="n">
        <v>0</v>
      </c>
      <c r="K19" s="106" t="n"/>
      <c r="L19" s="106" t="n"/>
      <c r="M19" s="106" t="n">
        <v>0</v>
      </c>
      <c r="N19" s="106" t="n">
        <v>4839492</v>
      </c>
      <c r="O19" s="106" t="n">
        <v>8471863.8</v>
      </c>
      <c r="P19" s="106" t="n">
        <v>0</v>
      </c>
      <c r="Q19" s="106" t="n">
        <v>0</v>
      </c>
      <c r="R19" s="106" t="n"/>
      <c r="S19" s="114" t="n"/>
      <c r="T19" s="115" t="n">
        <v>0</v>
      </c>
      <c r="U19" s="134" t="n"/>
      <c r="V19" s="134" t="n"/>
      <c r="W19" s="134" t="n"/>
      <c r="X19" s="134" t="n"/>
      <c r="Y19" s="134" t="n"/>
      <c r="Z19" s="134" t="n"/>
      <c r="AA19" s="134" t="n"/>
      <c r="AB19" s="134" t="n"/>
      <c r="AC19" s="134" t="n"/>
      <c r="AD19" s="134" t="n"/>
      <c r="AE19" s="134" t="n"/>
      <c r="AF19" s="134" t="n"/>
      <c r="AG19" s="134" t="n"/>
      <c r="AH19" s="134" t="n"/>
      <c r="AI19" s="134" t="n"/>
      <c r="AJ19" s="134" t="n"/>
      <c r="AK19" s="134" t="n"/>
      <c r="AL19" s="134" t="n"/>
      <c r="AM19" s="134" t="n"/>
      <c r="AN19" s="134" t="n"/>
      <c r="AO19" s="134" t="n"/>
      <c r="AP19" s="134" t="n"/>
    </row>
    <row hidden="false" ht="15" outlineLevel="0" r="20">
      <c r="A20" s="116" t="n">
        <f aca="false" ca="false" dt2D="false" dtr="false" t="normal">+A19+1</f>
        <v>3</v>
      </c>
      <c r="B20" s="117" t="n">
        <f aca="false" ca="false" dt2D="false" dtr="false" t="normal">+B19+1</f>
        <v>3</v>
      </c>
      <c r="C20" s="104" t="s">
        <v>66</v>
      </c>
      <c r="D20" s="104" t="s">
        <v>70</v>
      </c>
      <c r="E20" s="113" t="n">
        <f aca="false" ca="true" dt2D="false" dtr="false" t="normal">SUBTOTAL(9, F20:T20)</f>
        <v>21470844.82</v>
      </c>
      <c r="F20" s="106" t="n">
        <v>8693551.24</v>
      </c>
      <c r="G20" s="106" t="n">
        <v>2539728.97</v>
      </c>
      <c r="H20" s="106" t="n"/>
      <c r="I20" s="106" t="n">
        <v>1744090.12</v>
      </c>
      <c r="J20" s="106" t="n">
        <v>0</v>
      </c>
      <c r="K20" s="106" t="n"/>
      <c r="L20" s="106" t="n"/>
      <c r="M20" s="106" t="n">
        <v>0</v>
      </c>
      <c r="N20" s="106" t="n">
        <v>2720365.2</v>
      </c>
      <c r="O20" s="106" t="n">
        <v>5773109.29</v>
      </c>
      <c r="P20" s="106" t="n">
        <v>0</v>
      </c>
      <c r="Q20" s="106" t="n">
        <v>0</v>
      </c>
      <c r="R20" s="106" t="n"/>
      <c r="S20" s="114" t="n"/>
      <c r="T20" s="115" t="n">
        <v>0</v>
      </c>
      <c r="U20" s="134" t="n"/>
      <c r="V20" s="134" t="n"/>
      <c r="W20" s="134" t="n"/>
      <c r="X20" s="134" t="n"/>
      <c r="Y20" s="134" t="n"/>
      <c r="Z20" s="134" t="n"/>
      <c r="AA20" s="134" t="n"/>
      <c r="AB20" s="134" t="n"/>
      <c r="AC20" s="134" t="n"/>
      <c r="AD20" s="134" t="n"/>
      <c r="AE20" s="134" t="n"/>
      <c r="AF20" s="134" t="n"/>
      <c r="AG20" s="134" t="n"/>
      <c r="AH20" s="134" t="n"/>
      <c r="AI20" s="134" t="n"/>
      <c r="AJ20" s="134" t="n"/>
      <c r="AK20" s="134" t="n"/>
      <c r="AL20" s="134" t="n"/>
      <c r="AM20" s="134" t="n"/>
      <c r="AN20" s="134" t="n"/>
      <c r="AO20" s="134" t="n"/>
      <c r="AP20" s="134" t="n"/>
    </row>
    <row hidden="false" ht="15" outlineLevel="0" r="21">
      <c r="A21" s="116" t="n">
        <f aca="false" ca="false" dt2D="false" dtr="false" t="normal">+A20+1</f>
        <v>4</v>
      </c>
      <c r="B21" s="117" t="n">
        <f aca="false" ca="false" dt2D="false" dtr="false" t="normal">+B20+1</f>
        <v>4</v>
      </c>
      <c r="C21" s="104" t="s">
        <v>71</v>
      </c>
      <c r="D21" s="104" t="s">
        <v>72</v>
      </c>
      <c r="E21" s="113" t="n">
        <f aca="false" ca="true" dt2D="false" dtr="false" t="normal">SUBTOTAL(9, F21:T21)</f>
        <v>6418110.9</v>
      </c>
      <c r="F21" s="106" t="n">
        <v>0</v>
      </c>
      <c r="G21" s="106" t="n">
        <v>0</v>
      </c>
      <c r="H21" s="106" t="n">
        <v>0</v>
      </c>
      <c r="I21" s="106" t="n">
        <v>0</v>
      </c>
      <c r="J21" s="106" t="n">
        <v>0</v>
      </c>
      <c r="K21" s="106" t="n"/>
      <c r="L21" s="106" t="n"/>
      <c r="M21" s="106" t="n">
        <v>0</v>
      </c>
      <c r="N21" s="106" t="n">
        <v>6340797.94</v>
      </c>
      <c r="O21" s="106" t="n">
        <v>0</v>
      </c>
      <c r="P21" s="106" t="n">
        <v>0</v>
      </c>
      <c r="Q21" s="106" t="n">
        <v>0</v>
      </c>
      <c r="R21" s="106" t="n"/>
      <c r="S21" s="114" t="n"/>
      <c r="T21" s="115" t="n">
        <f aca="false" ca="false" dt2D="false" dtr="false" t="normal">77312.96</f>
        <v>77312.96</v>
      </c>
      <c r="U21" s="134" t="n"/>
      <c r="V21" s="134" t="n"/>
      <c r="W21" s="134" t="n"/>
      <c r="X21" s="134" t="n"/>
      <c r="Y21" s="134" t="n"/>
      <c r="Z21" s="134" t="n"/>
      <c r="AA21" s="134" t="n"/>
      <c r="AB21" s="134" t="n"/>
      <c r="AC21" s="134" t="n"/>
      <c r="AD21" s="134" t="n"/>
      <c r="AE21" s="134" t="n"/>
      <c r="AF21" s="134" t="n"/>
      <c r="AG21" s="134" t="n"/>
      <c r="AH21" s="134" t="n"/>
      <c r="AI21" s="134" t="n"/>
      <c r="AJ21" s="134" t="n"/>
      <c r="AK21" s="134" t="n"/>
      <c r="AL21" s="134" t="n"/>
      <c r="AM21" s="134" t="n"/>
      <c r="AN21" s="134" t="n"/>
      <c r="AO21" s="134" t="n"/>
      <c r="AP21" s="134" t="n"/>
    </row>
    <row hidden="false" ht="15" outlineLevel="0" r="22">
      <c r="A22" s="116" t="n">
        <f aca="false" ca="false" dt2D="false" dtr="false" t="normal">+A21+1</f>
        <v>5</v>
      </c>
      <c r="B22" s="117" t="n">
        <f aca="false" ca="false" dt2D="false" dtr="false" t="normal">+B21+1</f>
        <v>5</v>
      </c>
      <c r="C22" s="104" t="s">
        <v>71</v>
      </c>
      <c r="D22" s="104" t="s">
        <v>73</v>
      </c>
      <c r="E22" s="113" t="n">
        <f aca="false" ca="true" dt2D="false" dtr="false" t="normal">SUBTOTAL(9, F22:T22)</f>
        <v>1311120.14</v>
      </c>
      <c r="F22" s="106" t="n">
        <v>1272491.4</v>
      </c>
      <c r="G22" s="106" t="n">
        <v>0</v>
      </c>
      <c r="H22" s="106" t="n">
        <v>0</v>
      </c>
      <c r="I22" s="106" t="n">
        <v>0</v>
      </c>
      <c r="J22" s="106" t="n">
        <v>0</v>
      </c>
      <c r="K22" s="106" t="n"/>
      <c r="L22" s="106" t="n"/>
      <c r="M22" s="106" t="n">
        <v>0</v>
      </c>
      <c r="N22" s="106" t="n">
        <v>0</v>
      </c>
      <c r="O22" s="106" t="n">
        <v>0</v>
      </c>
      <c r="P22" s="106" t="n">
        <v>0</v>
      </c>
      <c r="Q22" s="106" t="n">
        <v>0</v>
      </c>
      <c r="R22" s="106" t="n"/>
      <c r="S22" s="114" t="n"/>
      <c r="T22" s="115" t="n">
        <v>38628.74</v>
      </c>
      <c r="U22" s="134" t="n"/>
      <c r="V22" s="134" t="n"/>
      <c r="W22" s="134" t="n"/>
      <c r="X22" s="134" t="n"/>
      <c r="Y22" s="134" t="n"/>
      <c r="Z22" s="134" t="n"/>
      <c r="AA22" s="134" t="n"/>
      <c r="AB22" s="134" t="n"/>
      <c r="AC22" s="134" t="n"/>
      <c r="AD22" s="134" t="n"/>
      <c r="AE22" s="134" t="n"/>
      <c r="AF22" s="134" t="n"/>
      <c r="AG22" s="134" t="n"/>
      <c r="AH22" s="134" t="n"/>
      <c r="AI22" s="134" t="n"/>
      <c r="AJ22" s="134" t="n"/>
      <c r="AK22" s="134" t="n"/>
      <c r="AL22" s="134" t="n"/>
      <c r="AM22" s="134" t="n"/>
      <c r="AN22" s="134" t="n"/>
      <c r="AO22" s="134" t="n"/>
      <c r="AP22" s="134" t="n"/>
    </row>
    <row hidden="false" ht="15" outlineLevel="0" r="23">
      <c r="A23" s="116" t="n">
        <f aca="false" ca="false" dt2D="false" dtr="false" t="normal">+A22+1</f>
        <v>6</v>
      </c>
      <c r="B23" s="117" t="n">
        <f aca="false" ca="false" dt2D="false" dtr="false" t="normal">+B22+1</f>
        <v>6</v>
      </c>
      <c r="C23" s="104" t="s">
        <v>71</v>
      </c>
      <c r="D23" s="104" t="s">
        <v>74</v>
      </c>
      <c r="E23" s="113" t="n">
        <f aca="false" ca="true" dt2D="false" dtr="false" t="normal">SUBTOTAL(9, F23:T23)</f>
        <v>2472986.52</v>
      </c>
      <c r="F23" s="106" t="n">
        <v>2428165.69</v>
      </c>
      <c r="G23" s="106" t="n">
        <v>0</v>
      </c>
      <c r="H23" s="106" t="n">
        <v>0</v>
      </c>
      <c r="I23" s="106" t="n">
        <v>0</v>
      </c>
      <c r="J23" s="106" t="n">
        <v>0</v>
      </c>
      <c r="K23" s="106" t="n"/>
      <c r="L23" s="106" t="n"/>
      <c r="M23" s="106" t="n">
        <v>0</v>
      </c>
      <c r="N23" s="106" t="n">
        <v>0</v>
      </c>
      <c r="O23" s="106" t="n">
        <v>0</v>
      </c>
      <c r="P23" s="106" t="n">
        <v>0</v>
      </c>
      <c r="Q23" s="106" t="n">
        <v>0</v>
      </c>
      <c r="R23" s="106" t="n"/>
      <c r="S23" s="114" t="n"/>
      <c r="T23" s="115" t="n">
        <f aca="false" ca="false" dt2D="false" dtr="false" t="normal">44820.83</f>
        <v>44820.83</v>
      </c>
      <c r="U23" s="134" t="n"/>
      <c r="V23" s="134" t="n"/>
      <c r="W23" s="134" t="n"/>
      <c r="X23" s="134" t="n"/>
      <c r="Y23" s="134" t="n"/>
      <c r="Z23" s="134" t="n"/>
      <c r="AA23" s="134" t="n"/>
      <c r="AB23" s="134" t="n"/>
      <c r="AC23" s="134" t="n"/>
      <c r="AD23" s="134" t="n"/>
      <c r="AE23" s="134" t="n"/>
      <c r="AF23" s="134" t="n"/>
      <c r="AG23" s="134" t="n"/>
      <c r="AH23" s="134" t="n"/>
      <c r="AI23" s="134" t="n"/>
      <c r="AJ23" s="134" t="n"/>
      <c r="AK23" s="134" t="n"/>
      <c r="AL23" s="134" t="n"/>
      <c r="AM23" s="134" t="n"/>
      <c r="AN23" s="134" t="n"/>
      <c r="AO23" s="134" t="n"/>
      <c r="AP23" s="134" t="n"/>
    </row>
    <row hidden="false" ht="15" outlineLevel="0" r="24">
      <c r="A24" s="116" t="n">
        <f aca="false" ca="false" dt2D="false" dtr="false" t="normal">+A23+1</f>
        <v>7</v>
      </c>
      <c r="B24" s="117" t="n">
        <f aca="false" ca="false" dt2D="false" dtr="false" t="normal">+B23+1</f>
        <v>7</v>
      </c>
      <c r="C24" s="104" t="s">
        <v>75</v>
      </c>
      <c r="D24" s="104" t="s">
        <v>76</v>
      </c>
      <c r="E24" s="113" t="n">
        <f aca="false" ca="true" dt2D="false" dtr="false" t="normal">SUBTOTAL(9, F24:T24)</f>
        <v>105901.14</v>
      </c>
      <c r="F24" s="106" t="n">
        <v>0</v>
      </c>
      <c r="G24" s="106" t="n">
        <v>0</v>
      </c>
      <c r="H24" s="106" t="n"/>
      <c r="I24" s="106" t="n">
        <v>104364.26</v>
      </c>
      <c r="J24" s="106" t="n">
        <v>0</v>
      </c>
      <c r="K24" s="106" t="n"/>
      <c r="L24" s="106" t="n"/>
      <c r="M24" s="106" t="n">
        <v>0</v>
      </c>
      <c r="N24" s="106" t="n">
        <v>0</v>
      </c>
      <c r="O24" s="106" t="n">
        <v>0</v>
      </c>
      <c r="P24" s="106" t="n">
        <v>0</v>
      </c>
      <c r="Q24" s="106" t="n">
        <v>0</v>
      </c>
      <c r="R24" s="106" t="n"/>
      <c r="S24" s="114" t="n"/>
      <c r="T24" s="115" t="n">
        <v>1536.88</v>
      </c>
    </row>
    <row outlineLevel="0" r="25">
      <c r="A25" s="116" t="n">
        <f aca="false" ca="false" dt2D="false" dtr="false" t="normal">+A24+1</f>
        <v>8</v>
      </c>
      <c r="B25" s="117" t="n">
        <f aca="false" ca="false" dt2D="false" dtr="false" t="normal">+B24+1</f>
        <v>8</v>
      </c>
      <c r="C25" s="104" t="s">
        <v>75</v>
      </c>
      <c r="D25" s="104" t="s">
        <v>4</v>
      </c>
      <c r="E25" s="113" t="n">
        <f aca="false" ca="true" dt2D="false" dtr="false" t="normal">SUBTOTAL(9, F25:T25)</f>
        <v>5195773.5</v>
      </c>
      <c r="F25" s="106" t="n">
        <v>0</v>
      </c>
      <c r="G25" s="106" t="n">
        <v>0</v>
      </c>
      <c r="H25" s="106" t="n">
        <v>0</v>
      </c>
      <c r="I25" s="106" t="n">
        <v>0</v>
      </c>
      <c r="J25" s="106" t="n">
        <v>0</v>
      </c>
      <c r="K25" s="106" t="n"/>
      <c r="L25" s="106" t="n"/>
      <c r="M25" s="106" t="n">
        <v>0</v>
      </c>
      <c r="N25" s="106" t="n">
        <v>0</v>
      </c>
      <c r="O25" s="106" t="n">
        <v>5195773.5</v>
      </c>
      <c r="P25" s="106" t="n"/>
      <c r="Q25" s="106" t="n"/>
      <c r="R25" s="106" t="n"/>
      <c r="S25" s="114" t="n"/>
      <c r="T25" s="115" t="n"/>
    </row>
    <row hidden="false" ht="15" outlineLevel="0" r="26">
      <c r="A26" s="116" t="n">
        <f aca="false" ca="false" dt2D="false" dtr="false" t="normal">+A25+1</f>
        <v>9</v>
      </c>
      <c r="B26" s="117" t="n">
        <f aca="false" ca="false" dt2D="false" dtr="false" t="normal">+B25+1</f>
        <v>9</v>
      </c>
      <c r="C26" s="104" t="s">
        <v>75</v>
      </c>
      <c r="D26" s="104" t="s">
        <v>77</v>
      </c>
      <c r="E26" s="113" t="n">
        <f aca="false" ca="true" dt2D="false" dtr="false" t="normal">SUBTOTAL(9, F26:T26)</f>
        <v>3656105.716722621</v>
      </c>
      <c r="F26" s="106" t="n">
        <v>0</v>
      </c>
      <c r="G26" s="106" t="n">
        <v>0</v>
      </c>
      <c r="H26" s="106" t="n">
        <v>0</v>
      </c>
      <c r="I26" s="106" t="n">
        <v>0</v>
      </c>
      <c r="J26" s="106" t="n">
        <v>0</v>
      </c>
      <c r="K26" s="106" t="n"/>
      <c r="L26" s="106" t="n"/>
      <c r="M26" s="106" t="n">
        <v>0</v>
      </c>
      <c r="N26" s="106" t="n">
        <v>0</v>
      </c>
      <c r="O26" s="106" t="n">
        <v>2388753.41</v>
      </c>
      <c r="P26" s="106" t="n"/>
      <c r="Q26" s="106" t="n">
        <v>815005.58</v>
      </c>
      <c r="R26" s="106" t="n">
        <v>392917.040656928</v>
      </c>
      <c r="S26" s="114" t="n">
        <v>18562.6260656928</v>
      </c>
      <c r="T26" s="115" t="n">
        <f aca="false" ca="false" dt2D="false" dtr="false" t="normal">12130.9+28736.16</f>
        <v>40867.06</v>
      </c>
    </row>
    <row hidden="false" ht="15" outlineLevel="0" r="27">
      <c r="A27" s="116" t="n">
        <f aca="false" ca="false" dt2D="false" dtr="false" t="normal">+A26+1</f>
        <v>10</v>
      </c>
      <c r="B27" s="117" t="n">
        <f aca="false" ca="false" dt2D="false" dtr="false" t="normal">+B26+1</f>
        <v>10</v>
      </c>
      <c r="C27" s="104" t="s">
        <v>78</v>
      </c>
      <c r="D27" s="104" t="s">
        <v>79</v>
      </c>
      <c r="E27" s="113" t="n">
        <f aca="false" ca="true" dt2D="false" dtr="false" t="normal">SUBTOTAL(9, F27:T27)</f>
        <v>3272026.074273002</v>
      </c>
      <c r="F27" s="106" t="n"/>
      <c r="G27" s="106" t="n"/>
      <c r="H27" s="106" t="n">
        <v>878254.94</v>
      </c>
      <c r="I27" s="106" t="n"/>
      <c r="J27" s="106" t="n">
        <v>0</v>
      </c>
      <c r="K27" s="106" t="n"/>
      <c r="L27" s="106" t="n"/>
      <c r="M27" s="106" t="n">
        <v>0</v>
      </c>
      <c r="N27" s="106" t="n">
        <v>0</v>
      </c>
      <c r="O27" s="106" t="n">
        <v>0</v>
      </c>
      <c r="P27" s="106" t="n">
        <v>0</v>
      </c>
      <c r="Q27" s="106" t="n">
        <v>0</v>
      </c>
      <c r="R27" s="106" t="n">
        <f aca="false" ca="false" dt2D="false" dtr="false" t="normal">2191683.42279663-27761</f>
        <v>2163922.42279663</v>
      </c>
      <c r="S27" s="114" t="n">
        <v>229848.711476372</v>
      </c>
      <c r="T27" s="115" t="n"/>
    </row>
    <row hidden="false" ht="15" outlineLevel="0" r="28">
      <c r="A28" s="116" t="n">
        <f aca="false" ca="false" dt2D="false" dtr="false" t="normal">+A27+1</f>
        <v>11</v>
      </c>
      <c r="B28" s="117" t="n">
        <f aca="false" ca="false" dt2D="false" dtr="false" t="normal">+B27+1</f>
        <v>11</v>
      </c>
      <c r="C28" s="104" t="s">
        <v>78</v>
      </c>
      <c r="D28" s="104" t="s">
        <v>80</v>
      </c>
      <c r="E28" s="113" t="n">
        <f aca="false" ca="true" dt2D="false" dtr="false" t="normal">SUBTOTAL(9, F28:T28)</f>
        <v>5807146.380000001</v>
      </c>
      <c r="F28" s="106" t="n">
        <v>2699032.56</v>
      </c>
      <c r="G28" s="106" t="n">
        <v>2261633.31</v>
      </c>
      <c r="H28" s="106" t="n"/>
      <c r="I28" s="106" t="n">
        <v>818058.15</v>
      </c>
      <c r="J28" s="106" t="n">
        <v>0</v>
      </c>
      <c r="K28" s="106" t="n"/>
      <c r="L28" s="106" t="n"/>
      <c r="M28" s="106" t="n">
        <v>0</v>
      </c>
      <c r="N28" s="106" t="n"/>
      <c r="O28" s="106" t="n">
        <v>0</v>
      </c>
      <c r="P28" s="106" t="n">
        <v>0</v>
      </c>
      <c r="Q28" s="106" t="n">
        <v>0</v>
      </c>
      <c r="R28" s="106" t="n"/>
      <c r="S28" s="114" t="n"/>
      <c r="T28" s="115" t="n">
        <f aca="false" ca="false" dt2D="false" dtr="false" t="normal">28422.36</f>
        <v>28422.36</v>
      </c>
    </row>
    <row hidden="false" ht="15" outlineLevel="0" r="29">
      <c r="A29" s="116" t="n">
        <f aca="false" ca="false" dt2D="false" dtr="false" t="normal">+A28+1</f>
        <v>12</v>
      </c>
      <c r="B29" s="117" t="n">
        <f aca="false" ca="false" dt2D="false" dtr="false" t="normal">+B28+1</f>
        <v>12</v>
      </c>
      <c r="C29" s="104" t="s">
        <v>78</v>
      </c>
      <c r="D29" s="104" t="s">
        <v>82</v>
      </c>
      <c r="E29" s="113" t="n">
        <f aca="false" ca="true" dt2D="false" dtr="false" t="normal">SUBTOTAL(9, F29:T29)</f>
        <v>12771162.56</v>
      </c>
      <c r="F29" s="106" t="n">
        <v>0</v>
      </c>
      <c r="G29" s="106" t="n">
        <v>0</v>
      </c>
      <c r="H29" s="106" t="n">
        <v>0</v>
      </c>
      <c r="I29" s="106" t="n">
        <v>0</v>
      </c>
      <c r="J29" s="106" t="n">
        <v>0</v>
      </c>
      <c r="K29" s="106" t="n"/>
      <c r="L29" s="106" t="n"/>
      <c r="M29" s="106" t="n">
        <v>0</v>
      </c>
      <c r="N29" s="125" t="n">
        <v>2807713.83</v>
      </c>
      <c r="O29" s="125" t="n">
        <v>0</v>
      </c>
      <c r="P29" s="125" t="n">
        <v>9577950</v>
      </c>
      <c r="Q29" s="125" t="n">
        <v>0</v>
      </c>
      <c r="R29" s="125" t="n">
        <v>377498.73</v>
      </c>
      <c r="S29" s="124" t="n">
        <v>8000</v>
      </c>
      <c r="T29" s="126" t="n"/>
    </row>
    <row hidden="false" ht="15" outlineLevel="0" r="30">
      <c r="A30" s="116" t="n">
        <f aca="false" ca="false" dt2D="false" dtr="false" t="normal">+A29+1</f>
        <v>13</v>
      </c>
      <c r="B30" s="117" t="n">
        <f aca="false" ca="false" dt2D="false" dtr="false" t="normal">+B29+1</f>
        <v>13</v>
      </c>
      <c r="C30" s="104" t="s">
        <v>78</v>
      </c>
      <c r="D30" s="104" t="s">
        <v>83</v>
      </c>
      <c r="E30" s="113" t="n">
        <f aca="false" ca="true" dt2D="false" dtr="false" t="normal">SUBTOTAL(9, F30:T30)</f>
        <v>856822.68</v>
      </c>
      <c r="F30" s="106" t="n"/>
      <c r="G30" s="106" t="n"/>
      <c r="H30" s="106" t="n"/>
      <c r="I30" s="106" t="n">
        <v>856822.68</v>
      </c>
      <c r="J30" s="106" t="n">
        <v>0</v>
      </c>
      <c r="K30" s="106" t="n"/>
      <c r="L30" s="106" t="n"/>
      <c r="M30" s="106" t="n">
        <v>0</v>
      </c>
      <c r="N30" s="106" t="n">
        <v>0</v>
      </c>
      <c r="O30" s="106" t="n">
        <v>0</v>
      </c>
      <c r="P30" s="106" t="n">
        <v>0</v>
      </c>
      <c r="Q30" s="106" t="n">
        <v>0</v>
      </c>
      <c r="R30" s="106" t="n"/>
      <c r="S30" s="114" t="n"/>
      <c r="T30" s="115" t="n"/>
    </row>
    <row hidden="false" ht="15" outlineLevel="0" r="31">
      <c r="A31" s="116" t="n">
        <f aca="false" ca="false" dt2D="false" dtr="false" t="normal">+A30+1</f>
        <v>14</v>
      </c>
      <c r="B31" s="117" t="n">
        <f aca="false" ca="false" dt2D="false" dtr="false" t="normal">+B30+1</f>
        <v>14</v>
      </c>
      <c r="C31" s="104" t="s">
        <v>78</v>
      </c>
      <c r="D31" s="104" t="s">
        <v>84</v>
      </c>
      <c r="E31" s="113" t="n">
        <f aca="false" ca="true" dt2D="false" dtr="false" t="normal">SUBTOTAL(9, F31:T31)</f>
        <v>3114754.5799999996</v>
      </c>
      <c r="F31" s="106" t="n"/>
      <c r="G31" s="106" t="n">
        <v>1900545.16</v>
      </c>
      <c r="H31" s="106" t="n"/>
      <c r="I31" s="106" t="n">
        <v>1184190.4</v>
      </c>
      <c r="J31" s="106" t="n">
        <v>0</v>
      </c>
      <c r="K31" s="106" t="n"/>
      <c r="L31" s="106" t="n"/>
      <c r="M31" s="106" t="n">
        <v>0</v>
      </c>
      <c r="N31" s="106" t="n">
        <v>0</v>
      </c>
      <c r="O31" s="106" t="n"/>
      <c r="P31" s="106" t="n">
        <v>0</v>
      </c>
      <c r="Q31" s="106" t="n">
        <v>0</v>
      </c>
      <c r="R31" s="106" t="n"/>
      <c r="S31" s="114" t="n"/>
      <c r="T31" s="115" t="n">
        <v>30019.02</v>
      </c>
    </row>
    <row hidden="false" ht="15" outlineLevel="0" r="32">
      <c r="A32" s="116" t="n">
        <f aca="false" ca="false" dt2D="false" dtr="false" t="normal">+A31+1</f>
        <v>15</v>
      </c>
      <c r="B32" s="117" t="n">
        <f aca="false" ca="false" dt2D="false" dtr="false" t="normal">+B31+1</f>
        <v>15</v>
      </c>
      <c r="C32" s="104" t="s">
        <v>78</v>
      </c>
      <c r="D32" s="104" t="s">
        <v>85</v>
      </c>
      <c r="E32" s="113" t="n">
        <f aca="false" ca="true" dt2D="false" dtr="false" t="normal">SUBTOTAL(9, F32:T32)</f>
        <v>6822761.389999999</v>
      </c>
      <c r="F32" s="106" t="n">
        <v>2005222.15</v>
      </c>
      <c r="G32" s="106" t="n"/>
      <c r="H32" s="106" t="n">
        <v>0</v>
      </c>
      <c r="I32" s="106" t="n"/>
      <c r="J32" s="106" t="n">
        <v>0</v>
      </c>
      <c r="K32" s="106" t="n"/>
      <c r="L32" s="106" t="n"/>
      <c r="M32" s="106" t="n">
        <v>0</v>
      </c>
      <c r="N32" s="106" t="n">
        <v>0</v>
      </c>
      <c r="O32" s="106" t="n">
        <v>4791041.31</v>
      </c>
      <c r="P32" s="106" t="n"/>
      <c r="Q32" s="106" t="n">
        <v>0</v>
      </c>
      <c r="R32" s="106" t="n"/>
      <c r="S32" s="114" t="n"/>
      <c r="T32" s="115" t="n">
        <f aca="false" ca="false" dt2D="false" dtr="false" t="normal">26497.93</f>
        <v>26497.93</v>
      </c>
    </row>
    <row hidden="false" ht="15" outlineLevel="0" r="33">
      <c r="A33" s="116" t="n">
        <f aca="false" ca="false" dt2D="false" dtr="false" t="normal">+A32+1</f>
        <v>16</v>
      </c>
      <c r="B33" s="117" t="n">
        <f aca="false" ca="false" dt2D="false" dtr="false" t="normal">+B32+1</f>
        <v>16</v>
      </c>
      <c r="C33" s="104" t="s">
        <v>81</v>
      </c>
      <c r="D33" s="104" t="s">
        <v>86</v>
      </c>
      <c r="E33" s="113" t="n">
        <f aca="false" ca="true" dt2D="false" dtr="false" t="normal">SUBTOTAL(9, F33:T33)</f>
        <v>49595204.57</v>
      </c>
      <c r="F33" s="106" t="n">
        <v>0</v>
      </c>
      <c r="G33" s="106" t="n">
        <v>0</v>
      </c>
      <c r="H33" s="106" t="n">
        <v>0</v>
      </c>
      <c r="I33" s="125" t="n">
        <v>6678313.6</v>
      </c>
      <c r="J33" s="125" t="n">
        <v>0</v>
      </c>
      <c r="K33" s="125" t="n"/>
      <c r="L33" s="125" t="n"/>
      <c r="M33" s="125" t="n">
        <v>0</v>
      </c>
      <c r="N33" s="125" t="n">
        <v>25055410.8</v>
      </c>
      <c r="O33" s="125" t="n">
        <v>16117459.31</v>
      </c>
      <c r="P33" s="125" t="n">
        <v>0</v>
      </c>
      <c r="Q33" s="125" t="n">
        <v>0</v>
      </c>
      <c r="R33" s="125" t="n">
        <v>1734020.86</v>
      </c>
      <c r="S33" s="124" t="n">
        <v>10000</v>
      </c>
      <c r="T33" s="126" t="n"/>
    </row>
    <row hidden="false" ht="15" outlineLevel="0" r="34">
      <c r="A34" s="116" t="n">
        <f aca="false" ca="false" dt2D="false" dtr="false" t="normal">+A33+1</f>
        <v>17</v>
      </c>
      <c r="B34" s="117" t="n">
        <f aca="false" ca="false" dt2D="false" dtr="false" t="normal">+B33+1</f>
        <v>17</v>
      </c>
      <c r="C34" s="104" t="s">
        <v>78</v>
      </c>
      <c r="D34" s="104" t="s">
        <v>87</v>
      </c>
      <c r="E34" s="113" t="n">
        <f aca="false" ca="true" dt2D="false" dtr="false" t="normal">SUBTOTAL(9, F34:T34)</f>
        <v>10120631.58</v>
      </c>
      <c r="F34" s="106" t="n"/>
      <c r="G34" s="106" t="n">
        <v>4716823.2</v>
      </c>
      <c r="H34" s="106" t="n"/>
      <c r="I34" s="106" t="n">
        <v>0</v>
      </c>
      <c r="J34" s="106" t="n">
        <v>0</v>
      </c>
      <c r="K34" s="106" t="n"/>
      <c r="L34" s="106" t="n"/>
      <c r="M34" s="106" t="n">
        <v>0</v>
      </c>
      <c r="N34" s="106" t="n">
        <v>5310079.2</v>
      </c>
      <c r="O34" s="106" t="n">
        <v>0</v>
      </c>
      <c r="P34" s="106" t="n">
        <v>0</v>
      </c>
      <c r="Q34" s="106" t="n">
        <v>0</v>
      </c>
      <c r="R34" s="106" t="n"/>
      <c r="S34" s="114" t="n"/>
      <c r="T34" s="115" t="n">
        <f aca="false" ca="false" dt2D="false" dtr="false" t="normal">29302.97+64426.21</f>
        <v>93729.18</v>
      </c>
    </row>
    <row hidden="false" ht="15" outlineLevel="0" r="35">
      <c r="A35" s="116" t="n">
        <f aca="false" ca="false" dt2D="false" dtr="false" t="normal">+A34+1</f>
        <v>18</v>
      </c>
      <c r="B35" s="117" t="n">
        <f aca="false" ca="false" dt2D="false" dtr="false" t="normal">+B34+1</f>
        <v>18</v>
      </c>
      <c r="C35" s="104" t="s">
        <v>78</v>
      </c>
      <c r="D35" s="104" t="s">
        <v>88</v>
      </c>
      <c r="E35" s="113" t="n">
        <f aca="false" ca="true" dt2D="false" dtr="false" t="normal">SUBTOTAL(9, F35:T35)</f>
        <v>11326258.89</v>
      </c>
      <c r="F35" s="106" t="n"/>
      <c r="G35" s="106" t="n">
        <v>4815586.08</v>
      </c>
      <c r="H35" s="106" t="n"/>
      <c r="I35" s="106" t="n">
        <v>2345570.74</v>
      </c>
      <c r="J35" s="106" t="n">
        <v>0</v>
      </c>
      <c r="K35" s="106" t="n"/>
      <c r="L35" s="106" t="n"/>
      <c r="M35" s="106" t="n">
        <v>0</v>
      </c>
      <c r="N35" s="106" t="n">
        <v>0</v>
      </c>
      <c r="O35" s="106" t="n">
        <v>4165102.07</v>
      </c>
      <c r="P35" s="106" t="n">
        <v>0</v>
      </c>
      <c r="Q35" s="106" t="n">
        <v>0</v>
      </c>
      <c r="R35" s="106" t="n"/>
      <c r="S35" s="114" t="n"/>
      <c r="T35" s="115" t="n"/>
    </row>
    <row hidden="false" ht="15" outlineLevel="0" r="36">
      <c r="A36" s="116" t="n">
        <f aca="false" ca="false" dt2D="false" dtr="false" t="normal">+A35+1</f>
        <v>19</v>
      </c>
      <c r="B36" s="117" t="n">
        <f aca="false" ca="false" dt2D="false" dtr="false" t="normal">+B35+1</f>
        <v>19</v>
      </c>
      <c r="C36" s="104" t="s">
        <v>78</v>
      </c>
      <c r="D36" s="104" t="s">
        <v>89</v>
      </c>
      <c r="E36" s="113" t="n">
        <f aca="false" ca="true" dt2D="false" dtr="false" t="normal">SUBTOTAL(9, F36:T36)</f>
        <v>12466406.29</v>
      </c>
      <c r="F36" s="106" t="n">
        <v>5601164.74</v>
      </c>
      <c r="G36" s="106" t="n">
        <v>4132221.15</v>
      </c>
      <c r="H36" s="106" t="n"/>
      <c r="I36" s="106" t="n">
        <v>2594387.63</v>
      </c>
      <c r="J36" s="106" t="n">
        <v>0</v>
      </c>
      <c r="K36" s="106" t="n"/>
      <c r="L36" s="106" t="n"/>
      <c r="M36" s="106" t="n">
        <v>0</v>
      </c>
      <c r="N36" s="106" t="n">
        <v>0</v>
      </c>
      <c r="O36" s="106" t="n"/>
      <c r="P36" s="106" t="n">
        <v>0</v>
      </c>
      <c r="Q36" s="106" t="n">
        <v>0</v>
      </c>
      <c r="R36" s="106" t="n"/>
      <c r="S36" s="114" t="n"/>
      <c r="T36" s="115" t="n">
        <f aca="false" ca="false" dt2D="false" dtr="false" t="normal">138632.77</f>
        <v>138632.77</v>
      </c>
    </row>
    <row hidden="false" ht="15" outlineLevel="0" r="37">
      <c r="A37" s="116" t="n">
        <f aca="false" ca="false" dt2D="false" dtr="false" t="normal">+A36+1</f>
        <v>20</v>
      </c>
      <c r="B37" s="117" t="n">
        <f aca="false" ca="false" dt2D="false" dtr="false" t="normal">+B36+1</f>
        <v>20</v>
      </c>
      <c r="C37" s="104" t="s">
        <v>78</v>
      </c>
      <c r="D37" s="104" t="s">
        <v>90</v>
      </c>
      <c r="E37" s="113" t="n">
        <f aca="false" ca="true" dt2D="false" dtr="false" t="normal">SUBTOTAL(9, F37:T37)</f>
        <v>4707613.74</v>
      </c>
      <c r="F37" s="106" t="n"/>
      <c r="G37" s="106" t="n">
        <v>1792691.85</v>
      </c>
      <c r="H37" s="106" t="n"/>
      <c r="I37" s="106" t="n">
        <v>1124322.94</v>
      </c>
      <c r="J37" s="106" t="n">
        <v>0</v>
      </c>
      <c r="K37" s="106" t="n"/>
      <c r="L37" s="106" t="n"/>
      <c r="M37" s="106" t="n">
        <v>0</v>
      </c>
      <c r="N37" s="106" t="n">
        <v>0</v>
      </c>
      <c r="O37" s="106" t="n">
        <v>1790598.95</v>
      </c>
      <c r="P37" s="106" t="n">
        <v>0</v>
      </c>
      <c r="Q37" s="106" t="n">
        <v>0</v>
      </c>
      <c r="R37" s="106" t="n"/>
      <c r="S37" s="114" t="n"/>
      <c r="T37" s="115" t="n"/>
    </row>
    <row hidden="false" ht="15" outlineLevel="0" r="38">
      <c r="A38" s="116" t="n">
        <f aca="false" ca="false" dt2D="false" dtr="false" t="normal">+A37+1</f>
        <v>21</v>
      </c>
      <c r="B38" s="117" t="n">
        <f aca="false" ca="false" dt2D="false" dtr="false" t="normal">+B37+1</f>
        <v>21</v>
      </c>
      <c r="C38" s="104" t="s">
        <v>78</v>
      </c>
      <c r="D38" s="104" t="s">
        <v>91</v>
      </c>
      <c r="E38" s="113" t="n">
        <f aca="false" ca="true" dt2D="false" dtr="false" t="normal">SUBTOTAL(9, F38:T38)</f>
        <v>1520132.8199999998</v>
      </c>
      <c r="F38" s="106" t="n"/>
      <c r="G38" s="106" t="n">
        <v>991956.22</v>
      </c>
      <c r="H38" s="106" t="n"/>
      <c r="I38" s="106" t="n">
        <v>513354.67</v>
      </c>
      <c r="J38" s="106" t="n">
        <v>0</v>
      </c>
      <c r="K38" s="106" t="n"/>
      <c r="L38" s="106" t="n"/>
      <c r="M38" s="106" t="n">
        <v>0</v>
      </c>
      <c r="N38" s="106" t="n">
        <v>0</v>
      </c>
      <c r="O38" s="106" t="n">
        <v>0</v>
      </c>
      <c r="P38" s="106" t="n">
        <v>0</v>
      </c>
      <c r="Q38" s="106" t="n">
        <v>0</v>
      </c>
      <c r="R38" s="106" t="n"/>
      <c r="S38" s="114" t="n"/>
      <c r="T38" s="115" t="n">
        <f aca="false" ca="false" dt2D="false" dtr="false" t="normal">14821.93</f>
        <v>14821.93</v>
      </c>
    </row>
    <row hidden="false" ht="15" outlineLevel="0" r="39">
      <c r="A39" s="116" t="n">
        <f aca="false" ca="false" dt2D="false" dtr="false" t="normal">+A38+1</f>
        <v>22</v>
      </c>
      <c r="B39" s="117" t="n">
        <f aca="false" ca="false" dt2D="false" dtr="false" t="normal">+B38+1</f>
        <v>22</v>
      </c>
      <c r="C39" s="104" t="s">
        <v>78</v>
      </c>
      <c r="D39" s="104" t="s">
        <v>92</v>
      </c>
      <c r="E39" s="113" t="n">
        <f aca="false" ca="true" dt2D="false" dtr="false" t="normal">SUBTOTAL(9, F39:T39)</f>
        <v>6194141.050000001</v>
      </c>
      <c r="F39" s="106" t="n">
        <v>2562057.49</v>
      </c>
      <c r="G39" s="106" t="n">
        <v>1395411.2</v>
      </c>
      <c r="H39" s="106" t="n"/>
      <c r="I39" s="106" t="n">
        <v>767119.01</v>
      </c>
      <c r="J39" s="106" t="n">
        <v>0</v>
      </c>
      <c r="K39" s="106" t="n"/>
      <c r="L39" s="106" t="n"/>
      <c r="M39" s="106" t="n">
        <v>0</v>
      </c>
      <c r="N39" s="106" t="n">
        <v>0</v>
      </c>
      <c r="O39" s="106" t="n">
        <v>1469553.35</v>
      </c>
      <c r="P39" s="106" t="n">
        <v>0</v>
      </c>
      <c r="Q39" s="106" t="n">
        <v>0</v>
      </c>
      <c r="R39" s="106" t="n"/>
      <c r="S39" s="114" t="n"/>
      <c r="T39" s="115" t="n"/>
    </row>
    <row hidden="false" ht="15" outlineLevel="0" r="40">
      <c r="A40" s="116" t="n">
        <f aca="false" ca="false" dt2D="false" dtr="false" t="normal">+A39+1</f>
        <v>23</v>
      </c>
      <c r="B40" s="117" t="n">
        <f aca="false" ca="false" dt2D="false" dtr="false" t="normal">+B39+1</f>
        <v>23</v>
      </c>
      <c r="C40" s="104" t="s">
        <v>78</v>
      </c>
      <c r="D40" s="104" t="s">
        <v>93</v>
      </c>
      <c r="E40" s="113" t="n">
        <f aca="false" ca="true" dt2D="false" dtr="false" t="normal">SUBTOTAL(9, F40:T40)</f>
        <v>2223790.75</v>
      </c>
      <c r="F40" s="106" t="n">
        <v>2223790.75</v>
      </c>
      <c r="G40" s="106" t="n"/>
      <c r="H40" s="106" t="n"/>
      <c r="I40" s="106" t="n"/>
      <c r="J40" s="106" t="n">
        <v>0</v>
      </c>
      <c r="K40" s="106" t="n"/>
      <c r="L40" s="106" t="n"/>
      <c r="M40" s="106" t="n">
        <v>0</v>
      </c>
      <c r="N40" s="106" t="n">
        <v>0</v>
      </c>
      <c r="O40" s="106" t="n"/>
      <c r="P40" s="106" t="n">
        <v>0</v>
      </c>
      <c r="Q40" s="106" t="n">
        <v>0</v>
      </c>
      <c r="R40" s="106" t="n"/>
      <c r="S40" s="114" t="n"/>
      <c r="T40" s="115" t="n"/>
    </row>
    <row hidden="false" ht="15" outlineLevel="0" r="41">
      <c r="A41" s="116" t="n">
        <f aca="false" ca="false" dt2D="false" dtr="false" t="normal">+A40+1</f>
        <v>24</v>
      </c>
      <c r="B41" s="117" t="n">
        <f aca="false" ca="false" dt2D="false" dtr="false" t="normal">+B40+1</f>
        <v>24</v>
      </c>
      <c r="C41" s="104" t="s">
        <v>81</v>
      </c>
      <c r="D41" s="104" t="s">
        <v>94</v>
      </c>
      <c r="E41" s="113" t="n">
        <f aca="false" ca="true" dt2D="false" dtr="false" t="normal">SUBTOTAL(9, F41:T41)</f>
        <v>3218799.54</v>
      </c>
      <c r="F41" s="106" t="n">
        <v>0</v>
      </c>
      <c r="G41" s="106" t="n">
        <v>0</v>
      </c>
      <c r="H41" s="106" t="n">
        <v>0</v>
      </c>
      <c r="I41" s="106" t="n">
        <v>0</v>
      </c>
      <c r="J41" s="106" t="n">
        <v>0</v>
      </c>
      <c r="K41" s="106" t="n"/>
      <c r="L41" s="106" t="n"/>
      <c r="M41" s="106" t="n">
        <v>0</v>
      </c>
      <c r="N41" s="125" t="n">
        <v>2913300.81</v>
      </c>
      <c r="O41" s="125" t="n">
        <v>0</v>
      </c>
      <c r="P41" s="125" t="n">
        <v>0</v>
      </c>
      <c r="Q41" s="125" t="n">
        <v>0</v>
      </c>
      <c r="R41" s="125" t="n">
        <v>297498.73</v>
      </c>
      <c r="S41" s="124" t="n">
        <v>8000</v>
      </c>
      <c r="T41" s="126" t="n"/>
    </row>
    <row hidden="false" ht="15" outlineLevel="0" r="42">
      <c r="A42" s="116" t="n">
        <f aca="false" ca="false" dt2D="false" dtr="false" t="normal">+A41+1</f>
        <v>25</v>
      </c>
      <c r="B42" s="117" t="n">
        <f aca="false" ca="false" dt2D="false" dtr="false" t="normal">+B41+1</f>
        <v>25</v>
      </c>
      <c r="C42" s="104" t="s">
        <v>78</v>
      </c>
      <c r="D42" s="104" t="s">
        <v>95</v>
      </c>
      <c r="E42" s="113" t="n">
        <f aca="false" ca="true" dt2D="false" dtr="false" t="normal">SUBTOTAL(9, F42:T42)</f>
        <v>2578445.07</v>
      </c>
      <c r="F42" s="106" t="n"/>
      <c r="G42" s="106" t="n">
        <v>2540840.59</v>
      </c>
      <c r="H42" s="106" t="n">
        <v>0</v>
      </c>
      <c r="J42" s="106" t="n">
        <v>0</v>
      </c>
      <c r="K42" s="106" t="n"/>
      <c r="L42" s="106" t="n"/>
      <c r="M42" s="106" t="n">
        <v>0</v>
      </c>
      <c r="N42" s="106" t="n">
        <v>0</v>
      </c>
      <c r="O42" s="106" t="n">
        <v>0</v>
      </c>
      <c r="P42" s="106" t="n">
        <v>0</v>
      </c>
      <c r="Q42" s="106" t="n">
        <v>0</v>
      </c>
      <c r="R42" s="106" t="n"/>
      <c r="S42" s="114" t="n"/>
      <c r="T42" s="115" t="n">
        <f aca="false" ca="false" dt2D="false" dtr="false" t="normal">37604.48</f>
        <v>37604.48</v>
      </c>
    </row>
    <row hidden="false" ht="15" outlineLevel="0" r="43">
      <c r="A43" s="116" t="n">
        <f aca="false" ca="false" dt2D="false" dtr="false" t="normal">+A42+1</f>
        <v>26</v>
      </c>
      <c r="B43" s="117" t="n">
        <f aca="false" ca="false" dt2D="false" dtr="false" t="normal">+B42+1</f>
        <v>26</v>
      </c>
      <c r="C43" s="104" t="s">
        <v>81</v>
      </c>
      <c r="D43" s="104" t="s">
        <v>96</v>
      </c>
      <c r="E43" s="113" t="n">
        <f aca="false" ca="true" dt2D="false" dtr="false" t="normal">SUBTOTAL(9, F43:T43)</f>
        <v>3557949.73</v>
      </c>
      <c r="F43" s="125" t="n">
        <v>2951330.4</v>
      </c>
      <c r="G43" s="125" t="n">
        <v>0</v>
      </c>
      <c r="H43" s="125" t="n">
        <v>0</v>
      </c>
      <c r="I43" s="125" t="n">
        <v>0</v>
      </c>
      <c r="J43" s="125" t="n">
        <v>0</v>
      </c>
      <c r="K43" s="125" t="n"/>
      <c r="L43" s="125" t="n"/>
      <c r="M43" s="125" t="n">
        <v>0</v>
      </c>
      <c r="N43" s="125" t="n">
        <v>0</v>
      </c>
      <c r="O43" s="125" t="n"/>
      <c r="P43" s="125" t="n">
        <v>0</v>
      </c>
      <c r="Q43" s="125" t="n">
        <v>0</v>
      </c>
      <c r="R43" s="125" t="n">
        <v>582619.33</v>
      </c>
      <c r="S43" s="124" t="n">
        <v>24000</v>
      </c>
      <c r="T43" s="126" t="n"/>
    </row>
    <row hidden="false" ht="15" outlineLevel="0" r="44">
      <c r="A44" s="116" t="n">
        <f aca="false" ca="false" dt2D="false" dtr="false" t="normal">+A43+1</f>
        <v>27</v>
      </c>
      <c r="B44" s="117" t="n">
        <f aca="false" ca="false" dt2D="false" dtr="false" t="normal">+B43+1</f>
        <v>27</v>
      </c>
      <c r="C44" s="104" t="s">
        <v>78</v>
      </c>
      <c r="D44" s="104" t="s">
        <v>97</v>
      </c>
      <c r="E44" s="113" t="n">
        <f aca="false" ca="true" dt2D="false" dtr="false" t="normal">SUBTOTAL(9, F44:T44)</f>
        <v>8504765.02</v>
      </c>
      <c r="F44" s="106" t="n">
        <v>3433452.29</v>
      </c>
      <c r="G44" s="106" t="n">
        <v>2760585.92</v>
      </c>
      <c r="H44" s="106" t="n">
        <v>0</v>
      </c>
      <c r="I44" s="106" t="n">
        <v>2310726.81</v>
      </c>
      <c r="J44" s="106" t="n">
        <v>0</v>
      </c>
      <c r="K44" s="106" t="n"/>
      <c r="L44" s="106" t="n"/>
      <c r="M44" s="106" t="n">
        <v>0</v>
      </c>
      <c r="N44" s="106" t="n">
        <v>0</v>
      </c>
      <c r="O44" s="106" t="n">
        <v>0</v>
      </c>
      <c r="P44" s="106" t="n">
        <v>0</v>
      </c>
      <c r="Q44" s="106" t="n">
        <v>0</v>
      </c>
      <c r="R44" s="106" t="n"/>
      <c r="S44" s="114" t="n"/>
      <c r="T44" s="115" t="n">
        <v>0</v>
      </c>
    </row>
    <row hidden="false" ht="15" outlineLevel="0" r="45">
      <c r="A45" s="116" t="n">
        <f aca="false" ca="false" dt2D="false" dtr="false" t="normal">+A44+1</f>
        <v>28</v>
      </c>
      <c r="B45" s="117" t="n">
        <f aca="false" ca="false" dt2D="false" dtr="false" t="normal">+B44+1</f>
        <v>28</v>
      </c>
      <c r="C45" s="104" t="s">
        <v>78</v>
      </c>
      <c r="D45" s="104" t="s">
        <v>98</v>
      </c>
      <c r="E45" s="113" t="n">
        <f aca="false" ca="true" dt2D="false" dtr="false" t="normal">SUBTOTAL(9, F45:T45)</f>
        <v>5115227.17</v>
      </c>
      <c r="F45" s="106" t="n"/>
      <c r="G45" s="106" t="n">
        <v>0</v>
      </c>
      <c r="H45" s="106" t="n">
        <v>0</v>
      </c>
      <c r="I45" s="106" t="n"/>
      <c r="J45" s="106" t="n">
        <v>0</v>
      </c>
      <c r="K45" s="106" t="n"/>
      <c r="L45" s="106" t="n"/>
      <c r="M45" s="106" t="n">
        <v>0</v>
      </c>
      <c r="N45" s="106" t="n">
        <v>0</v>
      </c>
      <c r="O45" s="106" t="n">
        <v>5115227.17</v>
      </c>
      <c r="P45" s="106" t="n">
        <v>0</v>
      </c>
      <c r="Q45" s="106" t="n">
        <v>0</v>
      </c>
      <c r="R45" s="106" t="n"/>
      <c r="S45" s="114" t="n"/>
      <c r="T45" s="115" t="n"/>
    </row>
    <row hidden="false" ht="15" outlineLevel="0" r="46">
      <c r="A46" s="116" t="n">
        <f aca="false" ca="false" dt2D="false" dtr="false" t="normal">+A45+1</f>
        <v>29</v>
      </c>
      <c r="B46" s="117" t="n">
        <f aca="false" ca="false" dt2D="false" dtr="false" t="normal">+B45+1</f>
        <v>29</v>
      </c>
      <c r="C46" s="104" t="s">
        <v>78</v>
      </c>
      <c r="D46" s="104" t="s">
        <v>99</v>
      </c>
      <c r="E46" s="113" t="n">
        <f aca="false" ca="true" dt2D="false" dtr="false" t="normal">SUBTOTAL(9, F46:T46)</f>
        <v>4339069.35</v>
      </c>
      <c r="F46" s="106" t="n">
        <v>0</v>
      </c>
      <c r="G46" s="106" t="n">
        <v>0</v>
      </c>
      <c r="H46" s="106" t="n">
        <v>0</v>
      </c>
      <c r="I46" s="106" t="n">
        <v>0</v>
      </c>
      <c r="J46" s="106" t="n">
        <v>0</v>
      </c>
      <c r="K46" s="106" t="n"/>
      <c r="L46" s="106" t="n"/>
      <c r="M46" s="106" t="n">
        <v>0</v>
      </c>
      <c r="N46" s="106" t="n">
        <v>0</v>
      </c>
      <c r="O46" s="106" t="n">
        <v>4339069.35</v>
      </c>
      <c r="P46" s="106" t="n">
        <v>0</v>
      </c>
      <c r="Q46" s="106" t="n">
        <v>0</v>
      </c>
      <c r="R46" s="106" t="n"/>
      <c r="S46" s="114" t="n"/>
      <c r="T46" s="115" t="n"/>
    </row>
    <row hidden="false" ht="15" outlineLevel="0" r="47">
      <c r="A47" s="116" t="n">
        <f aca="false" ca="false" dt2D="false" dtr="false" t="normal">+A46+1</f>
        <v>30</v>
      </c>
      <c r="B47" s="117" t="n">
        <f aca="false" ca="false" dt2D="false" dtr="false" t="normal">+B46+1</f>
        <v>30</v>
      </c>
      <c r="C47" s="104" t="s">
        <v>78</v>
      </c>
      <c r="D47" s="104" t="s">
        <v>100</v>
      </c>
      <c r="E47" s="113" t="n">
        <f aca="false" ca="true" dt2D="false" dtr="false" t="normal">SUBTOTAL(9, F47:T47)</f>
        <v>3882256.24</v>
      </c>
      <c r="F47" s="106" t="n">
        <v>0</v>
      </c>
      <c r="G47" s="106" t="n">
        <v>0</v>
      </c>
      <c r="H47" s="106" t="n">
        <v>0</v>
      </c>
      <c r="I47" s="106" t="n">
        <v>0</v>
      </c>
      <c r="J47" s="106" t="n">
        <v>0</v>
      </c>
      <c r="K47" s="106" t="n"/>
      <c r="L47" s="106" t="n"/>
      <c r="M47" s="106" t="n">
        <v>0</v>
      </c>
      <c r="N47" s="106" t="n">
        <v>0</v>
      </c>
      <c r="O47" s="106" t="n">
        <v>3882256.24</v>
      </c>
      <c r="P47" s="106" t="n">
        <v>0</v>
      </c>
      <c r="Q47" s="106" t="n">
        <v>0</v>
      </c>
      <c r="R47" s="106" t="n"/>
      <c r="S47" s="114" t="n"/>
      <c r="T47" s="115" t="n"/>
    </row>
    <row hidden="false" ht="15" outlineLevel="0" r="48">
      <c r="A48" s="116" t="n">
        <f aca="false" ca="false" dt2D="false" dtr="false" t="normal">+A47+1</f>
        <v>31</v>
      </c>
      <c r="B48" s="117" t="n">
        <f aca="false" ca="false" dt2D="false" dtr="false" t="normal">+B47+1</f>
        <v>31</v>
      </c>
      <c r="C48" s="104" t="s">
        <v>78</v>
      </c>
      <c r="D48" s="104" t="s">
        <v>101</v>
      </c>
      <c r="E48" s="113" t="n">
        <f aca="false" ca="true" dt2D="false" dtr="false" t="normal">SUBTOTAL(9, F48:T48)</f>
        <v>3994725.91</v>
      </c>
      <c r="F48" s="106" t="n">
        <v>0</v>
      </c>
      <c r="G48" s="106" t="n">
        <v>0</v>
      </c>
      <c r="H48" s="106" t="n">
        <v>0</v>
      </c>
      <c r="I48" s="106" t="n">
        <v>0</v>
      </c>
      <c r="J48" s="106" t="n">
        <v>0</v>
      </c>
      <c r="K48" s="106" t="n"/>
      <c r="L48" s="106" t="n"/>
      <c r="M48" s="106" t="n">
        <v>0</v>
      </c>
      <c r="N48" s="106" t="n">
        <v>0</v>
      </c>
      <c r="O48" s="106" t="n">
        <v>3994725.91</v>
      </c>
      <c r="P48" s="106" t="n">
        <v>0</v>
      </c>
      <c r="Q48" s="106" t="n">
        <v>0</v>
      </c>
      <c r="R48" s="106" t="n"/>
      <c r="S48" s="114" t="n"/>
      <c r="T48" s="115" t="n"/>
    </row>
    <row hidden="false" ht="15" outlineLevel="0" r="49">
      <c r="A49" s="116" t="n">
        <f aca="false" ca="false" dt2D="false" dtr="false" t="normal">+A48+1</f>
        <v>32</v>
      </c>
      <c r="B49" s="117" t="n">
        <f aca="false" ca="false" dt2D="false" dtr="false" t="normal">+B48+1</f>
        <v>32</v>
      </c>
      <c r="C49" s="104" t="s">
        <v>78</v>
      </c>
      <c r="D49" s="104" t="s">
        <v>102</v>
      </c>
      <c r="E49" s="113" t="n">
        <f aca="false" ca="true" dt2D="false" dtr="false" t="normal">SUBTOTAL(9, F49:T49)</f>
        <v>3410025.96</v>
      </c>
      <c r="F49" s="106" t="n">
        <v>0</v>
      </c>
      <c r="G49" s="106" t="n">
        <v>0</v>
      </c>
      <c r="H49" s="106" t="n">
        <v>0</v>
      </c>
      <c r="I49" s="106" t="n">
        <v>0</v>
      </c>
      <c r="J49" s="106" t="n">
        <v>0</v>
      </c>
      <c r="K49" s="106" t="n"/>
      <c r="L49" s="106" t="n"/>
      <c r="M49" s="106" t="n">
        <v>0</v>
      </c>
      <c r="N49" s="106" t="n">
        <v>0</v>
      </c>
      <c r="O49" s="106" t="n">
        <v>3410025.96</v>
      </c>
      <c r="P49" s="106" t="n">
        <v>0</v>
      </c>
      <c r="Q49" s="106" t="n">
        <v>0</v>
      </c>
      <c r="R49" s="106" t="n"/>
      <c r="S49" s="114" t="n"/>
      <c r="T49" s="115" t="n"/>
    </row>
    <row hidden="false" ht="15" outlineLevel="0" r="50">
      <c r="A50" s="116" t="n">
        <f aca="false" ca="false" dt2D="false" dtr="false" t="normal">+A49+1</f>
        <v>33</v>
      </c>
      <c r="B50" s="117" t="n">
        <f aca="false" ca="false" dt2D="false" dtr="false" t="normal">+B49+1</f>
        <v>33</v>
      </c>
      <c r="C50" s="104" t="s">
        <v>78</v>
      </c>
      <c r="D50" s="104" t="s">
        <v>106</v>
      </c>
      <c r="E50" s="113" t="n">
        <f aca="false" ca="true" dt2D="false" dtr="false" t="normal">SUBTOTAL(9, F50:T50)</f>
        <v>11789941.39</v>
      </c>
      <c r="F50" s="106" t="n">
        <v>5460916.2</v>
      </c>
      <c r="G50" s="106" t="n"/>
      <c r="H50" s="106" t="n"/>
      <c r="I50" s="106" t="n">
        <v>2605145.33</v>
      </c>
      <c r="J50" s="106" t="n">
        <v>0</v>
      </c>
      <c r="K50" s="106" t="n"/>
      <c r="L50" s="106" t="n"/>
      <c r="M50" s="106" t="n">
        <v>0</v>
      </c>
      <c r="N50" s="106" t="n">
        <v>3676226.7</v>
      </c>
      <c r="O50" s="106" t="n">
        <v>0</v>
      </c>
      <c r="P50" s="106" t="n">
        <v>0</v>
      </c>
      <c r="Q50" s="106" t="n">
        <v>0</v>
      </c>
      <c r="R50" s="106" t="n"/>
      <c r="S50" s="114" t="n"/>
      <c r="T50" s="115" t="n">
        <f aca="false" ca="false" dt2D="false" dtr="false" t="normal">47653.16</f>
        <v>47653.16</v>
      </c>
    </row>
    <row hidden="false" ht="15" outlineLevel="0" r="51">
      <c r="A51" s="116" t="n">
        <f aca="false" ca="false" dt2D="false" dtr="false" t="normal">+A50+1</f>
        <v>34</v>
      </c>
      <c r="B51" s="117" t="n">
        <f aca="false" ca="false" dt2D="false" dtr="false" t="normal">+B50+1</f>
        <v>34</v>
      </c>
      <c r="C51" s="104" t="s">
        <v>78</v>
      </c>
      <c r="D51" s="104" t="s">
        <v>107</v>
      </c>
      <c r="E51" s="113" t="n">
        <f aca="false" ca="true" dt2D="false" dtr="false" t="normal">SUBTOTAL(9, F51:T51)</f>
        <v>24993173.34</v>
      </c>
      <c r="F51" s="106" t="n">
        <v>0</v>
      </c>
      <c r="G51" s="106" t="n">
        <v>0</v>
      </c>
      <c r="H51" s="106" t="n">
        <v>0</v>
      </c>
      <c r="I51" s="106" t="n">
        <v>0</v>
      </c>
      <c r="J51" s="106" t="n">
        <v>0</v>
      </c>
      <c r="K51" s="106" t="n"/>
      <c r="L51" s="106" t="n"/>
      <c r="M51" s="106" t="n">
        <v>0</v>
      </c>
      <c r="N51" s="106" t="n"/>
      <c r="O51" s="106" t="n">
        <v>0</v>
      </c>
      <c r="P51" s="106" t="n">
        <v>24993173.34</v>
      </c>
      <c r="Q51" s="106" t="n">
        <v>0</v>
      </c>
      <c r="R51" s="106" t="n"/>
      <c r="S51" s="114" t="n"/>
      <c r="T51" s="115" t="n"/>
    </row>
    <row hidden="false" ht="15" outlineLevel="0" r="52">
      <c r="A52" s="116" t="n">
        <f aca="false" ca="false" dt2D="false" dtr="false" t="normal">+A51+1</f>
        <v>35</v>
      </c>
      <c r="B52" s="117" t="n">
        <f aca="false" ca="false" dt2D="false" dtr="false" t="normal">+B51+1</f>
        <v>35</v>
      </c>
      <c r="C52" s="104" t="s">
        <v>78</v>
      </c>
      <c r="D52" s="104" t="s">
        <v>108</v>
      </c>
      <c r="E52" s="113" t="n">
        <f aca="false" ca="true" dt2D="false" dtr="false" t="normal">SUBTOTAL(9, F52:T52)</f>
        <v>2149155.58</v>
      </c>
      <c r="F52" s="106" t="n"/>
      <c r="G52" s="106" t="n">
        <v>2149155.58</v>
      </c>
      <c r="H52" s="106" t="n">
        <v>0</v>
      </c>
      <c r="I52" s="106" t="n">
        <v>0</v>
      </c>
      <c r="J52" s="106" t="n">
        <v>0</v>
      </c>
      <c r="K52" s="106" t="n"/>
      <c r="L52" s="106" t="n"/>
      <c r="M52" s="106" t="n"/>
      <c r="N52" s="106" t="n"/>
      <c r="O52" s="106" t="n"/>
      <c r="P52" s="106" t="n"/>
      <c r="Q52" s="106" t="n">
        <v>0</v>
      </c>
      <c r="R52" s="106" t="n"/>
      <c r="S52" s="114" t="n"/>
      <c r="T52" s="115" t="n"/>
    </row>
    <row hidden="false" ht="15" outlineLevel="0" r="53">
      <c r="A53" s="116" t="n">
        <f aca="false" ca="false" dt2D="false" dtr="false" t="normal">+A52+1</f>
        <v>36</v>
      </c>
      <c r="B53" s="117" t="n">
        <f aca="false" ca="false" dt2D="false" dtr="false" t="normal">+B52+1</f>
        <v>36</v>
      </c>
      <c r="C53" s="104" t="s">
        <v>78</v>
      </c>
      <c r="D53" s="104" t="s">
        <v>109</v>
      </c>
      <c r="E53" s="113" t="n">
        <f aca="false" ca="true" dt2D="false" dtr="false" t="normal">SUBTOTAL(9, F53:T53)</f>
        <v>1847088.8</v>
      </c>
      <c r="F53" s="106" t="n">
        <v>0</v>
      </c>
      <c r="G53" s="106" t="n">
        <v>0</v>
      </c>
      <c r="H53" s="106" t="n">
        <v>0</v>
      </c>
      <c r="I53" s="106" t="n">
        <v>0</v>
      </c>
      <c r="J53" s="106" t="n">
        <v>0</v>
      </c>
      <c r="K53" s="106" t="n"/>
      <c r="L53" s="106" t="n"/>
      <c r="M53" s="106" t="n">
        <v>0</v>
      </c>
      <c r="N53" s="106" t="n">
        <v>1822287.29</v>
      </c>
      <c r="O53" s="106" t="n">
        <v>0</v>
      </c>
      <c r="P53" s="106" t="n">
        <v>0</v>
      </c>
      <c r="Q53" s="106" t="n">
        <v>0</v>
      </c>
      <c r="R53" s="106" t="n"/>
      <c r="S53" s="114" t="n"/>
      <c r="T53" s="115" t="n">
        <f aca="false" ca="false" dt2D="false" dtr="false" t="normal">24801.51</f>
        <v>24801.51</v>
      </c>
    </row>
    <row hidden="false" ht="15" outlineLevel="0" r="54">
      <c r="A54" s="116" t="n">
        <f aca="false" ca="false" dt2D="false" dtr="false" t="normal">+A53+1</f>
        <v>37</v>
      </c>
      <c r="B54" s="117" t="n">
        <f aca="false" ca="false" dt2D="false" dtr="false" t="normal">+B53+1</f>
        <v>37</v>
      </c>
      <c r="C54" s="104" t="s">
        <v>81</v>
      </c>
      <c r="D54" s="104" t="s">
        <v>110</v>
      </c>
      <c r="E54" s="113" t="n">
        <f aca="false" ca="true" dt2D="false" dtr="false" t="normal">SUBTOTAL(9, F54:T54)</f>
        <v>21685771.74</v>
      </c>
      <c r="F54" s="106" t="n"/>
      <c r="G54" s="125" t="n">
        <v>6965734.8</v>
      </c>
      <c r="H54" s="125" t="n">
        <v>2892341.42</v>
      </c>
      <c r="I54" s="125" t="n">
        <v>3341459.79</v>
      </c>
      <c r="J54" s="125" t="n">
        <v>0</v>
      </c>
      <c r="K54" s="125" t="n"/>
      <c r="L54" s="125" t="n"/>
      <c r="M54" s="125" t="n">
        <v>0</v>
      </c>
      <c r="N54" s="125" t="n">
        <v>7743707.05</v>
      </c>
      <c r="O54" s="125" t="n">
        <v>0</v>
      </c>
      <c r="P54" s="125" t="n">
        <v>0</v>
      </c>
      <c r="Q54" s="125" t="n">
        <v>0</v>
      </c>
      <c r="R54" s="125" t="n">
        <v>732528.68</v>
      </c>
      <c r="S54" s="124" t="n">
        <v>10000</v>
      </c>
      <c r="T54" s="126" t="n"/>
    </row>
    <row hidden="false" ht="15" outlineLevel="0" r="55">
      <c r="A55" s="116" t="n">
        <f aca="false" ca="false" dt2D="false" dtr="false" t="normal">+A54+1</f>
        <v>38</v>
      </c>
      <c r="B55" s="117" t="n">
        <f aca="false" ca="false" dt2D="false" dtr="false" t="normal">+B54+1</f>
        <v>38</v>
      </c>
      <c r="C55" s="104" t="s">
        <v>111</v>
      </c>
      <c r="D55" s="104" t="s">
        <v>112</v>
      </c>
      <c r="E55" s="113" t="n">
        <f aca="false" ca="true" dt2D="false" dtr="false" t="normal">SUBTOTAL(9, F55:T55)</f>
        <v>12553815.559</v>
      </c>
      <c r="F55" s="106" t="n">
        <v>1983392.29</v>
      </c>
      <c r="G55" s="106" t="n">
        <v>0</v>
      </c>
      <c r="H55" s="106" t="n">
        <v>764851.03</v>
      </c>
      <c r="I55" s="106" t="n">
        <v>859745.54</v>
      </c>
      <c r="J55" s="106" t="n">
        <v>0</v>
      </c>
      <c r="K55" s="106" t="n"/>
      <c r="L55" s="106" t="n"/>
      <c r="M55" s="106" t="n">
        <v>0</v>
      </c>
      <c r="N55" s="106" t="n">
        <v>4729777.27</v>
      </c>
      <c r="O55" s="106" t="n">
        <v>0</v>
      </c>
      <c r="P55" s="106" t="n">
        <v>3962700.17</v>
      </c>
      <c r="Q55" s="106" t="n"/>
      <c r="R55" s="106" t="n">
        <v>118987.5845</v>
      </c>
      <c r="S55" s="114" t="n">
        <v>24854.0145</v>
      </c>
      <c r="T55" s="115" t="n">
        <f aca="false" ca="false" dt2D="false" dtr="false" t="normal">20818.12+6585.02+11518.46+32453.28+38132.78</f>
        <v>109507.66</v>
      </c>
    </row>
    <row hidden="false" ht="15" outlineLevel="0" r="56">
      <c r="A56" s="116" t="n">
        <f aca="false" ca="false" dt2D="false" dtr="false" t="normal">+A55+1</f>
        <v>39</v>
      </c>
      <c r="B56" s="117" t="n">
        <f aca="false" ca="false" dt2D="false" dtr="false" t="normal">+B55+1</f>
        <v>39</v>
      </c>
      <c r="C56" s="104" t="s">
        <v>111</v>
      </c>
      <c r="D56" s="104" t="s">
        <v>113</v>
      </c>
      <c r="E56" s="113" t="n">
        <f aca="false" ca="true" dt2D="false" dtr="false" t="normal">SUBTOTAL(9, F56:T56)</f>
        <v>9735761.079999998</v>
      </c>
      <c r="F56" s="106" t="n">
        <v>3525522.9</v>
      </c>
      <c r="G56" s="106" t="n">
        <v>0</v>
      </c>
      <c r="H56" s="106" t="n">
        <v>1377151.25</v>
      </c>
      <c r="I56" s="106" t="n"/>
      <c r="J56" s="106" t="n">
        <v>0</v>
      </c>
      <c r="K56" s="106" t="n"/>
      <c r="L56" s="106" t="n"/>
      <c r="M56" s="106" t="n">
        <v>0</v>
      </c>
      <c r="N56" s="106" t="n">
        <v>4462778.89</v>
      </c>
      <c r="O56" s="106" t="n">
        <v>0</v>
      </c>
      <c r="P56" s="106" t="n">
        <v>0</v>
      </c>
      <c r="Q56" s="106" t="n">
        <v>0</v>
      </c>
      <c r="R56" s="106" t="n">
        <v>322308.04</v>
      </c>
      <c r="S56" s="114" t="n">
        <v>48000</v>
      </c>
      <c r="T56" s="115" t="n"/>
    </row>
    <row hidden="false" ht="15" outlineLevel="0" r="57">
      <c r="A57" s="116" t="n">
        <f aca="false" ca="false" dt2D="false" dtr="false" t="normal">+A56+1</f>
        <v>40</v>
      </c>
      <c r="B57" s="117" t="n">
        <f aca="false" ca="false" dt2D="false" dtr="false" t="normal">+B56+1</f>
        <v>40</v>
      </c>
      <c r="C57" s="104" t="s">
        <v>111</v>
      </c>
      <c r="D57" s="104" t="s">
        <v>114</v>
      </c>
      <c r="E57" s="113" t="n">
        <f aca="false" ca="true" dt2D="false" dtr="false" t="normal">SUBTOTAL(9, F57:T57)</f>
        <v>7455631.819999999</v>
      </c>
      <c r="F57" s="106" t="n">
        <v>5966685.68</v>
      </c>
      <c r="G57" s="106" t="n">
        <v>1488946.14</v>
      </c>
      <c r="H57" s="106" t="n"/>
      <c r="I57" s="106" t="n"/>
      <c r="J57" s="106" t="n">
        <v>0</v>
      </c>
      <c r="K57" s="106" t="n"/>
      <c r="L57" s="106" t="n"/>
      <c r="M57" s="106" t="n">
        <v>0</v>
      </c>
      <c r="N57" s="106" t="n"/>
      <c r="O57" s="106" t="n">
        <v>0</v>
      </c>
      <c r="P57" s="106" t="n"/>
      <c r="Q57" s="106" t="n"/>
      <c r="R57" s="106" t="n"/>
      <c r="S57" s="114" t="n"/>
      <c r="T57" s="115" t="n"/>
    </row>
    <row hidden="false" ht="15" outlineLevel="0" r="58">
      <c r="A58" s="116" t="n">
        <f aca="false" ca="false" dt2D="false" dtr="false" t="normal">+A57+1</f>
        <v>41</v>
      </c>
      <c r="B58" s="117" t="n">
        <f aca="false" ca="false" dt2D="false" dtr="false" t="normal">+B57+1</f>
        <v>41</v>
      </c>
      <c r="C58" s="104" t="s">
        <v>111</v>
      </c>
      <c r="D58" s="104" t="s">
        <v>115</v>
      </c>
      <c r="E58" s="113" t="n">
        <f aca="false" ca="true" dt2D="false" dtr="false" t="normal">SUBTOTAL(9, F58:T58)</f>
        <v>12314688.842366</v>
      </c>
      <c r="F58" s="106" t="n">
        <v>1765727.93</v>
      </c>
      <c r="G58" s="106" t="n">
        <v>0</v>
      </c>
      <c r="H58" s="106" t="n">
        <v>609050.4</v>
      </c>
      <c r="I58" s="106" t="n"/>
      <c r="J58" s="106" t="n">
        <v>0</v>
      </c>
      <c r="K58" s="106" t="n"/>
      <c r="L58" s="106" t="n"/>
      <c r="M58" s="106" t="n">
        <v>0</v>
      </c>
      <c r="N58" s="106" t="n">
        <v>6221591.211066</v>
      </c>
      <c r="O58" s="106" t="n"/>
      <c r="P58" s="106" t="n"/>
      <c r="Q58" s="106" t="n">
        <v>2928661.91</v>
      </c>
      <c r="R58" s="106" t="n">
        <v>699135.1274</v>
      </c>
      <c r="S58" s="114" t="n">
        <v>90522.2639</v>
      </c>
      <c r="T58" s="115" t="n"/>
    </row>
    <row hidden="false" ht="15" outlineLevel="0" r="59">
      <c r="A59" s="116" t="n">
        <f aca="false" ca="false" dt2D="false" dtr="false" t="normal">+A58+1</f>
        <v>42</v>
      </c>
      <c r="B59" s="117" t="n">
        <f aca="false" ca="false" dt2D="false" dtr="false" t="normal">+B58+1</f>
        <v>42</v>
      </c>
      <c r="C59" s="104" t="s">
        <v>111</v>
      </c>
      <c r="D59" s="104" t="s">
        <v>116</v>
      </c>
      <c r="E59" s="113" t="n">
        <f aca="false" ca="true" dt2D="false" dtr="false" t="normal">SUBTOTAL(9, F59:T59)</f>
        <v>7111904.59</v>
      </c>
      <c r="F59" s="106" t="n">
        <v>3493966.86</v>
      </c>
      <c r="G59" s="106" t="n">
        <v>2141042.75</v>
      </c>
      <c r="H59" s="106" t="n"/>
      <c r="I59" s="106" t="n">
        <v>1393455.49</v>
      </c>
      <c r="J59" s="106" t="n"/>
      <c r="K59" s="106" t="n"/>
      <c r="L59" s="106" t="n"/>
      <c r="M59" s="106" t="n">
        <v>0</v>
      </c>
      <c r="N59" s="106" t="n">
        <v>0</v>
      </c>
      <c r="O59" s="106" t="n">
        <v>0</v>
      </c>
      <c r="P59" s="106" t="n">
        <v>0</v>
      </c>
      <c r="Q59" s="106" t="n">
        <v>0</v>
      </c>
      <c r="R59" s="106" t="n"/>
      <c r="S59" s="114" t="n"/>
      <c r="T59" s="115" t="n">
        <f aca="false" ca="false" dt2D="false" dtr="false" t="normal">47895.04+22398.98+13145.47</f>
        <v>83439.49</v>
      </c>
    </row>
    <row hidden="false" ht="15" outlineLevel="0" r="60">
      <c r="A60" s="116" t="n">
        <f aca="false" ca="false" dt2D="false" dtr="false" t="normal">+A59+1</f>
        <v>43</v>
      </c>
      <c r="B60" s="117" t="n">
        <f aca="false" ca="false" dt2D="false" dtr="false" t="normal">+B59+1</f>
        <v>43</v>
      </c>
      <c r="C60" s="104" t="s">
        <v>111</v>
      </c>
      <c r="D60" s="104" t="s">
        <v>117</v>
      </c>
      <c r="E60" s="113" t="n">
        <f aca="false" ca="true" dt2D="false" dtr="false" t="normal">SUBTOTAL(9, F60:T60)</f>
        <v>45108809.80500001</v>
      </c>
      <c r="F60" s="106" t="n">
        <v>5399356.92</v>
      </c>
      <c r="G60" s="106" t="n"/>
      <c r="H60" s="106" t="n">
        <v>2387945.18</v>
      </c>
      <c r="I60" s="106" t="n">
        <v>2433472.68</v>
      </c>
      <c r="J60" s="106" t="n"/>
      <c r="K60" s="106" t="n"/>
      <c r="L60" s="106" t="n"/>
      <c r="M60" s="106" t="n">
        <v>0</v>
      </c>
      <c r="N60" s="106" t="n">
        <v>11379650.75</v>
      </c>
      <c r="O60" s="106" t="n">
        <v>0</v>
      </c>
      <c r="P60" s="106" t="n">
        <v>18883188.84</v>
      </c>
      <c r="Q60" s="106" t="n">
        <v>3776525.81</v>
      </c>
      <c r="R60" s="106" t="n">
        <v>276792.4575</v>
      </c>
      <c r="S60" s="114" t="n">
        <v>44508.1675</v>
      </c>
      <c r="T60" s="115" t="n">
        <f aca="false" ca="false" dt2D="false" dtr="false" t="normal">64915.61+30822.62+23778.33+89763.23+262834.11+55255.1</f>
        <v>527369</v>
      </c>
    </row>
    <row hidden="false" ht="15" outlineLevel="0" r="61">
      <c r="A61" s="116" t="n">
        <f aca="false" ca="false" dt2D="false" dtr="false" t="normal">+A60+1</f>
        <v>44</v>
      </c>
      <c r="B61" s="117" t="n">
        <f aca="false" ca="false" dt2D="false" dtr="false" t="normal">+B60+1</f>
        <v>44</v>
      </c>
      <c r="C61" s="104" t="s">
        <v>111</v>
      </c>
      <c r="D61" s="104" t="s">
        <v>118</v>
      </c>
      <c r="E61" s="113" t="n">
        <f aca="false" ca="true" dt2D="false" dtr="false" t="normal">SUBTOTAL(9, F61:T61)</f>
        <v>9226907.764058206</v>
      </c>
      <c r="F61" s="106" t="n">
        <v>1114194.82</v>
      </c>
      <c r="G61" s="106" t="n">
        <v>0</v>
      </c>
      <c r="H61" s="106" t="n">
        <v>325054.98</v>
      </c>
      <c r="I61" s="106" t="n">
        <v>0</v>
      </c>
      <c r="J61" s="106" t="n">
        <v>0</v>
      </c>
      <c r="K61" s="106" t="n"/>
      <c r="L61" s="106" t="n"/>
      <c r="M61" s="106" t="n">
        <v>0</v>
      </c>
      <c r="N61" s="106" t="n">
        <v>2410884.95</v>
      </c>
      <c r="O61" s="106" t="n">
        <v>0</v>
      </c>
      <c r="P61" s="106" t="n">
        <v>2965969.93</v>
      </c>
      <c r="Q61" s="106" t="n">
        <v>2124525.03</v>
      </c>
      <c r="R61" s="106" t="n">
        <v>222088.61</v>
      </c>
      <c r="S61" s="106" t="n">
        <f aca="false" ca="false" dt2D="false" dtr="false" t="normal">64189.4440582085</f>
        <v>64189.4440582085</v>
      </c>
      <c r="T61" s="115" t="n"/>
    </row>
    <row hidden="false" ht="15" outlineLevel="0" r="62">
      <c r="A62" s="116" t="n">
        <f aca="false" ca="false" dt2D="false" dtr="false" t="normal">+A61+1</f>
        <v>45</v>
      </c>
      <c r="B62" s="117" t="n">
        <f aca="false" ca="false" dt2D="false" dtr="false" t="normal">+B61+1</f>
        <v>45</v>
      </c>
      <c r="C62" s="104" t="s">
        <v>111</v>
      </c>
      <c r="D62" s="104" t="s">
        <v>119</v>
      </c>
      <c r="E62" s="113" t="n">
        <f aca="false" ca="true" dt2D="false" dtr="false" t="normal">SUBTOTAL(9, F62:T62)</f>
        <v>295096.46</v>
      </c>
      <c r="F62" s="106" t="n">
        <v>0</v>
      </c>
      <c r="G62" s="106" t="n">
        <v>0</v>
      </c>
      <c r="H62" s="106" t="n">
        <v>295096.46</v>
      </c>
      <c r="I62" s="106" t="n">
        <v>0</v>
      </c>
      <c r="J62" s="106" t="n">
        <v>0</v>
      </c>
      <c r="K62" s="106" t="n"/>
      <c r="L62" s="106" t="n"/>
      <c r="M62" s="106" t="n">
        <v>0</v>
      </c>
      <c r="N62" s="106" t="n">
        <v>0</v>
      </c>
      <c r="O62" s="106" t="n">
        <v>0</v>
      </c>
      <c r="P62" s="106" t="n"/>
      <c r="Q62" s="106" t="n"/>
      <c r="R62" s="106" t="n"/>
      <c r="S62" s="114" t="n"/>
      <c r="T62" s="115" t="n"/>
    </row>
    <row hidden="false" ht="15" outlineLevel="0" r="63">
      <c r="A63" s="116" t="n">
        <f aca="false" ca="false" dt2D="false" dtr="false" t="normal">+A62+1</f>
        <v>46</v>
      </c>
      <c r="B63" s="117" t="n">
        <f aca="false" ca="false" dt2D="false" dtr="false" t="normal">+B62+1</f>
        <v>46</v>
      </c>
      <c r="C63" s="104" t="s">
        <v>111</v>
      </c>
      <c r="D63" s="104" t="s">
        <v>120</v>
      </c>
      <c r="E63" s="113" t="n">
        <f aca="false" ca="true" dt2D="false" dtr="false" t="normal">SUBTOTAL(9, F63:T63)</f>
        <v>295096.46</v>
      </c>
      <c r="F63" s="106" t="n">
        <v>0</v>
      </c>
      <c r="G63" s="106" t="n">
        <v>0</v>
      </c>
      <c r="H63" s="106" t="n">
        <v>295096.46</v>
      </c>
      <c r="I63" s="106" t="n">
        <v>0</v>
      </c>
      <c r="J63" s="106" t="n">
        <v>0</v>
      </c>
      <c r="K63" s="106" t="n"/>
      <c r="L63" s="106" t="n"/>
      <c r="M63" s="106" t="n">
        <v>0</v>
      </c>
      <c r="N63" s="106" t="n">
        <v>0</v>
      </c>
      <c r="O63" s="106" t="n">
        <v>0</v>
      </c>
      <c r="P63" s="106" t="n"/>
      <c r="Q63" s="106" t="n"/>
      <c r="R63" s="106" t="n"/>
      <c r="S63" s="114" t="n"/>
      <c r="T63" s="115" t="n"/>
    </row>
    <row hidden="false" ht="15" outlineLevel="0" r="64">
      <c r="A64" s="116" t="n">
        <f aca="false" ca="false" dt2D="false" dtr="false" t="normal">+A63+1</f>
        <v>47</v>
      </c>
      <c r="B64" s="117" t="n">
        <f aca="false" ca="false" dt2D="false" dtr="false" t="normal">+B63+1</f>
        <v>47</v>
      </c>
      <c r="C64" s="104" t="s">
        <v>111</v>
      </c>
      <c r="D64" s="104" t="s">
        <v>121</v>
      </c>
      <c r="E64" s="113" t="n">
        <f aca="false" ca="true" dt2D="false" dtr="false" t="normal">SUBTOTAL(9, F64:T64)</f>
        <v>20071938.110000003</v>
      </c>
      <c r="F64" s="13" t="n"/>
      <c r="G64" s="106" t="n"/>
      <c r="I64" s="106" t="n"/>
      <c r="J64" s="106" t="n"/>
      <c r="K64" s="106" t="n"/>
      <c r="L64" s="106" t="n"/>
      <c r="M64" s="106" t="n">
        <v>0</v>
      </c>
      <c r="N64" s="106" t="n"/>
      <c r="O64" s="106" t="n">
        <v>0</v>
      </c>
      <c r="P64" s="106" t="n">
        <v>13315014.15</v>
      </c>
      <c r="Q64" s="106" t="n">
        <v>6316602.7</v>
      </c>
      <c r="R64" s="106" t="n">
        <v>184016.59</v>
      </c>
      <c r="S64" s="114" t="n"/>
      <c r="T64" s="115" t="n">
        <f aca="false" ca="false" dt2D="false" dtr="false" t="normal">196715.63+59589.04</f>
        <v>256304.67</v>
      </c>
    </row>
    <row hidden="false" ht="15" outlineLevel="0" r="65">
      <c r="A65" s="116" t="n">
        <f aca="false" ca="false" dt2D="false" dtr="false" t="normal">+A64+1</f>
        <v>48</v>
      </c>
      <c r="B65" s="117" t="n">
        <f aca="false" ca="false" dt2D="false" dtr="false" t="normal">+B64+1</f>
        <v>48</v>
      </c>
      <c r="C65" s="104" t="s">
        <v>111</v>
      </c>
      <c r="D65" s="104" t="s">
        <v>122</v>
      </c>
      <c r="E65" s="113" t="n">
        <f aca="false" ca="true" dt2D="false" dtr="false" t="normal">SUBTOTAL(9, F65:T65)</f>
        <v>25808089.74580198</v>
      </c>
      <c r="F65" s="106" t="n">
        <v>4769407.1</v>
      </c>
      <c r="G65" s="106" t="n"/>
      <c r="I65" s="106" t="n">
        <v>1031316.84</v>
      </c>
      <c r="J65" s="106" t="n"/>
      <c r="K65" s="106" t="n"/>
      <c r="L65" s="106" t="n"/>
      <c r="M65" s="106" t="n">
        <v>0</v>
      </c>
      <c r="N65" s="106" t="n">
        <v>10189652.14</v>
      </c>
      <c r="O65" s="106" t="n">
        <v>0</v>
      </c>
      <c r="P65" s="106" t="n">
        <v>7616799.19</v>
      </c>
      <c r="Q65" s="106" t="n">
        <v>787626.31</v>
      </c>
      <c r="R65" s="106" t="n">
        <v>1118801.88790099</v>
      </c>
      <c r="S65" s="106" t="n">
        <f aca="false" ca="false" dt2D="false" dtr="false" t="normal">64785.607900992</f>
        <v>64785.607900992</v>
      </c>
      <c r="T65" s="115" t="n">
        <f aca="false" ca="false" dt2D="false" dtr="false" t="normal">58276.61+6630.4+97841.34+57352.04+9600.28</f>
        <v>229700.67</v>
      </c>
    </row>
    <row hidden="false" ht="15" outlineLevel="0" r="66">
      <c r="A66" s="116" t="n">
        <f aca="false" ca="false" dt2D="false" dtr="false" t="normal">+A65+1</f>
        <v>49</v>
      </c>
      <c r="B66" s="117" t="n">
        <f aca="false" ca="false" dt2D="false" dtr="false" t="normal">+B65+1</f>
        <v>49</v>
      </c>
      <c r="C66" s="104" t="s">
        <v>111</v>
      </c>
      <c r="D66" s="104" t="s">
        <v>123</v>
      </c>
      <c r="E66" s="113" t="n">
        <f aca="false" ca="true" dt2D="false" dtr="false" t="normal">SUBTOTAL(9, F66:T66)</f>
        <v>657551.96</v>
      </c>
      <c r="F66" s="106" t="n"/>
      <c r="G66" s="106" t="n"/>
      <c r="H66" s="106" t="n">
        <v>657551.96</v>
      </c>
      <c r="I66" s="106" t="n"/>
      <c r="J66" s="106" t="n"/>
      <c r="K66" s="106" t="n"/>
      <c r="L66" s="106" t="n"/>
      <c r="M66" s="106" t="n">
        <v>0</v>
      </c>
      <c r="N66" s="106" t="n"/>
      <c r="O66" s="106" t="n">
        <v>0</v>
      </c>
      <c r="P66" s="106" t="n">
        <v>0</v>
      </c>
      <c r="Q66" s="106" t="n">
        <v>0</v>
      </c>
      <c r="R66" s="106" t="n"/>
      <c r="S66" s="114" t="n"/>
      <c r="T66" s="115" t="n"/>
    </row>
    <row customFormat="true" hidden="false" ht="15" outlineLevel="0" r="67" s="129">
      <c r="A67" s="116" t="n">
        <f aca="false" ca="false" dt2D="false" dtr="false" t="normal">+A66+1</f>
        <v>50</v>
      </c>
      <c r="B67" s="117" t="n">
        <f aca="false" ca="false" dt2D="false" dtr="false" t="normal">+B66+1</f>
        <v>50</v>
      </c>
      <c r="C67" s="104" t="s">
        <v>111</v>
      </c>
      <c r="D67" s="104" t="s">
        <v>124</v>
      </c>
      <c r="E67" s="113" t="n">
        <f aca="false" ca="true" dt2D="false" dtr="false" t="normal">SUBTOTAL(9, F67:T67)</f>
        <v>5909562.2026752</v>
      </c>
      <c r="F67" s="113" t="n"/>
      <c r="G67" s="113" t="n"/>
      <c r="H67" s="113" t="n"/>
      <c r="I67" s="113" t="n"/>
      <c r="J67" s="113" t="n"/>
      <c r="K67" s="113" t="n"/>
      <c r="L67" s="113" t="n"/>
      <c r="M67" s="113" t="n">
        <v>5738993.28</v>
      </c>
      <c r="N67" s="113" t="n"/>
      <c r="O67" s="113" t="n"/>
      <c r="P67" s="113" t="n"/>
      <c r="Q67" s="113" t="n"/>
      <c r="R67" s="113" t="n">
        <v>146568.9226752</v>
      </c>
      <c r="S67" s="113" t="n">
        <v>24000</v>
      </c>
      <c r="T67" s="113" t="n"/>
    </row>
    <row customFormat="true" hidden="false" ht="15" outlineLevel="0" r="68" s="129">
      <c r="A68" s="116" t="n">
        <f aca="false" ca="false" dt2D="false" dtr="false" t="normal">+A67+1</f>
        <v>51</v>
      </c>
      <c r="B68" s="117" t="n">
        <f aca="false" ca="false" dt2D="false" dtr="false" t="normal">+B67+1</f>
        <v>51</v>
      </c>
      <c r="C68" s="104" t="s">
        <v>111</v>
      </c>
      <c r="D68" s="104" t="s">
        <v>127</v>
      </c>
      <c r="E68" s="113" t="n">
        <f aca="false" ca="true" dt2D="false" dtr="false" t="normal">SUBTOTAL(9, F68:T68)</f>
        <v>5898632.361792</v>
      </c>
      <c r="F68" s="113" t="n"/>
      <c r="G68" s="113" t="n"/>
      <c r="H68" s="113" t="n"/>
      <c r="I68" s="113" t="n"/>
      <c r="J68" s="113" t="n"/>
      <c r="K68" s="113" t="n"/>
      <c r="L68" s="113" t="n"/>
      <c r="M68" s="113" t="n">
        <v>5738993.28</v>
      </c>
      <c r="N68" s="113" t="n"/>
      <c r="O68" s="113" t="n"/>
      <c r="P68" s="113" t="n"/>
      <c r="Q68" s="113" t="n"/>
      <c r="R68" s="113" t="n">
        <v>135639.081792</v>
      </c>
      <c r="S68" s="113" t="n">
        <v>24000</v>
      </c>
      <c r="T68" s="113" t="n"/>
    </row>
    <row hidden="false" ht="15" outlineLevel="0" r="69">
      <c r="A69" s="116" t="n">
        <f aca="false" ca="false" dt2D="false" dtr="false" t="normal">+A68+1</f>
        <v>52</v>
      </c>
      <c r="B69" s="117" t="n">
        <f aca="false" ca="false" dt2D="false" dtr="false" t="normal">+B68+1</f>
        <v>52</v>
      </c>
      <c r="C69" s="104" t="s">
        <v>111</v>
      </c>
      <c r="D69" s="104" t="s">
        <v>129</v>
      </c>
      <c r="E69" s="113" t="n">
        <f aca="false" ca="true" dt2D="false" dtr="false" t="normal">SUBTOTAL(9, F69:T69)</f>
        <v>1118404.042262</v>
      </c>
      <c r="F69" s="106" t="n"/>
      <c r="G69" s="106" t="n"/>
      <c r="H69" s="106" t="n"/>
      <c r="I69" s="106" t="n"/>
      <c r="J69" s="106" t="n">
        <f aca="false" ca="false" dt2D="false" dtr="false" t="normal">1117005.032262+1399.01</f>
        <v>1118404.042262</v>
      </c>
      <c r="K69" s="106" t="n"/>
      <c r="L69" s="106" t="n"/>
      <c r="M69" s="106" t="n"/>
      <c r="N69" s="106" t="n"/>
      <c r="O69" s="106" t="n">
        <v>0</v>
      </c>
      <c r="P69" s="106" t="n">
        <v>0</v>
      </c>
      <c r="Q69" s="106" t="n">
        <v>0</v>
      </c>
      <c r="R69" s="106" t="n"/>
      <c r="S69" s="114" t="n"/>
      <c r="T69" s="115" t="n"/>
    </row>
    <row hidden="false" ht="15" outlineLevel="0" r="70">
      <c r="A70" s="116" t="n">
        <f aca="false" ca="false" dt2D="false" dtr="false" t="normal">+A69+1</f>
        <v>53</v>
      </c>
      <c r="B70" s="117" t="n">
        <f aca="false" ca="false" dt2D="false" dtr="false" t="normal">+B69+1</f>
        <v>53</v>
      </c>
      <c r="C70" s="104" t="s">
        <v>111</v>
      </c>
      <c r="D70" s="104" t="s">
        <v>130</v>
      </c>
      <c r="E70" s="113" t="n">
        <f aca="false" ca="true" dt2D="false" dtr="false" t="normal">SUBTOTAL(9, F70:T70)</f>
        <v>735121.99</v>
      </c>
      <c r="F70" s="106" t="n"/>
      <c r="G70" s="106" t="n"/>
      <c r="H70" s="106" t="n">
        <v>727596.98</v>
      </c>
      <c r="I70" s="106" t="n"/>
      <c r="J70" s="106" t="n"/>
      <c r="K70" s="106" t="n"/>
      <c r="L70" s="106" t="n"/>
      <c r="M70" s="106" t="n">
        <v>0</v>
      </c>
      <c r="N70" s="106" t="n">
        <v>0</v>
      </c>
      <c r="O70" s="106" t="n">
        <v>0</v>
      </c>
      <c r="P70" s="106" t="n">
        <v>0</v>
      </c>
      <c r="Q70" s="106" t="n">
        <v>0</v>
      </c>
      <c r="R70" s="106" t="n"/>
      <c r="S70" s="114" t="n"/>
      <c r="T70" s="115" t="n">
        <f aca="false" ca="false" dt2D="false" dtr="false" t="normal">7525.01</f>
        <v>7525.01</v>
      </c>
    </row>
    <row hidden="false" ht="15" outlineLevel="0" r="71">
      <c r="A71" s="116" t="n">
        <f aca="false" ca="false" dt2D="false" dtr="false" t="normal">+A70+1</f>
        <v>54</v>
      </c>
      <c r="B71" s="117" t="n">
        <f aca="false" ca="false" dt2D="false" dtr="false" t="normal">+B70+1</f>
        <v>54</v>
      </c>
      <c r="C71" s="104" t="s">
        <v>111</v>
      </c>
      <c r="D71" s="104" t="s">
        <v>131</v>
      </c>
      <c r="E71" s="113" t="n">
        <f aca="false" ca="true" dt2D="false" dtr="false" t="normal">SUBTOTAL(9, F71:T71)</f>
        <v>4389935.65</v>
      </c>
      <c r="F71" s="106" t="n">
        <v>2728315.47</v>
      </c>
      <c r="G71" s="106" t="n">
        <v>1047486.37</v>
      </c>
      <c r="H71" s="106" t="n">
        <v>607322.06</v>
      </c>
      <c r="I71" s="106" t="n"/>
      <c r="J71" s="106" t="n"/>
      <c r="K71" s="106" t="n"/>
      <c r="L71" s="106" t="n"/>
      <c r="M71" s="106" t="n">
        <v>0</v>
      </c>
      <c r="N71" s="106" t="n">
        <v>0</v>
      </c>
      <c r="O71" s="106" t="n">
        <v>0</v>
      </c>
      <c r="P71" s="106" t="n">
        <v>0</v>
      </c>
      <c r="Q71" s="106" t="n">
        <v>0</v>
      </c>
      <c r="R71" s="106" t="n"/>
      <c r="S71" s="114" t="n"/>
      <c r="T71" s="115" t="n">
        <v>6811.75</v>
      </c>
    </row>
    <row hidden="false" ht="15" outlineLevel="0" r="72">
      <c r="A72" s="116" t="n">
        <f aca="false" ca="false" dt2D="false" dtr="false" t="normal">+A71+1</f>
        <v>55</v>
      </c>
      <c r="B72" s="117" t="n">
        <f aca="false" ca="false" dt2D="false" dtr="false" t="normal">+B71+1</f>
        <v>55</v>
      </c>
      <c r="C72" s="104" t="s">
        <v>111</v>
      </c>
      <c r="D72" s="104" t="s">
        <v>132</v>
      </c>
      <c r="E72" s="113" t="n">
        <f aca="false" ca="true" dt2D="false" dtr="false" t="normal">SUBTOTAL(9, F72:T72)</f>
        <v>1827661.8</v>
      </c>
      <c r="F72" s="106" t="n"/>
      <c r="G72" s="106" t="n">
        <v>0</v>
      </c>
      <c r="H72" s="106" t="n"/>
      <c r="I72" s="106" t="n">
        <v>1827661.8</v>
      </c>
      <c r="J72" s="106" t="n">
        <v>0</v>
      </c>
      <c r="K72" s="106" t="n"/>
      <c r="L72" s="106" t="n"/>
      <c r="M72" s="106" t="n">
        <v>0</v>
      </c>
      <c r="N72" s="106" t="n"/>
      <c r="O72" s="106" t="n">
        <v>0</v>
      </c>
      <c r="P72" s="106" t="n"/>
      <c r="Q72" s="106" t="n">
        <v>0</v>
      </c>
      <c r="R72" s="106" t="n"/>
      <c r="S72" s="114" t="n"/>
      <c r="T72" s="115" t="n"/>
    </row>
    <row hidden="false" ht="15" outlineLevel="0" r="73">
      <c r="A73" s="116" t="n">
        <f aca="false" ca="false" dt2D="false" dtr="false" t="normal">+A72+1</f>
        <v>56</v>
      </c>
      <c r="B73" s="117" t="n">
        <f aca="false" ca="false" dt2D="false" dtr="false" t="normal">+B72+1</f>
        <v>56</v>
      </c>
      <c r="C73" s="104" t="s">
        <v>111</v>
      </c>
      <c r="D73" s="104" t="s">
        <v>133</v>
      </c>
      <c r="E73" s="113" t="n">
        <f aca="false" ca="true" dt2D="false" dtr="false" t="normal">SUBTOTAL(9, F73:T73)</f>
        <v>2845906.28</v>
      </c>
      <c r="F73" s="106" t="n"/>
      <c r="G73" s="106" t="n">
        <v>0</v>
      </c>
      <c r="H73" s="106" t="n"/>
      <c r="I73" s="106" t="n"/>
      <c r="J73" s="106" t="n">
        <v>0</v>
      </c>
      <c r="K73" s="106" t="n"/>
      <c r="L73" s="106" t="n"/>
      <c r="M73" s="106" t="n">
        <v>0</v>
      </c>
      <c r="N73" s="106" t="n">
        <v>2845906.28</v>
      </c>
      <c r="O73" s="106" t="n">
        <v>0</v>
      </c>
      <c r="P73" s="106" t="n"/>
      <c r="Q73" s="106" t="n">
        <v>0</v>
      </c>
      <c r="R73" s="106" t="n"/>
      <c r="S73" s="114" t="n"/>
      <c r="T73" s="115" t="n"/>
    </row>
    <row hidden="false" ht="15" outlineLevel="0" r="74">
      <c r="A74" s="116" t="n">
        <f aca="false" ca="false" dt2D="false" dtr="false" t="normal">+A73+1</f>
        <v>57</v>
      </c>
      <c r="B74" s="117" t="n">
        <f aca="false" ca="false" dt2D="false" dtr="false" t="normal">+B73+1</f>
        <v>57</v>
      </c>
      <c r="C74" s="104" t="s">
        <v>111</v>
      </c>
      <c r="D74" s="104" t="s">
        <v>134</v>
      </c>
      <c r="E74" s="113" t="n">
        <f aca="false" ca="true" dt2D="false" dtr="false" t="normal">SUBTOTAL(9, F74:T74)</f>
        <v>5847141.2763</v>
      </c>
      <c r="F74" s="106" t="n"/>
      <c r="G74" s="106" t="n">
        <v>0</v>
      </c>
      <c r="J74" s="106" t="n">
        <v>0</v>
      </c>
      <c r="K74" s="106" t="n"/>
      <c r="L74" s="106" t="n"/>
      <c r="M74" s="106" t="n">
        <v>0</v>
      </c>
      <c r="N74" s="106" t="n">
        <v>3018526.85</v>
      </c>
      <c r="O74" s="106" t="n">
        <v>0</v>
      </c>
      <c r="P74" s="106" t="n"/>
      <c r="Q74" s="106" t="n">
        <v>0</v>
      </c>
      <c r="R74" s="106" t="n">
        <v>2550189.857</v>
      </c>
      <c r="S74" s="114" t="n">
        <f aca="false" ca="false" dt2D="false" dtr="false" t="normal">278424.5693</f>
        <v>278424.5693</v>
      </c>
      <c r="T74" s="115" t="n"/>
    </row>
    <row hidden="false" ht="15" outlineLevel="0" r="75">
      <c r="A75" s="116" t="n">
        <f aca="false" ca="false" dt2D="false" dtr="false" t="normal">+A74+1</f>
        <v>58</v>
      </c>
      <c r="B75" s="117" t="n">
        <f aca="false" ca="false" dt2D="false" dtr="false" t="normal">+B74+1</f>
        <v>58</v>
      </c>
      <c r="C75" s="104" t="s">
        <v>111</v>
      </c>
      <c r="D75" s="104" t="s">
        <v>135</v>
      </c>
      <c r="E75" s="113" t="n">
        <f aca="false" ca="true" dt2D="false" dtr="false" t="normal">SUBTOTAL(9, F75:T75)</f>
        <v>9311700.5</v>
      </c>
      <c r="F75" s="106" t="n"/>
      <c r="G75" s="106" t="n"/>
      <c r="H75" s="106" t="n"/>
      <c r="I75" s="106" t="n"/>
      <c r="J75" s="106" t="n">
        <v>0</v>
      </c>
      <c r="K75" s="106" t="n"/>
      <c r="L75" s="106" t="n"/>
      <c r="M75" s="106" t="n">
        <v>0</v>
      </c>
      <c r="N75" s="106" t="n">
        <v>0</v>
      </c>
      <c r="O75" s="106" t="n">
        <v>0</v>
      </c>
      <c r="P75" s="106" t="n">
        <v>9311700.5</v>
      </c>
      <c r="Q75" s="106" t="n">
        <v>0</v>
      </c>
      <c r="R75" s="106" t="n"/>
      <c r="S75" s="114" t="n"/>
      <c r="T75" s="115" t="n"/>
    </row>
    <row hidden="false" ht="15" outlineLevel="0" r="76">
      <c r="A76" s="116" t="n">
        <f aca="false" ca="false" dt2D="false" dtr="false" t="normal">+A75+1</f>
        <v>59</v>
      </c>
      <c r="B76" s="117" t="n">
        <f aca="false" ca="false" dt2D="false" dtr="false" t="normal">+B75+1</f>
        <v>59</v>
      </c>
      <c r="C76" s="104" t="s">
        <v>111</v>
      </c>
      <c r="D76" s="104" t="s">
        <v>136</v>
      </c>
      <c r="E76" s="113" t="n">
        <f aca="false" ca="true" dt2D="false" dtr="false" t="normal">SUBTOTAL(9, F76:T76)</f>
        <v>33304826.762600005</v>
      </c>
      <c r="F76" s="106" t="n">
        <v>6954265.38</v>
      </c>
      <c r="G76" s="106" t="n">
        <v>2374323.58</v>
      </c>
      <c r="H76" s="106" t="n">
        <v>3305645.72</v>
      </c>
      <c r="I76" s="106" t="n">
        <v>2650517.18</v>
      </c>
      <c r="J76" s="106" t="n"/>
      <c r="K76" s="106" t="n"/>
      <c r="L76" s="106" t="n"/>
      <c r="M76" s="106" t="n"/>
      <c r="N76" s="106" t="n">
        <v>7951460.72</v>
      </c>
      <c r="O76" s="106" t="n"/>
      <c r="P76" s="106" t="n"/>
      <c r="Q76" s="106" t="n">
        <v>9695977.58</v>
      </c>
      <c r="R76" s="106" t="n">
        <v>328083.3963</v>
      </c>
      <c r="S76" s="114" t="n">
        <v>44553.2063</v>
      </c>
      <c r="T76" s="115" t="n"/>
    </row>
    <row hidden="false" ht="15" outlineLevel="0" r="77">
      <c r="A77" s="116" t="n">
        <f aca="false" ca="false" dt2D="false" dtr="false" t="normal">+A76+1</f>
        <v>60</v>
      </c>
      <c r="B77" s="117" t="n">
        <f aca="false" ca="false" dt2D="false" dtr="false" t="normal">+B76+1</f>
        <v>60</v>
      </c>
      <c r="C77" s="104" t="s">
        <v>111</v>
      </c>
      <c r="D77" s="104" t="s">
        <v>137</v>
      </c>
      <c r="E77" s="113" t="n">
        <f aca="false" ca="true" dt2D="false" dtr="false" t="normal">SUBTOTAL(9, F77:T77)</f>
        <v>1171020.99</v>
      </c>
      <c r="F77" s="106" t="n"/>
      <c r="G77" s="106" t="n">
        <v>0</v>
      </c>
      <c r="H77" s="106" t="n">
        <v>0</v>
      </c>
      <c r="I77" s="106" t="n">
        <v>0</v>
      </c>
      <c r="J77" s="106" t="n">
        <v>1171020.99</v>
      </c>
      <c r="K77" s="106" t="n"/>
      <c r="L77" s="106" t="n"/>
      <c r="M77" s="106" t="n">
        <v>0</v>
      </c>
      <c r="N77" s="106" t="n"/>
      <c r="O77" s="106" t="n">
        <v>0</v>
      </c>
      <c r="P77" s="106" t="n"/>
      <c r="Q77" s="106" t="n"/>
      <c r="R77" s="106" t="n"/>
      <c r="S77" s="114" t="n"/>
      <c r="T77" s="115" t="n"/>
    </row>
    <row hidden="false" ht="15" outlineLevel="0" r="78">
      <c r="A78" s="116" t="n">
        <f aca="false" ca="false" dt2D="false" dtr="false" t="normal">+A77+1</f>
        <v>61</v>
      </c>
      <c r="B78" s="117" t="n">
        <f aca="false" ca="false" dt2D="false" dtr="false" t="normal">+B77+1</f>
        <v>61</v>
      </c>
      <c r="C78" s="104" t="s">
        <v>111</v>
      </c>
      <c r="D78" s="104" t="s">
        <v>138</v>
      </c>
      <c r="E78" s="113" t="n">
        <f aca="false" ca="true" dt2D="false" dtr="false" t="normal">SUBTOTAL(9, F78:T78)</f>
        <v>19908141.098000005</v>
      </c>
      <c r="F78" s="106" t="n">
        <v>7847760.99</v>
      </c>
      <c r="G78" s="106" t="n"/>
      <c r="H78" s="106" t="n"/>
      <c r="I78" s="106" t="n"/>
      <c r="J78" s="106" t="n"/>
      <c r="K78" s="106" t="n"/>
      <c r="L78" s="106" t="n"/>
      <c r="M78" s="106" t="n">
        <v>0</v>
      </c>
      <c r="N78" s="106" t="n">
        <v>0</v>
      </c>
      <c r="O78" s="106" t="n">
        <v>0</v>
      </c>
      <c r="P78" s="106" t="n">
        <v>0</v>
      </c>
      <c r="Q78" s="106" t="n">
        <f aca="false" ca="false" dt2D="false" dtr="false" t="normal">7597182.26+3870122.95</f>
        <v>11467305.21</v>
      </c>
      <c r="R78" s="106" t="n">
        <v>504570.499</v>
      </c>
      <c r="S78" s="114" t="n">
        <v>88504.399</v>
      </c>
      <c r="T78" s="115" t="n"/>
    </row>
    <row hidden="false" ht="15" outlineLevel="0" r="79">
      <c r="A79" s="116" t="n">
        <f aca="false" ca="false" dt2D="false" dtr="false" t="normal">+A78+1</f>
        <v>62</v>
      </c>
      <c r="B79" s="117" t="n">
        <f aca="false" ca="false" dt2D="false" dtr="false" t="normal">+B78+1</f>
        <v>62</v>
      </c>
      <c r="C79" s="104" t="s">
        <v>111</v>
      </c>
      <c r="D79" s="104" t="s">
        <v>139</v>
      </c>
      <c r="E79" s="113" t="n">
        <f aca="false" ca="true" dt2D="false" dtr="false" t="normal">SUBTOTAL(9, F79:T79)</f>
        <v>15562524.65</v>
      </c>
      <c r="F79" s="106" t="n">
        <v>0</v>
      </c>
      <c r="G79" s="106" t="n">
        <v>0</v>
      </c>
      <c r="H79" s="106" t="n">
        <v>0</v>
      </c>
      <c r="I79" s="106" t="n">
        <v>0</v>
      </c>
      <c r="J79" s="106" t="n"/>
      <c r="K79" s="106" t="n"/>
      <c r="L79" s="106" t="n"/>
      <c r="M79" s="106" t="n">
        <v>0</v>
      </c>
      <c r="N79" s="106" t="n">
        <v>0</v>
      </c>
      <c r="O79" s="106" t="n">
        <v>0</v>
      </c>
      <c r="P79" s="106" t="n">
        <v>15562524.65</v>
      </c>
      <c r="Q79" s="106" t="n">
        <v>0</v>
      </c>
      <c r="R79" s="106" t="n"/>
      <c r="S79" s="114" t="n"/>
      <c r="T79" s="115" t="n"/>
    </row>
    <row hidden="false" ht="15" outlineLevel="0" r="80">
      <c r="A80" s="116" t="n">
        <f aca="false" ca="false" dt2D="false" dtr="false" t="normal">+A79+1</f>
        <v>63</v>
      </c>
      <c r="B80" s="117" t="n">
        <f aca="false" ca="false" dt2D="false" dtr="false" t="normal">+B79+1</f>
        <v>63</v>
      </c>
      <c r="C80" s="104" t="s">
        <v>111</v>
      </c>
      <c r="D80" s="104" t="s">
        <v>140</v>
      </c>
      <c r="E80" s="113" t="n">
        <f aca="false" ca="true" dt2D="false" dtr="false" t="normal">SUBTOTAL(9, F80:T80)</f>
        <v>14282939.92</v>
      </c>
      <c r="F80" s="106" t="n"/>
      <c r="G80" s="106" t="n"/>
      <c r="H80" s="106" t="n">
        <v>1212218.34</v>
      </c>
      <c r="I80" s="106" t="n"/>
      <c r="J80" s="106" t="n"/>
      <c r="K80" s="106" t="n"/>
      <c r="L80" s="106" t="n"/>
      <c r="M80" s="106" t="n">
        <v>0</v>
      </c>
      <c r="N80" s="106" t="n"/>
      <c r="O80" s="106" t="n">
        <v>0</v>
      </c>
      <c r="P80" s="106" t="n">
        <v>12904791.25</v>
      </c>
      <c r="Q80" s="106" t="n"/>
      <c r="R80" s="106" t="n"/>
      <c r="S80" s="114" t="n"/>
      <c r="T80" s="115" t="n">
        <f aca="false" ca="false" dt2D="false" dtr="false" t="normal">14909.16+151021.17</f>
        <v>165930.33000000002</v>
      </c>
    </row>
    <row hidden="false" ht="15" outlineLevel="0" r="81">
      <c r="A81" s="116" t="n">
        <f aca="false" ca="false" dt2D="false" dtr="false" t="normal">+A80+1</f>
        <v>64</v>
      </c>
      <c r="B81" s="117" t="n">
        <f aca="false" ca="false" dt2D="false" dtr="false" t="normal">+B80+1</f>
        <v>64</v>
      </c>
      <c r="C81" s="104" t="s">
        <v>111</v>
      </c>
      <c r="D81" s="104" t="s">
        <v>141</v>
      </c>
      <c r="E81" s="113" t="n">
        <f aca="false" ca="true" dt2D="false" dtr="false" t="normal">SUBTOTAL(9, F81:T81)</f>
        <v>14428878.05</v>
      </c>
      <c r="F81" s="106" t="n"/>
      <c r="G81" s="106" t="n"/>
      <c r="H81" s="106" t="n">
        <v>1218340.66</v>
      </c>
      <c r="I81" s="106" t="n"/>
      <c r="J81" s="106" t="n"/>
      <c r="K81" s="106" t="n"/>
      <c r="L81" s="106" t="n"/>
      <c r="M81" s="106" t="n">
        <v>0</v>
      </c>
      <c r="N81" s="106" t="n"/>
      <c r="O81" s="106" t="n">
        <v>0</v>
      </c>
      <c r="P81" s="106" t="n">
        <v>13044527.99</v>
      </c>
      <c r="Q81" s="106" t="n"/>
      <c r="R81" s="106" t="n"/>
      <c r="S81" s="114" t="n"/>
      <c r="T81" s="115" t="n">
        <f aca="false" ca="false" dt2D="false" dtr="false" t="normal">151177.15+14832.25</f>
        <v>166009.4</v>
      </c>
    </row>
    <row hidden="false" ht="15" outlineLevel="0" r="82">
      <c r="A82" s="116" t="n">
        <f aca="false" ca="false" dt2D="false" dtr="false" t="normal">+A81+1</f>
        <v>65</v>
      </c>
      <c r="B82" s="117" t="n">
        <f aca="false" ca="false" dt2D="false" dtr="false" t="normal">+B81+1</f>
        <v>65</v>
      </c>
      <c r="C82" s="104" t="s">
        <v>111</v>
      </c>
      <c r="D82" s="104" t="s">
        <v>142</v>
      </c>
      <c r="E82" s="113" t="n">
        <f aca="false" ca="true" dt2D="false" dtr="false" t="normal">SUBTOTAL(9, F82:T82)</f>
        <v>9367953.288500002</v>
      </c>
      <c r="F82" s="106" t="n">
        <v>6542286.32</v>
      </c>
      <c r="G82" s="106" t="n">
        <v>0</v>
      </c>
      <c r="H82" s="106" t="n">
        <v>1697416.27</v>
      </c>
      <c r="I82" s="106" t="n">
        <v>0</v>
      </c>
      <c r="J82" s="106" t="n"/>
      <c r="K82" s="106" t="n"/>
      <c r="L82" s="106" t="n"/>
      <c r="M82" s="106" t="n">
        <v>0</v>
      </c>
      <c r="N82" s="106" t="n">
        <v>0</v>
      </c>
      <c r="O82" s="106" t="n">
        <v>0</v>
      </c>
      <c r="P82" s="106" t="n">
        <v>0</v>
      </c>
      <c r="Q82" s="106" t="n">
        <v>0</v>
      </c>
      <c r="R82" s="106" t="n">
        <v>937979.5906</v>
      </c>
      <c r="S82" s="114" t="n">
        <v>109643.8679</v>
      </c>
      <c r="T82" s="115" t="n">
        <f aca="false" ca="false" dt2D="false" dtr="false" t="normal">61658.99+18968.25</f>
        <v>80627.23999999999</v>
      </c>
    </row>
    <row hidden="false" ht="15" outlineLevel="0" r="83">
      <c r="A83" s="116" t="n">
        <f aca="false" ca="false" dt2D="false" dtr="false" t="normal">+A82+1</f>
        <v>66</v>
      </c>
      <c r="B83" s="117" t="n">
        <f aca="false" ca="false" dt2D="false" dtr="false" t="normal">+B82+1</f>
        <v>66</v>
      </c>
      <c r="C83" s="104" t="s">
        <v>111</v>
      </c>
      <c r="D83" s="104" t="s">
        <v>143</v>
      </c>
      <c r="E83" s="113" t="n">
        <f aca="false" ca="true" dt2D="false" dtr="false" t="normal">SUBTOTAL(9, F83:T83)</f>
        <v>6007940.01</v>
      </c>
      <c r="F83" s="106" t="n"/>
      <c r="G83" s="106" t="n"/>
      <c r="H83" s="106" t="n"/>
      <c r="I83" s="106" t="n"/>
      <c r="J83" s="106" t="n"/>
      <c r="K83" s="106" t="n"/>
      <c r="L83" s="106" t="n"/>
      <c r="M83" s="106" t="n"/>
      <c r="N83" s="106" t="n"/>
      <c r="O83" s="106" t="n"/>
      <c r="P83" s="106" t="n"/>
      <c r="Q83" s="106" t="n">
        <v>5951792.49</v>
      </c>
      <c r="R83" s="106" t="n"/>
      <c r="S83" s="114" t="n"/>
      <c r="T83" s="115" t="n">
        <v>56147.52</v>
      </c>
    </row>
    <row hidden="false" ht="15" outlineLevel="0" r="84">
      <c r="A84" s="116" t="n">
        <f aca="false" ca="false" dt2D="false" dtr="false" t="normal">+A83+1</f>
        <v>67</v>
      </c>
      <c r="B84" s="117" t="n">
        <f aca="false" ca="false" dt2D="false" dtr="false" t="normal">+B83+1</f>
        <v>67</v>
      </c>
      <c r="C84" s="104" t="s">
        <v>111</v>
      </c>
      <c r="D84" s="104" t="s">
        <v>144</v>
      </c>
      <c r="E84" s="113" t="n">
        <f aca="false" ca="true" dt2D="false" dtr="false" t="normal">SUBTOTAL(9, F84:T84)</f>
        <v>13112357.780000001</v>
      </c>
      <c r="F84" s="106" t="n"/>
      <c r="G84" s="106" t="n"/>
      <c r="H84" s="106" t="n"/>
      <c r="I84" s="106" t="n"/>
      <c r="J84" s="106" t="n"/>
      <c r="K84" s="106" t="n"/>
      <c r="L84" s="106" t="n"/>
      <c r="M84" s="106" t="n"/>
      <c r="N84" s="106" t="n">
        <v>8640336.74</v>
      </c>
      <c r="O84" s="106" t="n"/>
      <c r="P84" s="106" t="n"/>
      <c r="Q84" s="106" t="n">
        <v>4367516.82</v>
      </c>
      <c r="R84" s="106" t="n"/>
      <c r="S84" s="114" t="n"/>
      <c r="T84" s="115" t="n">
        <f aca="false" ca="false" dt2D="false" dtr="false" t="normal">62868.6+41635.62</f>
        <v>104504.22</v>
      </c>
    </row>
    <row hidden="false" ht="15" outlineLevel="0" r="85">
      <c r="A85" s="116" t="n">
        <f aca="false" ca="false" dt2D="false" dtr="false" t="normal">+A84+1</f>
        <v>68</v>
      </c>
      <c r="B85" s="117" t="n">
        <f aca="false" ca="false" dt2D="false" dtr="false" t="normal">+B84+1</f>
        <v>68</v>
      </c>
      <c r="C85" s="104" t="s">
        <v>111</v>
      </c>
      <c r="D85" s="104" t="s">
        <v>145</v>
      </c>
      <c r="E85" s="113" t="n">
        <f aca="false" ca="true" dt2D="false" dtr="false" t="normal">SUBTOTAL(9, F85:T85)</f>
        <v>6811683.42</v>
      </c>
      <c r="F85" s="106" t="n"/>
      <c r="G85" s="106" t="n"/>
      <c r="H85" s="106" t="n"/>
      <c r="I85" s="106" t="n"/>
      <c r="J85" s="106" t="n"/>
      <c r="K85" s="106" t="n"/>
      <c r="L85" s="106" t="n"/>
      <c r="M85" s="106" t="n">
        <v>0</v>
      </c>
      <c r="N85" s="106" t="n"/>
      <c r="O85" s="106" t="n">
        <v>0</v>
      </c>
      <c r="P85" s="106" t="n"/>
      <c r="Q85" s="106" t="n">
        <v>6748339.81</v>
      </c>
      <c r="R85" s="106" t="n"/>
      <c r="S85" s="114" t="n"/>
      <c r="T85" s="115" t="n">
        <v>63343.61</v>
      </c>
    </row>
    <row hidden="false" ht="15" outlineLevel="0" r="86">
      <c r="A86" s="116" t="n">
        <f aca="false" ca="false" dt2D="false" dtr="false" t="normal">+A85+1</f>
        <v>69</v>
      </c>
      <c r="B86" s="117" t="n">
        <f aca="false" ca="false" dt2D="false" dtr="false" t="normal">+B85+1</f>
        <v>69</v>
      </c>
      <c r="C86" s="104" t="s">
        <v>111</v>
      </c>
      <c r="D86" s="104" t="s">
        <v>146</v>
      </c>
      <c r="E86" s="113" t="n">
        <f aca="false" ca="true" dt2D="false" dtr="false" t="normal">SUBTOTAL(9, F86:T86)</f>
        <v>31028207.490000002</v>
      </c>
      <c r="F86" s="106" t="n">
        <v>9954639.86</v>
      </c>
      <c r="G86" s="106" t="n">
        <v>6212728.62</v>
      </c>
      <c r="H86" s="106" t="n"/>
      <c r="I86" s="106" t="n">
        <v>4876418.04</v>
      </c>
      <c r="J86" s="106" t="n"/>
      <c r="K86" s="106" t="n"/>
      <c r="L86" s="106" t="n"/>
      <c r="M86" s="106" t="n">
        <v>0</v>
      </c>
      <c r="N86" s="106" t="n">
        <v>9984420.97</v>
      </c>
      <c r="O86" s="106" t="n">
        <v>0</v>
      </c>
      <c r="P86" s="106" t="n"/>
      <c r="Q86" s="106" t="n"/>
      <c r="R86" s="106" t="n"/>
      <c r="S86" s="114" t="n"/>
      <c r="T86" s="115" t="n"/>
    </row>
    <row customFormat="true" hidden="false" ht="15" outlineLevel="0" r="87" s="129">
      <c r="A87" s="116" t="n">
        <f aca="false" ca="false" dt2D="false" dtr="false" t="normal">+A86+1</f>
        <v>70</v>
      </c>
      <c r="B87" s="117" t="n">
        <f aca="false" ca="false" dt2D="false" dtr="false" t="normal">+B86+1</f>
        <v>70</v>
      </c>
      <c r="C87" s="104" t="s">
        <v>111</v>
      </c>
      <c r="D87" s="104" t="s">
        <v>147</v>
      </c>
      <c r="E87" s="113" t="n">
        <f aca="false" ca="true" dt2D="false" dtr="false" t="normal">SUBTOTAL(9, F87:T87)</f>
        <v>8794774.925316095</v>
      </c>
      <c r="F87" s="113" t="n"/>
      <c r="G87" s="113" t="n"/>
      <c r="H87" s="113" t="n"/>
      <c r="I87" s="113" t="n"/>
      <c r="J87" s="113" t="n"/>
      <c r="K87" s="113" t="n"/>
      <c r="L87" s="113" t="n"/>
      <c r="M87" s="113" t="n">
        <v>8608489.92</v>
      </c>
      <c r="N87" s="113" t="n"/>
      <c r="O87" s="113" t="n"/>
      <c r="P87" s="113" t="n"/>
      <c r="Q87" s="113" t="n"/>
      <c r="R87" s="113" t="n">
        <v>162285.005316096</v>
      </c>
      <c r="S87" s="113" t="n">
        <v>24000</v>
      </c>
      <c r="T87" s="113" t="n"/>
    </row>
    <row hidden="false" ht="15" outlineLevel="0" r="88">
      <c r="A88" s="116" t="n">
        <f aca="false" ca="false" dt2D="false" dtr="false" t="normal">+A87+1</f>
        <v>71</v>
      </c>
      <c r="B88" s="117" t="n">
        <f aca="false" ca="false" dt2D="false" dtr="false" t="normal">+B87+1</f>
        <v>71</v>
      </c>
      <c r="C88" s="104" t="s">
        <v>111</v>
      </c>
      <c r="D88" s="104" t="s">
        <v>149</v>
      </c>
      <c r="E88" s="113" t="n">
        <f aca="false" ca="true" dt2D="false" dtr="false" t="normal">SUBTOTAL(9, F88:T88)</f>
        <v>28792487.709999997</v>
      </c>
      <c r="F88" s="106" t="n">
        <v>0</v>
      </c>
      <c r="G88" s="106" t="n">
        <v>0</v>
      </c>
      <c r="H88" s="106" t="n"/>
      <c r="I88" s="106" t="n">
        <v>0</v>
      </c>
      <c r="J88" s="106" t="n">
        <v>0</v>
      </c>
      <c r="K88" s="106" t="n"/>
      <c r="L88" s="106" t="n"/>
      <c r="M88" s="106" t="n">
        <v>0</v>
      </c>
      <c r="N88" s="106" t="n">
        <v>12527051.33</v>
      </c>
      <c r="O88" s="106" t="n">
        <v>0</v>
      </c>
      <c r="P88" s="106" t="n">
        <v>16115638.25</v>
      </c>
      <c r="Q88" s="106" t="n">
        <v>0</v>
      </c>
      <c r="R88" s="106" t="n"/>
      <c r="S88" s="114" t="n"/>
      <c r="T88" s="115" t="n">
        <f aca="false" ca="false" dt2D="false" dtr="false" t="normal">149798.13</f>
        <v>149798.13</v>
      </c>
    </row>
    <row hidden="false" ht="15" outlineLevel="0" r="89">
      <c r="A89" s="116" t="n">
        <f aca="false" ca="false" dt2D="false" dtr="false" t="normal">+A88+1</f>
        <v>72</v>
      </c>
      <c r="B89" s="117" t="n">
        <f aca="false" ca="false" dt2D="false" dtr="false" t="normal">+B88+1</f>
        <v>72</v>
      </c>
      <c r="C89" s="104" t="s">
        <v>111</v>
      </c>
      <c r="D89" s="104" t="s">
        <v>150</v>
      </c>
      <c r="E89" s="113" t="n">
        <f aca="false" ca="true" dt2D="false" dtr="false" t="normal">SUBTOTAL(9, F89:T89)</f>
        <v>1066659.0699999998</v>
      </c>
      <c r="F89" s="106" t="n"/>
      <c r="H89" s="106" t="n">
        <v>1057009.16</v>
      </c>
      <c r="I89" s="106" t="n"/>
      <c r="J89" s="106" t="n">
        <v>0</v>
      </c>
      <c r="K89" s="106" t="n"/>
      <c r="L89" s="106" t="n"/>
      <c r="M89" s="106" t="n">
        <v>0</v>
      </c>
      <c r="O89" s="106" t="n">
        <v>0</v>
      </c>
      <c r="P89" s="106" t="n">
        <v>0</v>
      </c>
      <c r="Q89" s="106" t="n">
        <v>0</v>
      </c>
      <c r="R89" s="106" t="n"/>
      <c r="S89" s="114" t="n"/>
      <c r="T89" s="115" t="n">
        <f aca="false" ca="false" dt2D="false" dtr="false" t="normal">9649.91</f>
        <v>9649.91</v>
      </c>
    </row>
    <row hidden="false" ht="15" outlineLevel="0" r="90">
      <c r="A90" s="116" t="n">
        <f aca="false" ca="false" dt2D="false" dtr="false" t="normal">+A89+1</f>
        <v>73</v>
      </c>
      <c r="B90" s="117" t="n">
        <f aca="false" ca="false" dt2D="false" dtr="false" t="normal">+B89+1</f>
        <v>73</v>
      </c>
      <c r="C90" s="104" t="s">
        <v>111</v>
      </c>
      <c r="D90" s="104" t="s">
        <v>151</v>
      </c>
      <c r="E90" s="113" t="n">
        <f aca="false" ca="true" dt2D="false" dtr="false" t="normal">SUBTOTAL(9, F90:T90)</f>
        <v>5016954.08</v>
      </c>
      <c r="F90" s="106" t="n">
        <v>1651323.46</v>
      </c>
      <c r="G90" s="106" t="n"/>
      <c r="H90" s="106" t="n">
        <v>819773.26</v>
      </c>
      <c r="I90" s="106" t="n">
        <v>732192.34</v>
      </c>
      <c r="J90" s="106" t="n"/>
      <c r="K90" s="106" t="n"/>
      <c r="L90" s="106" t="n"/>
      <c r="M90" s="106" t="n">
        <v>0</v>
      </c>
      <c r="N90" s="106" t="n"/>
      <c r="O90" s="106" t="n">
        <v>0</v>
      </c>
      <c r="P90" s="106" t="n">
        <v>1813665.02</v>
      </c>
      <c r="Q90" s="106" t="n">
        <v>0</v>
      </c>
      <c r="R90" s="106" t="n"/>
      <c r="S90" s="114" t="n"/>
      <c r="T90" s="115" t="n">
        <v>0</v>
      </c>
    </row>
    <row hidden="false" ht="15" outlineLevel="0" r="91">
      <c r="A91" s="116" t="n">
        <f aca="false" ca="false" dt2D="false" dtr="false" t="normal">+A90+1</f>
        <v>74</v>
      </c>
      <c r="B91" s="117" t="n">
        <f aca="false" ca="false" dt2D="false" dtr="false" t="normal">+B90+1</f>
        <v>74</v>
      </c>
      <c r="C91" s="104" t="s">
        <v>111</v>
      </c>
      <c r="D91" s="104" t="s">
        <v>152</v>
      </c>
      <c r="E91" s="113" t="n">
        <f aca="false" ca="true" dt2D="false" dtr="false" t="normal">SUBTOTAL(9, F91:T91)</f>
        <v>1966660.1199999999</v>
      </c>
      <c r="F91" s="106" t="n">
        <v>0</v>
      </c>
      <c r="G91" s="106" t="n">
        <v>0</v>
      </c>
      <c r="H91" s="106" t="n">
        <v>0</v>
      </c>
      <c r="I91" s="106" t="n">
        <v>0</v>
      </c>
      <c r="J91" s="106" t="n">
        <v>1842675.65</v>
      </c>
      <c r="K91" s="106" t="n"/>
      <c r="L91" s="106" t="n"/>
      <c r="M91" s="106" t="n">
        <v>0</v>
      </c>
      <c r="N91" s="106" t="n">
        <v>0</v>
      </c>
      <c r="O91" s="106" t="n">
        <v>0</v>
      </c>
      <c r="P91" s="106" t="n">
        <v>0</v>
      </c>
      <c r="Q91" s="106" t="n">
        <v>0</v>
      </c>
      <c r="R91" s="106" t="n">
        <v>123984.47</v>
      </c>
      <c r="S91" s="106" t="n"/>
      <c r="T91" s="115" t="n"/>
    </row>
    <row hidden="false" ht="15" outlineLevel="0" r="92">
      <c r="A92" s="116" t="n">
        <f aca="false" ca="false" dt2D="false" dtr="false" t="normal">+A91+1</f>
        <v>75</v>
      </c>
      <c r="B92" s="117" t="n">
        <f aca="false" ca="false" dt2D="false" dtr="false" t="normal">+B91+1</f>
        <v>75</v>
      </c>
      <c r="C92" s="104" t="s">
        <v>111</v>
      </c>
      <c r="D92" s="104" t="s">
        <v>153</v>
      </c>
      <c r="E92" s="113" t="n">
        <f aca="false" ca="true" dt2D="false" dtr="false" t="normal">SUBTOTAL(9, F92:T92)</f>
        <v>1967908.07</v>
      </c>
      <c r="F92" s="106" t="n">
        <v>0</v>
      </c>
      <c r="G92" s="106" t="n">
        <v>0</v>
      </c>
      <c r="H92" s="106" t="n">
        <v>0</v>
      </c>
      <c r="I92" s="106" t="n">
        <v>0</v>
      </c>
      <c r="J92" s="106" t="n">
        <v>1840005.31</v>
      </c>
      <c r="K92" s="106" t="n"/>
      <c r="L92" s="106" t="n"/>
      <c r="M92" s="106" t="n">
        <v>0</v>
      </c>
      <c r="N92" s="106" t="n">
        <v>0</v>
      </c>
      <c r="O92" s="106" t="n">
        <v>0</v>
      </c>
      <c r="P92" s="106" t="n">
        <v>0</v>
      </c>
      <c r="Q92" s="106" t="n">
        <v>0</v>
      </c>
      <c r="R92" s="106" t="n">
        <v>127902.76</v>
      </c>
      <c r="S92" s="106" t="n"/>
      <c r="T92" s="115" t="n"/>
    </row>
    <row hidden="false" ht="15" outlineLevel="0" r="93">
      <c r="A93" s="116" t="n">
        <f aca="false" ca="false" dt2D="false" dtr="false" t="normal">+A92+1</f>
        <v>76</v>
      </c>
      <c r="B93" s="117" t="n">
        <f aca="false" ca="false" dt2D="false" dtr="false" t="normal">+B92+1</f>
        <v>76</v>
      </c>
      <c r="C93" s="104" t="s">
        <v>111</v>
      </c>
      <c r="D93" s="104" t="s">
        <v>154</v>
      </c>
      <c r="E93" s="113" t="n">
        <f aca="false" ca="true" dt2D="false" dtr="false" t="normal">SUBTOTAL(9, F93:T93)</f>
        <v>2104373.43</v>
      </c>
      <c r="F93" s="106" t="n">
        <v>0</v>
      </c>
      <c r="G93" s="106" t="n">
        <v>0</v>
      </c>
      <c r="H93" s="106" t="n">
        <v>0</v>
      </c>
      <c r="I93" s="106" t="n">
        <v>0</v>
      </c>
      <c r="J93" s="106" t="n">
        <v>1980515.44</v>
      </c>
      <c r="K93" s="106" t="n"/>
      <c r="L93" s="106" t="n"/>
      <c r="M93" s="106" t="n">
        <v>0</v>
      </c>
      <c r="N93" s="106" t="n"/>
      <c r="O93" s="106" t="n">
        <v>0</v>
      </c>
      <c r="P93" s="106" t="n">
        <v>0</v>
      </c>
      <c r="Q93" s="106" t="n"/>
      <c r="R93" s="106" t="n">
        <v>123857.99</v>
      </c>
      <c r="S93" s="114" t="n"/>
      <c r="T93" s="115" t="n"/>
    </row>
    <row hidden="false" ht="15" outlineLevel="0" r="94">
      <c r="A94" s="116" t="n">
        <f aca="false" ca="false" dt2D="false" dtr="false" t="normal">+A93+1</f>
        <v>77</v>
      </c>
      <c r="B94" s="117" t="n">
        <f aca="false" ca="false" dt2D="false" dtr="false" t="normal">+B93+1</f>
        <v>77</v>
      </c>
      <c r="C94" s="104" t="s">
        <v>111</v>
      </c>
      <c r="D94" s="104" t="s">
        <v>156</v>
      </c>
      <c r="E94" s="113" t="n">
        <f aca="false" ca="true" dt2D="false" dtr="false" t="normal">SUBTOTAL(9, F94:T94)</f>
        <v>856186.02</v>
      </c>
      <c r="F94" s="106" t="n">
        <v>0</v>
      </c>
      <c r="G94" s="106" t="n">
        <v>0</v>
      </c>
      <c r="H94" s="106" t="n">
        <v>0</v>
      </c>
      <c r="I94" s="106" t="n">
        <v>0</v>
      </c>
      <c r="J94" s="106" t="n">
        <v>856186.02</v>
      </c>
      <c r="K94" s="106" t="n"/>
      <c r="L94" s="106" t="n"/>
      <c r="M94" s="106" t="n">
        <v>0</v>
      </c>
      <c r="N94" s="106" t="n">
        <v>0</v>
      </c>
      <c r="O94" s="106" t="n">
        <v>0</v>
      </c>
      <c r="P94" s="106" t="n"/>
      <c r="Q94" s="106" t="n"/>
      <c r="R94" s="106" t="n"/>
      <c r="S94" s="114" t="n"/>
      <c r="T94" s="115" t="n"/>
    </row>
    <row hidden="false" ht="15" outlineLevel="0" r="95">
      <c r="A95" s="116" t="n">
        <f aca="false" ca="false" dt2D="false" dtr="false" t="normal">+A94+1</f>
        <v>78</v>
      </c>
      <c r="B95" s="117" t="n">
        <f aca="false" ca="false" dt2D="false" dtr="false" t="normal">+B94+1</f>
        <v>78</v>
      </c>
      <c r="C95" s="104" t="s">
        <v>111</v>
      </c>
      <c r="D95" s="104" t="s">
        <v>157</v>
      </c>
      <c r="E95" s="113" t="n">
        <f aca="false" ca="true" dt2D="false" dtr="false" t="normal">SUBTOTAL(9, F95:T95)</f>
        <v>2284407.2</v>
      </c>
      <c r="F95" s="106" t="n">
        <v>0</v>
      </c>
      <c r="G95" s="106" t="n">
        <v>0</v>
      </c>
      <c r="H95" s="106" t="n"/>
      <c r="I95" s="106" t="n">
        <v>0</v>
      </c>
      <c r="J95" s="106" t="n">
        <v>2082908.19</v>
      </c>
      <c r="K95" s="106" t="n"/>
      <c r="L95" s="106" t="n"/>
      <c r="M95" s="106" t="n">
        <v>0</v>
      </c>
      <c r="N95" s="106" t="n">
        <v>0</v>
      </c>
      <c r="O95" s="106" t="n">
        <v>0</v>
      </c>
      <c r="P95" s="106" t="n">
        <v>0</v>
      </c>
      <c r="Q95" s="106" t="n">
        <v>0</v>
      </c>
      <c r="R95" s="106" t="n">
        <v>199499.01</v>
      </c>
      <c r="S95" s="114" t="n">
        <v>2000</v>
      </c>
      <c r="T95" s="115" t="n"/>
    </row>
    <row hidden="false" ht="15" outlineLevel="0" r="96">
      <c r="A96" s="116" t="n">
        <f aca="false" ca="false" dt2D="false" dtr="false" t="normal">+A95+1</f>
        <v>79</v>
      </c>
      <c r="B96" s="117" t="n">
        <f aca="false" ca="false" dt2D="false" dtr="false" t="normal">+B95+1</f>
        <v>79</v>
      </c>
      <c r="C96" s="104" t="s">
        <v>111</v>
      </c>
      <c r="D96" s="104" t="s">
        <v>158</v>
      </c>
      <c r="E96" s="113" t="n">
        <f aca="false" ca="true" dt2D="false" dtr="false" t="normal">SUBTOTAL(9, F96:T96)</f>
        <v>16584444.2196</v>
      </c>
      <c r="F96" s="106" t="n">
        <v>8268601.63</v>
      </c>
      <c r="G96" s="106" t="n"/>
      <c r="H96" s="106" t="n">
        <v>3198417.38</v>
      </c>
      <c r="I96" s="106" t="n">
        <v>2797224.34</v>
      </c>
      <c r="J96" s="106" t="n"/>
      <c r="K96" s="106" t="n"/>
      <c r="L96" s="106" t="n"/>
      <c r="M96" s="106" t="n">
        <v>0</v>
      </c>
      <c r="N96" s="106" t="n">
        <v>0</v>
      </c>
      <c r="O96" s="106" t="n">
        <v>0</v>
      </c>
      <c r="P96" s="106" t="n">
        <v>0</v>
      </c>
      <c r="Q96" s="106" t="n">
        <v>0</v>
      </c>
      <c r="R96" s="106" t="n">
        <v>1945255.4768</v>
      </c>
      <c r="S96" s="114" t="n">
        <v>203313.0628</v>
      </c>
      <c r="T96" s="115" t="n">
        <f aca="false" ca="false" dt2D="false" dtr="false" t="normal">100443.46+35541.21+35647.66</f>
        <v>171632.33000000002</v>
      </c>
    </row>
    <row hidden="false" ht="15" outlineLevel="0" r="97">
      <c r="A97" s="116" t="n">
        <f aca="false" ca="false" dt2D="false" dtr="false" t="normal">+A96+1</f>
        <v>80</v>
      </c>
      <c r="B97" s="117" t="n">
        <f aca="false" ca="false" dt2D="false" dtr="false" t="normal">+B96+1</f>
        <v>80</v>
      </c>
      <c r="C97" s="104" t="s">
        <v>111</v>
      </c>
      <c r="D97" s="104" t="s">
        <v>159</v>
      </c>
      <c r="E97" s="113" t="n">
        <f aca="false" ca="true" dt2D="false" dtr="false" t="normal">SUBTOTAL(9, F97:T97)</f>
        <v>6345618.891051442</v>
      </c>
      <c r="F97" s="106" t="n">
        <v>0</v>
      </c>
      <c r="G97" s="106" t="n"/>
      <c r="H97" s="106" t="n">
        <v>3491728.21</v>
      </c>
      <c r="I97" s="106" t="n"/>
      <c r="J97" s="106" t="n"/>
      <c r="K97" s="106" t="n"/>
      <c r="L97" s="106" t="n"/>
      <c r="M97" s="106" t="n">
        <v>0</v>
      </c>
      <c r="N97" s="106" t="n">
        <v>0</v>
      </c>
      <c r="O97" s="106" t="n">
        <v>0</v>
      </c>
      <c r="P97" s="106" t="n">
        <v>0</v>
      </c>
      <c r="Q97" s="106" t="n"/>
      <c r="R97" s="106" t="n">
        <v>2595059.90459222</v>
      </c>
      <c r="S97" s="114" t="n">
        <v>223901.306459222</v>
      </c>
      <c r="T97" s="115" t="n">
        <f aca="false" ca="false" dt2D="false" dtr="false" t="normal">34929.47</f>
        <v>34929.47</v>
      </c>
    </row>
    <row hidden="false" ht="15" outlineLevel="0" r="98">
      <c r="A98" s="116" t="n">
        <f aca="false" ca="false" dt2D="false" dtr="false" t="normal">+A97+1</f>
        <v>81</v>
      </c>
      <c r="B98" s="117" t="n">
        <f aca="false" ca="false" dt2D="false" dtr="false" t="normal">+B97+1</f>
        <v>81</v>
      </c>
      <c r="C98" s="104" t="s">
        <v>111</v>
      </c>
      <c r="D98" s="104" t="s">
        <v>160</v>
      </c>
      <c r="E98" s="113" t="n">
        <f aca="false" ca="true" dt2D="false" dtr="false" t="normal">SUBTOTAL(9, F98:T98)</f>
        <v>9789695.05</v>
      </c>
      <c r="F98" s="106" t="n">
        <v>2770302.43</v>
      </c>
      <c r="G98" s="106" t="n"/>
      <c r="H98" s="133" t="n"/>
      <c r="I98" s="106" t="n"/>
      <c r="J98" s="106" t="n"/>
      <c r="K98" s="106" t="n"/>
      <c r="L98" s="106" t="n"/>
      <c r="M98" s="106" t="n">
        <v>0</v>
      </c>
      <c r="N98" s="106" t="n">
        <v>6779379.82</v>
      </c>
      <c r="O98" s="106" t="n">
        <v>0</v>
      </c>
      <c r="P98" s="106" t="n">
        <v>0</v>
      </c>
      <c r="Q98" s="106" t="n">
        <v>0</v>
      </c>
      <c r="R98" s="106" t="n">
        <v>216012.8</v>
      </c>
      <c r="S98" s="114" t="n">
        <v>24000</v>
      </c>
      <c r="T98" s="115" t="n"/>
    </row>
    <row hidden="false" ht="15" outlineLevel="0" r="99">
      <c r="A99" s="116" t="n">
        <f aca="false" ca="false" dt2D="false" dtr="false" t="normal">+A98+1</f>
        <v>82</v>
      </c>
      <c r="B99" s="117" t="n">
        <f aca="false" ca="false" dt2D="false" dtr="false" t="normal">+B98+1</f>
        <v>82</v>
      </c>
      <c r="C99" s="104" t="s">
        <v>111</v>
      </c>
      <c r="D99" s="104" t="s">
        <v>161</v>
      </c>
      <c r="E99" s="113" t="n">
        <f aca="false" ca="true" dt2D="false" dtr="false" t="normal">SUBTOTAL(9, F99:T99)</f>
        <v>5315487.649999999</v>
      </c>
      <c r="F99" s="106" t="n">
        <v>1643046.08</v>
      </c>
      <c r="G99" s="106" t="n"/>
      <c r="H99" s="133" t="n"/>
      <c r="I99" s="106" t="n"/>
      <c r="J99" s="106" t="n"/>
      <c r="K99" s="106" t="n"/>
      <c r="L99" s="106" t="n"/>
      <c r="M99" s="106" t="n">
        <v>0</v>
      </c>
      <c r="N99" s="106" t="n">
        <v>3461614.25</v>
      </c>
      <c r="O99" s="106" t="n">
        <v>0</v>
      </c>
      <c r="P99" s="106" t="n">
        <v>0</v>
      </c>
      <c r="Q99" s="106" t="n">
        <v>0</v>
      </c>
      <c r="R99" s="106" t="n">
        <v>156962.18</v>
      </c>
      <c r="S99" s="114" t="n">
        <v>24000</v>
      </c>
      <c r="T99" s="115" t="n">
        <f aca="false" ca="false" dt2D="false" dtr="false" t="normal">29865.14</f>
        <v>29865.14</v>
      </c>
    </row>
    <row hidden="false" ht="15" outlineLevel="0" r="100">
      <c r="A100" s="116" t="n">
        <f aca="false" ca="false" dt2D="false" dtr="false" t="normal">+A99+1</f>
        <v>83</v>
      </c>
      <c r="B100" s="117" t="n">
        <f aca="false" ca="false" dt2D="false" dtr="false" t="normal">+B99+1</f>
        <v>83</v>
      </c>
      <c r="C100" s="104" t="s">
        <v>111</v>
      </c>
      <c r="D100" s="104" t="s">
        <v>162</v>
      </c>
      <c r="E100" s="113" t="n">
        <f aca="false" ca="true" dt2D="false" dtr="false" t="normal">SUBTOTAL(9, F100:T100)</f>
        <v>3123256.04</v>
      </c>
      <c r="F100" s="106" t="n"/>
      <c r="G100" s="106" t="n"/>
      <c r="H100" s="133" t="n">
        <v>417598.24</v>
      </c>
      <c r="I100" s="106" t="n"/>
      <c r="J100" s="106" t="n"/>
      <c r="K100" s="106" t="n"/>
      <c r="L100" s="106" t="n"/>
      <c r="M100" s="106" t="n">
        <v>0</v>
      </c>
      <c r="N100" s="106" t="n">
        <v>2705657.8</v>
      </c>
      <c r="O100" s="106" t="n">
        <v>0</v>
      </c>
      <c r="P100" s="106" t="n">
        <v>0</v>
      </c>
      <c r="Q100" s="106" t="n">
        <v>0</v>
      </c>
      <c r="R100" s="106" t="n"/>
      <c r="S100" s="114" t="n"/>
      <c r="T100" s="115" t="n"/>
    </row>
    <row hidden="false" ht="15" outlineLevel="0" r="101">
      <c r="A101" s="116" t="n">
        <f aca="false" ca="false" dt2D="false" dtr="false" t="normal">+A100+1</f>
        <v>84</v>
      </c>
      <c r="B101" s="117" t="n">
        <f aca="false" ca="false" dt2D="false" dtr="false" t="normal">+B100+1</f>
        <v>84</v>
      </c>
      <c r="C101" s="104" t="s">
        <v>111</v>
      </c>
      <c r="D101" s="104" t="s">
        <v>163</v>
      </c>
      <c r="E101" s="113" t="n">
        <f aca="false" ca="true" dt2D="false" dtr="false" t="normal">SUBTOTAL(9, F101:T101)</f>
        <v>11055411.040000003</v>
      </c>
      <c r="F101" s="106" t="n">
        <v>6273586.15</v>
      </c>
      <c r="G101" s="106" t="n"/>
      <c r="H101" s="133" t="n">
        <v>1824432.9</v>
      </c>
      <c r="I101" s="106" t="n">
        <v>2750949.97</v>
      </c>
      <c r="J101" s="106" t="n"/>
      <c r="K101" s="106" t="n"/>
      <c r="L101" s="106" t="n"/>
      <c r="M101" s="106" t="n">
        <v>0</v>
      </c>
      <c r="N101" s="106" t="n">
        <v>0</v>
      </c>
      <c r="O101" s="106" t="n">
        <v>0</v>
      </c>
      <c r="P101" s="106" t="n">
        <v>0</v>
      </c>
      <c r="Q101" s="106" t="n">
        <v>0</v>
      </c>
      <c r="R101" s="106" t="n">
        <v>75835.89</v>
      </c>
      <c r="S101" s="114" t="n">
        <v>18000</v>
      </c>
      <c r="T101" s="115" t="n">
        <f aca="false" ca="false" dt2D="false" dtr="false" t="normal">112606.13</f>
        <v>112606.13</v>
      </c>
    </row>
    <row hidden="false" ht="15" outlineLevel="0" r="102">
      <c r="A102" s="116" t="n">
        <f aca="false" ca="false" dt2D="false" dtr="false" t="normal">+A101+1</f>
        <v>85</v>
      </c>
      <c r="B102" s="117" t="n">
        <f aca="false" ca="false" dt2D="false" dtr="false" t="normal">+B101+1</f>
        <v>85</v>
      </c>
      <c r="C102" s="104" t="s">
        <v>111</v>
      </c>
      <c r="D102" s="104" t="s">
        <v>164</v>
      </c>
      <c r="E102" s="113" t="n">
        <f aca="false" ca="true" dt2D="false" dtr="false" t="normal">SUBTOTAL(9, F102:T102)</f>
        <v>11026170.239999998</v>
      </c>
      <c r="F102" s="106" t="n">
        <v>6230360.19</v>
      </c>
      <c r="G102" s="106" t="n"/>
      <c r="H102" s="133" t="n">
        <v>1824432.9</v>
      </c>
      <c r="I102" s="106" t="n">
        <v>2756248.99</v>
      </c>
      <c r="J102" s="106" t="n"/>
      <c r="K102" s="106" t="n"/>
      <c r="L102" s="106" t="n"/>
      <c r="M102" s="106" t="n">
        <v>0</v>
      </c>
      <c r="N102" s="106" t="n">
        <v>0</v>
      </c>
      <c r="O102" s="106" t="n">
        <v>0</v>
      </c>
      <c r="P102" s="106" t="n">
        <v>0</v>
      </c>
      <c r="Q102" s="106" t="n">
        <v>0</v>
      </c>
      <c r="R102" s="106" t="n">
        <v>75653.79</v>
      </c>
      <c r="S102" s="114" t="n">
        <v>18000</v>
      </c>
      <c r="T102" s="115" t="n">
        <f aca="false" ca="false" dt2D="false" dtr="false" t="normal">121474.37</f>
        <v>121474.37</v>
      </c>
    </row>
    <row hidden="false" ht="15" outlineLevel="0" r="103">
      <c r="A103" s="116" t="n">
        <f aca="false" ca="false" dt2D="false" dtr="false" t="normal">+A102+1</f>
        <v>86</v>
      </c>
      <c r="B103" s="117" t="n">
        <f aca="false" ca="false" dt2D="false" dtr="false" t="normal">+B102+1</f>
        <v>86</v>
      </c>
      <c r="C103" s="104" t="s">
        <v>111</v>
      </c>
      <c r="D103" s="104" t="s">
        <v>165</v>
      </c>
      <c r="E103" s="113" t="n">
        <f aca="false" ca="true" dt2D="false" dtr="false" t="normal">SUBTOTAL(9, F103:T103)</f>
        <v>9221762.190000001</v>
      </c>
      <c r="F103" s="106" t="n">
        <v>6321167.09</v>
      </c>
      <c r="G103" s="106" t="n"/>
      <c r="H103" s="133" t="n"/>
      <c r="I103" s="106" t="n">
        <v>2717347.73</v>
      </c>
      <c r="J103" s="106" t="n"/>
      <c r="K103" s="106" t="n"/>
      <c r="L103" s="106" t="n"/>
      <c r="M103" s="106" t="n">
        <v>0</v>
      </c>
      <c r="N103" s="106" t="n">
        <v>0</v>
      </c>
      <c r="O103" s="106" t="n">
        <v>0</v>
      </c>
      <c r="P103" s="106" t="n">
        <v>0</v>
      </c>
      <c r="Q103" s="106" t="n">
        <v>0</v>
      </c>
      <c r="R103" s="106" t="n">
        <v>75730.05</v>
      </c>
      <c r="S103" s="114" t="n">
        <v>18000</v>
      </c>
      <c r="T103" s="115" t="n">
        <f aca="false" ca="false" dt2D="false" dtr="false" t="normal">108774.59-19257.27</f>
        <v>89517.31999999999</v>
      </c>
    </row>
    <row hidden="false" ht="15" outlineLevel="0" r="104">
      <c r="A104" s="116" t="n">
        <f aca="false" ca="false" dt2D="false" dtr="false" t="normal">+A103+1</f>
        <v>87</v>
      </c>
      <c r="B104" s="117" t="n">
        <f aca="false" ca="false" dt2D="false" dtr="false" t="normal">+B103+1</f>
        <v>87</v>
      </c>
      <c r="C104" s="104" t="s">
        <v>111</v>
      </c>
      <c r="D104" s="104" t="s">
        <v>166</v>
      </c>
      <c r="E104" s="113" t="n">
        <f aca="false" ca="true" dt2D="false" dtr="false" t="normal">SUBTOTAL(9, F104:T104)</f>
        <v>1026615.7599999999</v>
      </c>
      <c r="F104" s="106" t="n"/>
      <c r="H104" s="133" t="n">
        <v>642270.27</v>
      </c>
      <c r="I104" s="106" t="n"/>
      <c r="J104" s="106" t="n"/>
      <c r="K104" s="106" t="n"/>
      <c r="L104" s="106" t="n"/>
      <c r="M104" s="106" t="n">
        <v>0</v>
      </c>
      <c r="N104" s="106" t="n">
        <v>0</v>
      </c>
      <c r="O104" s="106" t="n">
        <v>0</v>
      </c>
      <c r="P104" s="106" t="n">
        <v>0</v>
      </c>
      <c r="Q104" s="106" t="n">
        <v>0</v>
      </c>
      <c r="R104" s="106" t="n">
        <v>352588.91</v>
      </c>
      <c r="S104" s="114" t="n">
        <v>24000</v>
      </c>
      <c r="T104" s="115" t="n">
        <v>7756.58</v>
      </c>
    </row>
    <row hidden="false" ht="15" outlineLevel="0" r="105">
      <c r="A105" s="116" t="n">
        <f aca="false" ca="false" dt2D="false" dtr="false" t="normal">+A104+1</f>
        <v>88</v>
      </c>
      <c r="B105" s="117" t="n">
        <f aca="false" ca="false" dt2D="false" dtr="false" t="normal">+B104+1</f>
        <v>88</v>
      </c>
      <c r="C105" s="104" t="s">
        <v>111</v>
      </c>
      <c r="D105" s="104" t="s">
        <v>167</v>
      </c>
      <c r="E105" s="113" t="n">
        <f aca="false" ca="true" dt2D="false" dtr="false" t="normal">SUBTOTAL(9, F105:T105)</f>
        <v>2150653.5872</v>
      </c>
      <c r="F105" s="106" t="n"/>
      <c r="G105" s="106" t="n">
        <v>588065.09</v>
      </c>
      <c r="H105" s="133" t="n"/>
      <c r="I105" s="106" t="n">
        <v>500447.33</v>
      </c>
      <c r="J105" s="106" t="n">
        <v>469911.83</v>
      </c>
      <c r="K105" s="106" t="n"/>
      <c r="L105" s="106" t="n"/>
      <c r="M105" s="106" t="n">
        <v>0</v>
      </c>
      <c r="N105" s="106" t="n"/>
      <c r="O105" s="106" t="n">
        <v>0</v>
      </c>
      <c r="P105" s="106" t="n">
        <v>0</v>
      </c>
      <c r="Q105" s="106" t="n">
        <v>0</v>
      </c>
      <c r="R105" s="106" t="n">
        <v>513326.799</v>
      </c>
      <c r="S105" s="114" t="n">
        <v>73858.7182</v>
      </c>
      <c r="T105" s="115" t="n">
        <v>5043.82</v>
      </c>
    </row>
    <row hidden="false" ht="15" outlineLevel="0" r="106">
      <c r="A106" s="116" t="n">
        <f aca="false" ca="false" dt2D="false" dtr="false" t="normal">+A105+1</f>
        <v>89</v>
      </c>
      <c r="B106" s="117" t="n">
        <f aca="false" ca="false" dt2D="false" dtr="false" t="normal">+B105+1</f>
        <v>89</v>
      </c>
      <c r="C106" s="104" t="s">
        <v>111</v>
      </c>
      <c r="D106" s="104" t="s">
        <v>168</v>
      </c>
      <c r="E106" s="113" t="n">
        <f aca="false" ca="true" dt2D="false" dtr="false" t="normal">SUBTOTAL(9, F106:T106)</f>
        <v>1593951.19</v>
      </c>
      <c r="F106" s="106" t="n"/>
      <c r="G106" s="106" t="n"/>
      <c r="H106" s="133" t="n"/>
      <c r="I106" s="106" t="n"/>
      <c r="J106" s="106" t="n">
        <v>1092251.81</v>
      </c>
      <c r="K106" s="106" t="n"/>
      <c r="L106" s="106" t="n"/>
      <c r="M106" s="106" t="n"/>
      <c r="N106" s="106" t="n"/>
      <c r="O106" s="106" t="n">
        <v>0</v>
      </c>
      <c r="P106" s="106" t="n">
        <v>0</v>
      </c>
      <c r="Q106" s="106" t="n">
        <v>0</v>
      </c>
      <c r="R106" s="106" t="n">
        <v>501699.38</v>
      </c>
      <c r="S106" s="114" t="n"/>
      <c r="T106" s="115" t="n"/>
    </row>
    <row hidden="false" ht="15" outlineLevel="0" r="107">
      <c r="A107" s="116" t="n">
        <f aca="false" ca="false" dt2D="false" dtr="false" t="normal">+A106+1</f>
        <v>90</v>
      </c>
      <c r="B107" s="117" t="n">
        <f aca="false" ca="false" dt2D="false" dtr="false" t="normal">+B106+1</f>
        <v>90</v>
      </c>
      <c r="C107" s="104" t="s">
        <v>111</v>
      </c>
      <c r="D107" s="104" t="s">
        <v>169</v>
      </c>
      <c r="E107" s="113" t="n">
        <f aca="false" ca="true" dt2D="false" dtr="false" t="normal">SUBTOTAL(9, F107:T107)</f>
        <v>20295397.65</v>
      </c>
      <c r="F107" s="106" t="n"/>
      <c r="G107" s="106" t="n"/>
      <c r="H107" s="133" t="n"/>
      <c r="I107" s="106" t="n"/>
      <c r="J107" s="106" t="n"/>
      <c r="K107" s="106" t="n"/>
      <c r="L107" s="106" t="n"/>
      <c r="M107" s="106" t="n"/>
      <c r="N107" s="106" t="n">
        <v>8833594.16</v>
      </c>
      <c r="O107" s="106" t="n">
        <v>0</v>
      </c>
      <c r="P107" s="106" t="n">
        <v>11280169.18</v>
      </c>
      <c r="R107" s="106" t="n">
        <v>157634.31</v>
      </c>
      <c r="S107" s="114" t="n">
        <v>24000</v>
      </c>
      <c r="T107" s="115" t="n"/>
    </row>
    <row hidden="false" ht="15" outlineLevel="0" r="108">
      <c r="A108" s="116" t="n">
        <f aca="false" ca="false" dt2D="false" dtr="false" t="normal">+A107+1</f>
        <v>91</v>
      </c>
      <c r="B108" s="117" t="n">
        <f aca="false" ca="false" dt2D="false" dtr="false" t="normal">+B107+1</f>
        <v>91</v>
      </c>
      <c r="C108" s="104" t="s">
        <v>111</v>
      </c>
      <c r="D108" s="104" t="s">
        <v>170</v>
      </c>
      <c r="E108" s="113" t="n">
        <f aca="false" ca="true" dt2D="false" dtr="false" t="normal">SUBTOTAL(9, F108:T108)</f>
        <v>26145732.75</v>
      </c>
      <c r="F108" s="106" t="n"/>
      <c r="H108" s="133" t="n">
        <v>3146864.52</v>
      </c>
      <c r="I108" s="106" t="n">
        <v>2896787.04</v>
      </c>
      <c r="J108" s="106" t="n">
        <v>0</v>
      </c>
      <c r="K108" s="106" t="n"/>
      <c r="L108" s="106" t="n"/>
      <c r="M108" s="106" t="n">
        <v>0</v>
      </c>
      <c r="N108" s="106" t="n">
        <v>9859124.1</v>
      </c>
      <c r="O108" s="106" t="n">
        <v>0</v>
      </c>
      <c r="P108" s="106" t="n">
        <v>6508599.59</v>
      </c>
      <c r="Q108" s="106" t="n">
        <v>3276300</v>
      </c>
      <c r="R108" s="106" t="n">
        <v>434057.5</v>
      </c>
      <c r="S108" s="114" t="n">
        <v>24000</v>
      </c>
      <c r="T108" s="115" t="n"/>
    </row>
    <row hidden="false" ht="15" outlineLevel="0" r="109">
      <c r="A109" s="116" t="n">
        <f aca="false" ca="false" dt2D="false" dtr="false" t="normal">+A108+1</f>
        <v>92</v>
      </c>
      <c r="B109" s="117" t="n">
        <f aca="false" ca="false" dt2D="false" dtr="false" t="normal">+B108+1</f>
        <v>92</v>
      </c>
      <c r="C109" s="104" t="s">
        <v>111</v>
      </c>
      <c r="D109" s="104" t="s">
        <v>171</v>
      </c>
      <c r="E109" s="113" t="n">
        <f aca="false" ca="true" dt2D="false" dtr="false" t="normal">SUBTOTAL(9, F109:T109)</f>
        <v>13931248.4422</v>
      </c>
      <c r="F109" s="106" t="n"/>
      <c r="H109" s="133" t="n">
        <v>2731732.82</v>
      </c>
      <c r="J109" s="106" t="n">
        <v>0</v>
      </c>
      <c r="K109" s="106" t="n"/>
      <c r="L109" s="106" t="n"/>
      <c r="M109" s="106" t="n">
        <v>0</v>
      </c>
      <c r="N109" s="106" t="n">
        <v>9356498.15</v>
      </c>
      <c r="O109" s="106" t="n">
        <v>0</v>
      </c>
      <c r="P109" s="106" t="n"/>
      <c r="Q109" s="106" t="n">
        <v>1381241.93</v>
      </c>
      <c r="R109" s="106" t="n">
        <v>311041.2811</v>
      </c>
      <c r="S109" s="114" t="n">
        <v>45051.6011</v>
      </c>
      <c r="T109" s="115" t="n">
        <f aca="false" ca="false" dt2D="false" dtr="false" t="normal">23622.51+70525+11535.15</f>
        <v>105682.65999999999</v>
      </c>
    </row>
    <row hidden="false" ht="15" outlineLevel="0" r="110">
      <c r="A110" s="116" t="n">
        <f aca="false" ca="false" dt2D="false" dtr="false" t="normal">+A109+1</f>
        <v>93</v>
      </c>
      <c r="B110" s="117" t="n">
        <f aca="false" ca="false" dt2D="false" dtr="false" t="normal">+B109+1</f>
        <v>93</v>
      </c>
      <c r="C110" s="104" t="s">
        <v>111</v>
      </c>
      <c r="D110" s="104" t="s">
        <v>172</v>
      </c>
      <c r="E110" s="113" t="n">
        <f aca="false" ca="true" dt2D="false" dtr="false" t="normal">SUBTOTAL(9, F110:T110)</f>
        <v>1092667.3</v>
      </c>
      <c r="F110" s="106" t="n">
        <v>0</v>
      </c>
      <c r="G110" s="106" t="n">
        <v>0</v>
      </c>
      <c r="H110" s="133" t="n">
        <v>0</v>
      </c>
      <c r="I110" s="106" t="n">
        <v>0</v>
      </c>
      <c r="J110" s="106" t="n">
        <v>1092667.3</v>
      </c>
      <c r="K110" s="106" t="n"/>
      <c r="L110" s="106" t="n"/>
      <c r="M110" s="106" t="n">
        <v>0</v>
      </c>
      <c r="N110" s="106" t="n">
        <v>0</v>
      </c>
      <c r="O110" s="106" t="n">
        <v>0</v>
      </c>
      <c r="P110" s="106" t="n"/>
      <c r="Q110" s="106" t="n">
        <v>0</v>
      </c>
      <c r="R110" s="106" t="n"/>
      <c r="S110" s="114" t="n"/>
      <c r="T110" s="115" t="n"/>
    </row>
    <row hidden="false" ht="15" outlineLevel="0" r="111">
      <c r="A111" s="116" t="n">
        <f aca="false" ca="false" dt2D="false" dtr="false" t="normal">+A110+1</f>
        <v>94</v>
      </c>
      <c r="B111" s="117" t="n">
        <f aca="false" ca="false" dt2D="false" dtr="false" t="normal">+B110+1</f>
        <v>94</v>
      </c>
      <c r="C111" s="104" t="s">
        <v>111</v>
      </c>
      <c r="D111" s="104" t="s">
        <v>173</v>
      </c>
      <c r="E111" s="113" t="n">
        <f aca="false" ca="true" dt2D="false" dtr="false" t="normal">SUBTOTAL(9, F111:T111)</f>
        <v>1966896.6600000001</v>
      </c>
      <c r="F111" s="106" t="n">
        <v>0</v>
      </c>
      <c r="G111" s="106" t="n">
        <v>0</v>
      </c>
      <c r="H111" s="133" t="n">
        <v>0</v>
      </c>
      <c r="I111" s="106" t="n">
        <v>0</v>
      </c>
      <c r="J111" s="106" t="n"/>
      <c r="K111" s="106" t="n"/>
      <c r="L111" s="106" t="n"/>
      <c r="M111" s="106" t="n">
        <v>0</v>
      </c>
      <c r="N111" s="106" t="n">
        <v>0</v>
      </c>
      <c r="O111" s="106" t="n">
        <v>0</v>
      </c>
      <c r="P111" s="106" t="n">
        <v>0</v>
      </c>
      <c r="Q111" s="106" t="n">
        <v>1937343.33</v>
      </c>
      <c r="R111" s="106" t="n"/>
      <c r="S111" s="114" t="n"/>
      <c r="T111" s="115" t="n">
        <f aca="false" ca="false" dt2D="false" dtr="false" t="normal">29553.33</f>
        <v>29553.33</v>
      </c>
    </row>
    <row hidden="false" ht="15" outlineLevel="0" r="112">
      <c r="A112" s="116" t="n">
        <f aca="false" ca="false" dt2D="false" dtr="false" t="normal">+A111+1</f>
        <v>95</v>
      </c>
      <c r="B112" s="117" t="n">
        <f aca="false" ca="false" dt2D="false" dtr="false" t="normal">+B111+1</f>
        <v>95</v>
      </c>
      <c r="C112" s="104" t="s">
        <v>111</v>
      </c>
      <c r="D112" s="104" t="s">
        <v>174</v>
      </c>
      <c r="E112" s="113" t="n">
        <f aca="false" ca="true" dt2D="false" dtr="false" t="normal">SUBTOTAL(9, F112:T112)</f>
        <v>3410150.65</v>
      </c>
      <c r="F112" s="106" t="n">
        <v>0</v>
      </c>
      <c r="G112" s="106" t="n">
        <v>0</v>
      </c>
      <c r="H112" s="133" t="n">
        <v>0</v>
      </c>
      <c r="I112" s="106" t="n">
        <v>0</v>
      </c>
      <c r="J112" s="106" t="n">
        <v>0</v>
      </c>
      <c r="K112" s="106" t="n"/>
      <c r="L112" s="106" t="n"/>
      <c r="M112" s="106" t="n">
        <v>0</v>
      </c>
      <c r="N112" s="106" t="n">
        <v>3264065.71</v>
      </c>
      <c r="O112" s="106" t="n">
        <v>0</v>
      </c>
      <c r="P112" s="106" t="n">
        <v>0</v>
      </c>
      <c r="Q112" s="106" t="n">
        <v>0</v>
      </c>
      <c r="R112" s="106" t="n">
        <v>122084.94</v>
      </c>
      <c r="S112" s="106" t="n">
        <v>24000</v>
      </c>
      <c r="T112" s="115" t="n"/>
    </row>
    <row hidden="false" ht="15" outlineLevel="0" r="113">
      <c r="A113" s="116" t="n">
        <f aca="false" ca="false" dt2D="false" dtr="false" t="normal">+A112+1</f>
        <v>96</v>
      </c>
      <c r="B113" s="117" t="n">
        <f aca="false" ca="false" dt2D="false" dtr="false" t="normal">+B112+1</f>
        <v>96</v>
      </c>
      <c r="C113" s="104" t="s">
        <v>111</v>
      </c>
      <c r="D113" s="104" t="s">
        <v>175</v>
      </c>
      <c r="E113" s="113" t="n">
        <f aca="false" ca="true" dt2D="false" dtr="false" t="normal">SUBTOTAL(9, F113:T113)</f>
        <v>8427335.0921</v>
      </c>
      <c r="F113" s="106" t="n">
        <v>0</v>
      </c>
      <c r="G113" s="106" t="n">
        <v>0</v>
      </c>
      <c r="H113" s="133" t="n">
        <v>0</v>
      </c>
      <c r="I113" s="106" t="n">
        <v>0</v>
      </c>
      <c r="J113" s="106" t="n">
        <v>0</v>
      </c>
      <c r="K113" s="106" t="n"/>
      <c r="L113" s="106" t="n"/>
      <c r="M113" s="106" t="n">
        <v>0</v>
      </c>
      <c r="N113" s="106" t="n">
        <v>7551202.7</v>
      </c>
      <c r="O113" s="106" t="n">
        <v>0</v>
      </c>
      <c r="P113" s="106" t="n">
        <v>0</v>
      </c>
      <c r="Q113" s="106" t="n">
        <v>0</v>
      </c>
      <c r="R113" s="106" t="n">
        <v>852132.3921</v>
      </c>
      <c r="S113" s="114" t="n">
        <v>24000</v>
      </c>
      <c r="T113" s="115" t="n"/>
    </row>
    <row hidden="false" ht="15" outlineLevel="0" r="114">
      <c r="A114" s="116" t="n">
        <f aca="false" ca="false" dt2D="false" dtr="false" t="normal">+A113+1</f>
        <v>97</v>
      </c>
      <c r="B114" s="117" t="n">
        <f aca="false" ca="false" dt2D="false" dtr="false" t="normal">+B113+1</f>
        <v>97</v>
      </c>
      <c r="C114" s="104" t="s">
        <v>111</v>
      </c>
      <c r="D114" s="104" t="s">
        <v>176</v>
      </c>
      <c r="E114" s="113" t="n">
        <f aca="false" ca="true" dt2D="false" dtr="false" t="normal">SUBTOTAL(9, F114:T114)</f>
        <v>17704648.110600002</v>
      </c>
      <c r="G114" s="106" t="n"/>
      <c r="H114" s="134" t="n"/>
      <c r="J114" s="106" t="n"/>
      <c r="K114" s="106" t="n"/>
      <c r="L114" s="106" t="n"/>
      <c r="M114" s="106" t="n">
        <v>0</v>
      </c>
      <c r="N114" s="106" t="n">
        <v>12780973.57</v>
      </c>
      <c r="O114" s="106" t="n">
        <v>0</v>
      </c>
      <c r="P114" s="106" t="n"/>
      <c r="Q114" s="106" t="n"/>
      <c r="R114" s="106" t="n">
        <v>4341944.4309</v>
      </c>
      <c r="S114" s="114" t="n">
        <v>461523.4197</v>
      </c>
      <c r="T114" s="115" t="n">
        <v>120206.69</v>
      </c>
    </row>
    <row hidden="false" ht="15" outlineLevel="0" r="115">
      <c r="A115" s="116" t="n">
        <f aca="false" ca="false" dt2D="false" dtr="false" t="normal">+A114+1</f>
        <v>98</v>
      </c>
      <c r="B115" s="117" t="n">
        <f aca="false" ca="false" dt2D="false" dtr="false" t="normal">+B114+1</f>
        <v>98</v>
      </c>
      <c r="C115" s="104" t="s">
        <v>111</v>
      </c>
      <c r="D115" s="104" t="s">
        <v>177</v>
      </c>
      <c r="E115" s="113" t="n">
        <f aca="false" ca="true" dt2D="false" dtr="false" t="normal">SUBTOTAL(9, F115:T115)</f>
        <v>23158024.849999998</v>
      </c>
      <c r="F115" s="106" t="n"/>
      <c r="G115" s="106" t="n"/>
      <c r="H115" s="133" t="n"/>
      <c r="I115" s="106" t="n"/>
      <c r="J115" s="106" t="n"/>
      <c r="K115" s="106" t="n"/>
      <c r="L115" s="106" t="n"/>
      <c r="M115" s="106" t="n"/>
      <c r="N115" s="106" t="n"/>
      <c r="O115" s="106" t="n">
        <v>0</v>
      </c>
      <c r="P115" s="106" t="n">
        <v>22920438.08</v>
      </c>
      <c r="Q115" s="106" t="n"/>
      <c r="R115" s="106" t="n">
        <v>237586.77</v>
      </c>
      <c r="S115" s="114" t="n"/>
      <c r="T115" s="115" t="n"/>
    </row>
    <row hidden="false" ht="15" outlineLevel="0" r="116">
      <c r="A116" s="116" t="n">
        <f aca="false" ca="false" dt2D="false" dtr="false" t="normal">+A115+1</f>
        <v>99</v>
      </c>
      <c r="B116" s="117" t="n">
        <f aca="false" ca="false" dt2D="false" dtr="false" t="normal">+B115+1</f>
        <v>99</v>
      </c>
      <c r="C116" s="104" t="s">
        <v>111</v>
      </c>
      <c r="D116" s="104" t="s">
        <v>178</v>
      </c>
      <c r="E116" s="113" t="n">
        <f aca="false" ca="true" dt2D="false" dtr="false" t="normal">SUBTOTAL(9, F116:T116)</f>
        <v>23277496.14</v>
      </c>
      <c r="F116" s="106" t="n"/>
      <c r="G116" s="106" t="n"/>
      <c r="H116" s="133" t="n"/>
      <c r="I116" s="106" t="n"/>
      <c r="J116" s="106" t="n"/>
      <c r="K116" s="106" t="n"/>
      <c r="L116" s="106" t="n"/>
      <c r="M116" s="106" t="n"/>
      <c r="N116" s="106" t="n"/>
      <c r="O116" s="106" t="n">
        <v>0</v>
      </c>
      <c r="P116" s="106" t="n">
        <v>23040371.91</v>
      </c>
      <c r="Q116" s="106" t="n"/>
      <c r="R116" s="106" t="n">
        <v>237124.23</v>
      </c>
      <c r="S116" s="114" t="n"/>
      <c r="T116" s="115" t="n"/>
    </row>
    <row hidden="false" ht="15" outlineLevel="0" r="117">
      <c r="A117" s="116" t="n">
        <f aca="false" ca="false" dt2D="false" dtr="false" t="normal">+A116+1</f>
        <v>100</v>
      </c>
      <c r="B117" s="117" t="n">
        <f aca="false" ca="false" dt2D="false" dtr="false" t="normal">+B116+1</f>
        <v>100</v>
      </c>
      <c r="C117" s="104" t="s">
        <v>111</v>
      </c>
      <c r="D117" s="104" t="s">
        <v>179</v>
      </c>
      <c r="E117" s="113" t="n">
        <f aca="false" ca="true" dt2D="false" dtr="false" t="normal">SUBTOTAL(9, F117:T117)</f>
        <v>671631.14</v>
      </c>
      <c r="F117" s="106" t="n"/>
      <c r="G117" s="106" t="n"/>
      <c r="H117" s="133" t="n">
        <v>655531.02</v>
      </c>
      <c r="I117" s="106" t="n"/>
      <c r="J117" s="106" t="n"/>
      <c r="K117" s="106" t="n"/>
      <c r="L117" s="106" t="n"/>
      <c r="M117" s="106" t="n"/>
      <c r="N117" s="106" t="n"/>
      <c r="O117" s="106" t="n"/>
      <c r="P117" s="106" t="n"/>
      <c r="R117" s="106" t="n"/>
      <c r="S117" s="114" t="n"/>
      <c r="T117" s="115" t="n">
        <v>16100.12</v>
      </c>
    </row>
    <row hidden="false" ht="15" outlineLevel="0" r="118">
      <c r="A118" s="116" t="n">
        <f aca="false" ca="false" dt2D="false" dtr="false" t="normal">+A117+1</f>
        <v>101</v>
      </c>
      <c r="B118" s="117" t="n">
        <f aca="false" ca="false" dt2D="false" dtr="false" t="normal">+B117+1</f>
        <v>101</v>
      </c>
      <c r="C118" s="104" t="s">
        <v>111</v>
      </c>
      <c r="D118" s="104" t="s">
        <v>180</v>
      </c>
      <c r="E118" s="113" t="n">
        <f aca="false" ca="true" dt2D="false" dtr="false" t="normal">SUBTOTAL(9, F118:T118)</f>
        <v>8384626.2695</v>
      </c>
      <c r="F118" s="106" t="n"/>
      <c r="G118" s="106" t="n">
        <v>1337737.05</v>
      </c>
      <c r="H118" s="133" t="n">
        <v>613148.77</v>
      </c>
      <c r="I118" s="106" t="n">
        <v>943239.55</v>
      </c>
      <c r="J118" s="106" t="n"/>
      <c r="K118" s="106" t="n"/>
      <c r="L118" s="106" t="n"/>
      <c r="M118" s="106" t="n">
        <v>0</v>
      </c>
      <c r="N118" s="106" t="n">
        <v>3170792.72</v>
      </c>
      <c r="O118" s="106" t="n">
        <v>0</v>
      </c>
      <c r="P118" s="106" t="n">
        <v>0</v>
      </c>
      <c r="Q118" s="106" t="n">
        <v>0</v>
      </c>
      <c r="R118" s="106" t="n">
        <v>2090379.2509</v>
      </c>
      <c r="S118" s="114" t="n">
        <v>229328.9286</v>
      </c>
      <c r="T118" s="115" t="n"/>
    </row>
    <row hidden="false" ht="15" outlineLevel="0" r="119">
      <c r="A119" s="116" t="n">
        <f aca="false" ca="false" dt2D="false" dtr="false" t="normal">+A118+1</f>
        <v>102</v>
      </c>
      <c r="B119" s="117" t="n">
        <f aca="false" ca="false" dt2D="false" dtr="false" t="normal">+B118+1</f>
        <v>102</v>
      </c>
      <c r="C119" s="104" t="s">
        <v>111</v>
      </c>
      <c r="D119" s="104" t="s">
        <v>181</v>
      </c>
      <c r="E119" s="113" t="n">
        <f aca="false" ca="true" dt2D="false" dtr="false" t="normal">SUBTOTAL(9, F119:T119)</f>
        <v>3582145.82</v>
      </c>
      <c r="F119" s="106" t="n">
        <v>2763321.73</v>
      </c>
      <c r="G119" s="106" t="n"/>
      <c r="H119" s="133" t="n"/>
      <c r="I119" s="106" t="n"/>
      <c r="J119" s="106" t="n"/>
      <c r="K119" s="106" t="n">
        <v>0</v>
      </c>
      <c r="L119" s="106" t="n"/>
      <c r="M119" s="106" t="n">
        <v>0</v>
      </c>
      <c r="N119" s="106" t="n">
        <v>0</v>
      </c>
      <c r="O119" s="106" t="n">
        <v>0</v>
      </c>
      <c r="P119" s="106" t="n">
        <v>0</v>
      </c>
      <c r="Q119" s="106" t="n">
        <v>0</v>
      </c>
      <c r="R119" s="106" t="n">
        <v>788750.73</v>
      </c>
      <c r="S119" s="114" t="n"/>
      <c r="T119" s="115" t="n">
        <v>30073.36</v>
      </c>
    </row>
    <row hidden="false" ht="15" outlineLevel="0" r="120">
      <c r="A120" s="116" t="n">
        <f aca="false" ca="false" dt2D="false" dtr="false" t="normal">+A119+1</f>
        <v>103</v>
      </c>
      <c r="B120" s="117" t="n">
        <f aca="false" ca="false" dt2D="false" dtr="false" t="normal">+B119+1</f>
        <v>103</v>
      </c>
      <c r="C120" s="104" t="s">
        <v>111</v>
      </c>
      <c r="D120" s="104" t="s">
        <v>182</v>
      </c>
      <c r="E120" s="113" t="n">
        <f aca="false" ca="true" dt2D="false" dtr="false" t="normal">SUBTOTAL(9, F120:T120)</f>
        <v>1007223.29</v>
      </c>
      <c r="F120" s="106" t="n">
        <v>0</v>
      </c>
      <c r="G120" s="106" t="n">
        <v>0</v>
      </c>
      <c r="H120" s="133" t="n">
        <v>0</v>
      </c>
      <c r="I120" s="106" t="n">
        <v>0</v>
      </c>
      <c r="J120" s="106" t="n">
        <v>1007223.29</v>
      </c>
      <c r="K120" s="106" t="n"/>
      <c r="L120" s="106" t="n"/>
      <c r="M120" s="106" t="n">
        <v>0</v>
      </c>
      <c r="N120" s="106" t="n">
        <v>0</v>
      </c>
      <c r="O120" s="106" t="n">
        <v>0</v>
      </c>
      <c r="P120" s="106" t="n">
        <v>0</v>
      </c>
      <c r="Q120" s="106" t="n">
        <v>0</v>
      </c>
      <c r="R120" s="106" t="n"/>
      <c r="S120" s="114" t="n"/>
      <c r="T120" s="115" t="n"/>
    </row>
    <row hidden="false" ht="15" outlineLevel="0" r="121">
      <c r="A121" s="116" t="n">
        <f aca="false" ca="false" dt2D="false" dtr="false" t="normal">+A120+1</f>
        <v>104</v>
      </c>
      <c r="B121" s="117" t="n">
        <f aca="false" ca="false" dt2D="false" dtr="false" t="normal">+B120+1</f>
        <v>104</v>
      </c>
      <c r="C121" s="104" t="s">
        <v>111</v>
      </c>
      <c r="D121" s="104" t="s">
        <v>183</v>
      </c>
      <c r="E121" s="113" t="n">
        <f aca="false" ca="true" dt2D="false" dtr="false" t="normal">SUBTOTAL(9, F121:T121)</f>
        <v>12165659.144399999</v>
      </c>
      <c r="F121" s="106" t="n">
        <v>3644506.14</v>
      </c>
      <c r="G121" s="106" t="n"/>
      <c r="H121" s="133" t="n">
        <v>914465.47</v>
      </c>
      <c r="I121" s="106" t="n"/>
      <c r="J121" s="106" t="n">
        <v>0</v>
      </c>
      <c r="K121" s="106" t="n"/>
      <c r="L121" s="106" t="n"/>
      <c r="M121" s="106" t="n">
        <v>0</v>
      </c>
      <c r="N121" s="106" t="n">
        <v>3794408.23</v>
      </c>
      <c r="O121" s="106" t="n">
        <v>0</v>
      </c>
      <c r="P121" s="106" t="n">
        <v>0</v>
      </c>
      <c r="Q121" s="106" t="n">
        <v>3615223.51</v>
      </c>
      <c r="R121" s="106" t="n">
        <v>160007.0122</v>
      </c>
      <c r="S121" s="114" t="n">
        <v>37048.7822</v>
      </c>
      <c r="T121" s="115" t="n"/>
    </row>
    <row hidden="false" ht="15" outlineLevel="0" r="122">
      <c r="A122" s="116" t="n">
        <f aca="false" ca="false" dt2D="false" dtr="false" t="normal">+A121+1</f>
        <v>105</v>
      </c>
      <c r="B122" s="117" t="n">
        <f aca="false" ca="false" dt2D="false" dtr="false" t="normal">+B121+1</f>
        <v>105</v>
      </c>
      <c r="C122" s="104" t="s">
        <v>111</v>
      </c>
      <c r="D122" s="104" t="s">
        <v>185</v>
      </c>
      <c r="E122" s="113" t="n">
        <f aca="false" ca="true" dt2D="false" dtr="false" t="normal">SUBTOTAL(9, F122:T122)</f>
        <v>54428541.629999995</v>
      </c>
      <c r="F122" s="106" t="n"/>
      <c r="G122" s="106" t="n"/>
      <c r="H122" s="134" t="n"/>
      <c r="I122" s="106" t="n"/>
      <c r="J122" s="106" t="n"/>
      <c r="K122" s="106" t="n"/>
      <c r="L122" s="106" t="n"/>
      <c r="M122" s="106" t="n"/>
      <c r="N122" s="106" t="n">
        <v>14003938.84</v>
      </c>
      <c r="O122" s="106" t="n"/>
      <c r="P122" s="106" t="n">
        <v>32173395.46</v>
      </c>
      <c r="Q122" s="106" t="n">
        <v>8022917.03</v>
      </c>
      <c r="R122" s="106" t="n">
        <v>228290.3</v>
      </c>
      <c r="S122" s="114" t="n"/>
      <c r="T122" s="115" t="n"/>
    </row>
    <row hidden="false" ht="15" outlineLevel="0" r="123">
      <c r="A123" s="116" t="n">
        <f aca="false" ca="false" dt2D="false" dtr="false" t="normal">+A122+1</f>
        <v>106</v>
      </c>
      <c r="B123" s="117" t="n">
        <f aca="false" ca="false" dt2D="false" dtr="false" t="normal">+B122+1</f>
        <v>106</v>
      </c>
      <c r="C123" s="104" t="s">
        <v>111</v>
      </c>
      <c r="D123" s="104" t="s">
        <v>189</v>
      </c>
      <c r="E123" s="113" t="n">
        <f aca="false" ca="true" dt2D="false" dtr="false" t="normal">SUBTOTAL(9, F123:T123)</f>
        <v>26737671.150000002</v>
      </c>
      <c r="F123" s="106" t="n">
        <v>6509238.77</v>
      </c>
      <c r="G123" s="106" t="n">
        <v>2319400.21</v>
      </c>
      <c r="H123" s="133" t="n">
        <v>3775889.5</v>
      </c>
      <c r="I123" s="106" t="n">
        <v>1790627.54</v>
      </c>
      <c r="J123" s="106" t="n"/>
      <c r="K123" s="106" t="n"/>
      <c r="L123" s="106" t="n"/>
      <c r="M123" s="106" t="n">
        <v>0</v>
      </c>
      <c r="N123" s="106" t="n">
        <v>4646956.9</v>
      </c>
      <c r="O123" s="106" t="n">
        <v>0</v>
      </c>
      <c r="P123" s="106" t="n">
        <v>5003516.4</v>
      </c>
      <c r="Q123" s="106" t="n">
        <v>2513954.87</v>
      </c>
      <c r="R123" s="106" t="n"/>
      <c r="S123" s="114" t="n"/>
      <c r="T123" s="115" t="n">
        <f aca="false" ca="false" dt2D="false" dtr="false" t="normal">54318.24+26212.3+17900.83+13102.42+28632.26+18587.41+19333.5</f>
        <v>178086.96</v>
      </c>
    </row>
    <row hidden="false" ht="15" outlineLevel="0" r="124">
      <c r="A124" s="116" t="n">
        <f aca="false" ca="false" dt2D="false" dtr="false" t="normal">+A123+1</f>
        <v>107</v>
      </c>
      <c r="B124" s="117" t="n">
        <f aca="false" ca="false" dt2D="false" dtr="false" t="normal">+B123+1</f>
        <v>107</v>
      </c>
      <c r="C124" s="104" t="s">
        <v>111</v>
      </c>
      <c r="D124" s="104" t="s">
        <v>190</v>
      </c>
      <c r="E124" s="113" t="n">
        <f aca="false" ca="true" dt2D="false" dtr="false" t="normal">SUBTOTAL(9, F124:T124)</f>
        <v>8153307.600000001</v>
      </c>
      <c r="F124" s="106" t="n">
        <v>0</v>
      </c>
      <c r="G124" s="106" t="n">
        <v>0</v>
      </c>
      <c r="H124" s="133" t="n">
        <v>0</v>
      </c>
      <c r="I124" s="106" t="n">
        <v>0</v>
      </c>
      <c r="J124" s="106" t="n">
        <v>0</v>
      </c>
      <c r="K124" s="106" t="n"/>
      <c r="L124" s="106" t="n"/>
      <c r="M124" s="106" t="n">
        <v>0</v>
      </c>
      <c r="N124" s="106" t="n">
        <v>6528558.99</v>
      </c>
      <c r="O124" s="106" t="n">
        <v>0</v>
      </c>
      <c r="P124" s="106" t="n">
        <v>0</v>
      </c>
      <c r="Q124" s="106" t="n">
        <v>0</v>
      </c>
      <c r="R124" s="106" t="n">
        <v>1523817.88</v>
      </c>
      <c r="S124" s="114" t="n"/>
      <c r="T124" s="115" t="n">
        <v>100930.73</v>
      </c>
    </row>
    <row hidden="false" ht="15" outlineLevel="0" r="125">
      <c r="A125" s="116" t="n">
        <f aca="false" ca="false" dt2D="false" dtr="false" t="normal">+A124+1</f>
        <v>108</v>
      </c>
      <c r="B125" s="117" t="n">
        <f aca="false" ca="false" dt2D="false" dtr="false" t="normal">+B124+1</f>
        <v>108</v>
      </c>
      <c r="C125" s="104" t="s">
        <v>111</v>
      </c>
      <c r="D125" s="104" t="s">
        <v>191</v>
      </c>
      <c r="E125" s="113" t="n">
        <f aca="false" ca="true" dt2D="false" dtr="false" t="normal">SUBTOTAL(9, F125:T125)</f>
        <v>7908665.25</v>
      </c>
      <c r="F125" s="106" t="n">
        <v>0</v>
      </c>
      <c r="G125" s="106" t="n">
        <v>0</v>
      </c>
      <c r="H125" s="133" t="n">
        <v>0</v>
      </c>
      <c r="I125" s="106" t="n">
        <v>0</v>
      </c>
      <c r="J125" s="106" t="n">
        <v>0</v>
      </c>
      <c r="K125" s="106" t="n"/>
      <c r="L125" s="106" t="n"/>
      <c r="M125" s="106" t="n">
        <v>0</v>
      </c>
      <c r="N125" s="106" t="n">
        <v>6264359.76</v>
      </c>
      <c r="O125" s="106" t="n">
        <v>0</v>
      </c>
      <c r="P125" s="106" t="n">
        <v>0</v>
      </c>
      <c r="Q125" s="106" t="n">
        <v>0</v>
      </c>
      <c r="R125" s="106" t="n">
        <v>1547459.25</v>
      </c>
      <c r="S125" s="114" t="n"/>
      <c r="T125" s="115" t="n">
        <v>96846.24</v>
      </c>
    </row>
    <row hidden="false" ht="15" outlineLevel="0" r="126">
      <c r="A126" s="116" t="n">
        <f aca="false" ca="false" dt2D="false" dtr="false" t="normal">+A125+1</f>
        <v>109</v>
      </c>
      <c r="B126" s="117" t="n">
        <f aca="false" ca="false" dt2D="false" dtr="false" t="normal">+B125+1</f>
        <v>109</v>
      </c>
      <c r="C126" s="104" t="s">
        <v>111</v>
      </c>
      <c r="D126" s="104" t="s">
        <v>192</v>
      </c>
      <c r="E126" s="113" t="n">
        <f aca="false" ca="true" dt2D="false" dtr="false" t="normal">SUBTOTAL(9, F126:T126)</f>
        <v>435458</v>
      </c>
      <c r="F126" s="106" t="n">
        <v>0</v>
      </c>
      <c r="G126" s="106" t="n">
        <v>0</v>
      </c>
      <c r="H126" s="133" t="n">
        <v>0</v>
      </c>
      <c r="I126" s="106" t="n">
        <v>0</v>
      </c>
      <c r="J126" s="106" t="n">
        <v>435458</v>
      </c>
      <c r="K126" s="106" t="n"/>
      <c r="L126" s="106" t="n"/>
      <c r="M126" s="106" t="n">
        <v>0</v>
      </c>
      <c r="N126" s="106" t="n">
        <v>0</v>
      </c>
      <c r="O126" s="106" t="n">
        <v>0</v>
      </c>
      <c r="P126" s="106" t="n">
        <v>0</v>
      </c>
      <c r="Q126" s="106" t="n">
        <v>0</v>
      </c>
      <c r="R126" s="106" t="n"/>
      <c r="S126" s="114" t="n"/>
      <c r="T126" s="115" t="n"/>
    </row>
    <row hidden="false" ht="15" outlineLevel="0" r="127">
      <c r="A127" s="116" t="n">
        <f aca="false" ca="false" dt2D="false" dtr="false" t="normal">+A126+1</f>
        <v>110</v>
      </c>
      <c r="B127" s="117" t="n">
        <f aca="false" ca="false" dt2D="false" dtr="false" t="normal">+B126+1</f>
        <v>110</v>
      </c>
      <c r="C127" s="104" t="s">
        <v>111</v>
      </c>
      <c r="D127" s="104" t="s">
        <v>193</v>
      </c>
      <c r="E127" s="113" t="n">
        <f aca="false" ca="true" dt2D="false" dtr="false" t="normal">SUBTOTAL(9, F127:T127)</f>
        <v>1097504.5</v>
      </c>
      <c r="F127" s="106" t="n">
        <v>0</v>
      </c>
      <c r="G127" s="106" t="n"/>
      <c r="H127" s="133" t="n">
        <v>0</v>
      </c>
      <c r="J127" s="106" t="n">
        <v>1097504.5</v>
      </c>
      <c r="K127" s="106" t="n"/>
      <c r="L127" s="106" t="n"/>
      <c r="M127" s="106" t="n">
        <v>0</v>
      </c>
      <c r="N127" s="106" t="n">
        <v>0</v>
      </c>
      <c r="O127" s="106" t="n">
        <v>0</v>
      </c>
      <c r="P127" s="106" t="n">
        <v>0</v>
      </c>
      <c r="Q127" s="106" t="n">
        <v>0</v>
      </c>
      <c r="R127" s="106" t="n"/>
      <c r="S127" s="106" t="n"/>
      <c r="T127" s="115" t="n"/>
    </row>
    <row hidden="false" ht="15" outlineLevel="0" r="128">
      <c r="A128" s="116" t="n">
        <f aca="false" ca="false" dt2D="false" dtr="false" t="normal">+A127+1</f>
        <v>111</v>
      </c>
      <c r="B128" s="117" t="n">
        <f aca="false" ca="false" dt2D="false" dtr="false" t="normal">+B127+1</f>
        <v>111</v>
      </c>
      <c r="C128" s="104" t="s">
        <v>111</v>
      </c>
      <c r="D128" s="104" t="s">
        <v>194</v>
      </c>
      <c r="E128" s="113" t="n">
        <f aca="false" ca="true" dt2D="false" dtr="false" t="normal">SUBTOTAL(9, F128:T128)</f>
        <v>500183.41</v>
      </c>
      <c r="F128" s="106" t="n"/>
      <c r="G128" s="106" t="n"/>
      <c r="H128" s="133" t="n"/>
      <c r="I128" s="106" t="n"/>
      <c r="J128" s="106" t="n">
        <v>500183.41</v>
      </c>
      <c r="K128" s="106" t="n"/>
      <c r="L128" s="106" t="n"/>
      <c r="M128" s="106" t="n">
        <v>0</v>
      </c>
      <c r="N128" s="106" t="n">
        <v>0</v>
      </c>
      <c r="O128" s="106" t="n">
        <v>0</v>
      </c>
      <c r="P128" s="106" t="n"/>
      <c r="Q128" s="106" t="n">
        <v>0</v>
      </c>
      <c r="R128" s="106" t="n"/>
      <c r="S128" s="114" t="n"/>
      <c r="T128" s="115" t="n"/>
    </row>
    <row hidden="false" ht="15" outlineLevel="0" r="129">
      <c r="A129" s="116" t="n">
        <f aca="false" ca="false" dt2D="false" dtr="false" t="normal">+A128+1</f>
        <v>112</v>
      </c>
      <c r="B129" s="117" t="n">
        <f aca="false" ca="false" dt2D="false" dtr="false" t="normal">+B128+1</f>
        <v>112</v>
      </c>
      <c r="C129" s="104" t="s">
        <v>111</v>
      </c>
      <c r="D129" s="104" t="s">
        <v>195</v>
      </c>
      <c r="E129" s="113" t="n">
        <f aca="false" ca="true" dt2D="false" dtr="false" t="normal">SUBTOTAL(9, F129:T129)</f>
        <v>994811.65</v>
      </c>
      <c r="F129" s="106" t="n">
        <v>0</v>
      </c>
      <c r="G129" s="106" t="n">
        <v>0</v>
      </c>
      <c r="H129" s="133" t="n">
        <v>0</v>
      </c>
      <c r="I129" s="106" t="n">
        <v>0</v>
      </c>
      <c r="J129" s="106" t="n">
        <v>994811.65</v>
      </c>
      <c r="K129" s="106" t="n"/>
      <c r="L129" s="106" t="n"/>
      <c r="M129" s="106" t="n">
        <v>0</v>
      </c>
      <c r="N129" s="106" t="n">
        <v>0</v>
      </c>
      <c r="O129" s="106" t="n">
        <v>0</v>
      </c>
      <c r="P129" s="106" t="n">
        <v>0</v>
      </c>
      <c r="Q129" s="106" t="n">
        <v>0</v>
      </c>
      <c r="R129" s="106" t="n"/>
      <c r="S129" s="114" t="n"/>
      <c r="T129" s="115" t="n"/>
    </row>
    <row hidden="false" ht="15" outlineLevel="0" r="130">
      <c r="A130" s="116" t="n">
        <f aca="false" ca="false" dt2D="false" dtr="false" t="normal">+A129+1</f>
        <v>113</v>
      </c>
      <c r="B130" s="117" t="n">
        <f aca="false" ca="false" dt2D="false" dtr="false" t="normal">+B129+1</f>
        <v>113</v>
      </c>
      <c r="C130" s="104" t="s">
        <v>111</v>
      </c>
      <c r="D130" s="104" t="s">
        <v>196</v>
      </c>
      <c r="E130" s="113" t="n">
        <f aca="false" ca="true" dt2D="false" dtr="false" t="normal">SUBTOTAL(9, F130:T130)</f>
        <v>2131641.8200000003</v>
      </c>
      <c r="F130" s="106" t="n"/>
      <c r="G130" s="106" t="n"/>
      <c r="H130" s="133" t="n"/>
      <c r="I130" s="106" t="n"/>
      <c r="J130" s="106" t="n">
        <v>2104784.68</v>
      </c>
      <c r="K130" s="106" t="n"/>
      <c r="L130" s="106" t="n"/>
      <c r="M130" s="106" t="n">
        <v>0</v>
      </c>
      <c r="N130" s="106" t="n">
        <v>0</v>
      </c>
      <c r="O130" s="106" t="n"/>
      <c r="P130" s="106" t="n"/>
      <c r="Q130" s="106" t="n"/>
      <c r="R130" s="106" t="n">
        <v>2857.14</v>
      </c>
      <c r="S130" s="114" t="n">
        <v>24000</v>
      </c>
      <c r="T130" s="115" t="n"/>
    </row>
    <row hidden="false" ht="15" outlineLevel="0" r="131">
      <c r="A131" s="116" t="n">
        <f aca="false" ca="false" dt2D="false" dtr="false" t="normal">+A130+1</f>
        <v>114</v>
      </c>
      <c r="B131" s="117" t="n">
        <f aca="false" ca="false" dt2D="false" dtr="false" t="normal">+B130+1</f>
        <v>114</v>
      </c>
      <c r="C131" s="104" t="s">
        <v>111</v>
      </c>
      <c r="D131" s="104" t="s">
        <v>197</v>
      </c>
      <c r="E131" s="113" t="n">
        <f aca="false" ca="true" dt2D="false" dtr="false" t="normal">SUBTOTAL(9, F131:T131)</f>
        <v>21811970.419999998</v>
      </c>
      <c r="F131" s="106" t="n"/>
      <c r="G131" s="106" t="n"/>
      <c r="H131" s="133" t="n"/>
      <c r="I131" s="106" t="n"/>
      <c r="J131" s="106" t="n"/>
      <c r="K131" s="106" t="n"/>
      <c r="L131" s="106" t="n"/>
      <c r="M131" s="106" t="n">
        <v>0</v>
      </c>
      <c r="N131" s="106" t="n"/>
      <c r="O131" s="106" t="n">
        <v>0</v>
      </c>
      <c r="P131" s="106" t="n">
        <v>21575728.45</v>
      </c>
      <c r="Q131" s="106" t="n"/>
      <c r="R131" s="106" t="n"/>
      <c r="S131" s="114" t="n"/>
      <c r="T131" s="115" t="n">
        <v>236241.97</v>
      </c>
    </row>
    <row hidden="false" ht="15" outlineLevel="0" r="132">
      <c r="A132" s="116" t="n">
        <f aca="false" ca="false" dt2D="false" dtr="false" t="normal">+A131+1</f>
        <v>115</v>
      </c>
      <c r="B132" s="117" t="n">
        <f aca="false" ca="false" dt2D="false" dtr="false" t="normal">+B131+1</f>
        <v>115</v>
      </c>
      <c r="C132" s="104" t="s">
        <v>111</v>
      </c>
      <c r="D132" s="104" t="s">
        <v>198</v>
      </c>
      <c r="E132" s="113" t="n">
        <f aca="false" ca="true" dt2D="false" dtr="false" t="normal">SUBTOTAL(9, F132:T132)</f>
        <v>23119997.939999998</v>
      </c>
      <c r="F132" s="106" t="n">
        <v>5305996.59</v>
      </c>
      <c r="H132" s="134" t="n"/>
      <c r="J132" s="106" t="n"/>
      <c r="K132" s="106" t="n"/>
      <c r="L132" s="106" t="n"/>
      <c r="M132" s="106" t="n">
        <v>0</v>
      </c>
      <c r="N132" s="106" t="n">
        <v>4125438.85</v>
      </c>
      <c r="O132" s="106" t="n">
        <v>0</v>
      </c>
      <c r="P132" s="106" t="n">
        <v>13688562.5</v>
      </c>
      <c r="Q132" s="106" t="n"/>
      <c r="R132" s="106" t="n"/>
      <c r="S132" s="114" t="n"/>
      <c r="T132" s="115" t="n"/>
    </row>
    <row hidden="false" ht="15" outlineLevel="0" r="133">
      <c r="A133" s="116" t="n">
        <f aca="false" ca="false" dt2D="false" dtr="false" t="normal">+A132+1</f>
        <v>116</v>
      </c>
      <c r="B133" s="117" t="n">
        <f aca="false" ca="false" dt2D="false" dtr="false" t="normal">+B132+1</f>
        <v>116</v>
      </c>
      <c r="C133" s="104" t="s">
        <v>111</v>
      </c>
      <c r="D133" s="104" t="s">
        <v>199</v>
      </c>
      <c r="E133" s="113" t="n">
        <f aca="false" ca="true" dt2D="false" dtr="false" t="normal">SUBTOTAL(9, F133:T133)</f>
        <v>1661665.99</v>
      </c>
      <c r="F133" s="106" t="n"/>
      <c r="G133" s="106" t="n"/>
      <c r="H133" s="133" t="n">
        <v>707768.48</v>
      </c>
      <c r="I133" s="106" t="n">
        <v>953897.51</v>
      </c>
      <c r="J133" s="106" t="n"/>
      <c r="K133" s="106" t="n"/>
      <c r="L133" s="106" t="n"/>
      <c r="M133" s="106" t="n">
        <v>0</v>
      </c>
      <c r="N133" s="106" t="n">
        <v>0</v>
      </c>
      <c r="O133" s="106" t="n">
        <v>0</v>
      </c>
      <c r="P133" s="106" t="n"/>
      <c r="Q133" s="106" t="n">
        <v>0</v>
      </c>
      <c r="R133" s="106" t="n"/>
      <c r="S133" s="114" t="n"/>
      <c r="T133" s="115" t="n"/>
    </row>
    <row hidden="false" ht="15" outlineLevel="0" r="134">
      <c r="A134" s="116" t="n">
        <f aca="false" ca="false" dt2D="false" dtr="false" t="normal">+A133+1</f>
        <v>117</v>
      </c>
      <c r="B134" s="117" t="n">
        <f aca="false" ca="false" dt2D="false" dtr="false" t="normal">+B133+1</f>
        <v>117</v>
      </c>
      <c r="C134" s="104" t="s">
        <v>200</v>
      </c>
      <c r="D134" s="104" t="s">
        <v>201</v>
      </c>
      <c r="E134" s="113" t="n">
        <f aca="false" ca="true" dt2D="false" dtr="false" t="normal">SUBTOTAL(9, F134:T134)</f>
        <v>9447493.22</v>
      </c>
      <c r="F134" s="106" t="n">
        <v>0</v>
      </c>
      <c r="G134" s="106" t="n">
        <v>0</v>
      </c>
      <c r="H134" s="133" t="n">
        <v>0</v>
      </c>
      <c r="I134" s="106" t="n">
        <v>0</v>
      </c>
      <c r="J134" s="106" t="n">
        <v>0</v>
      </c>
      <c r="K134" s="106" t="n"/>
      <c r="L134" s="106" t="n"/>
      <c r="M134" s="106" t="n">
        <v>0</v>
      </c>
      <c r="N134" s="106" t="n">
        <v>9447493.22</v>
      </c>
      <c r="O134" s="106" t="n">
        <v>0</v>
      </c>
      <c r="P134" s="106" t="n"/>
      <c r="Q134" s="106" t="n"/>
      <c r="R134" s="106" t="n"/>
      <c r="S134" s="114" t="n"/>
      <c r="T134" s="115" t="n"/>
    </row>
    <row hidden="false" ht="15" outlineLevel="0" r="135">
      <c r="A135" s="116" t="n">
        <f aca="false" ca="false" dt2D="false" dtr="false" t="normal">+A134+1</f>
        <v>118</v>
      </c>
      <c r="B135" s="117" t="n">
        <f aca="false" ca="false" dt2D="false" dtr="false" t="normal">+B134+1</f>
        <v>118</v>
      </c>
      <c r="C135" s="104" t="s">
        <v>200</v>
      </c>
      <c r="D135" s="104" t="s">
        <v>202</v>
      </c>
      <c r="E135" s="113" t="n">
        <f aca="false" ca="true" dt2D="false" dtr="false" t="normal">SUBTOTAL(9, F135:T135)</f>
        <v>459932.97</v>
      </c>
      <c r="F135" s="106" t="n">
        <v>0</v>
      </c>
      <c r="G135" s="106" t="n">
        <v>0</v>
      </c>
      <c r="H135" s="133" t="n">
        <v>0</v>
      </c>
      <c r="I135" s="106" t="n">
        <v>0</v>
      </c>
      <c r="J135" s="106" t="n">
        <v>459932.97</v>
      </c>
      <c r="K135" s="106" t="n"/>
      <c r="L135" s="106" t="n"/>
      <c r="M135" s="106" t="n">
        <v>0</v>
      </c>
      <c r="N135" s="106" t="n">
        <v>0</v>
      </c>
      <c r="O135" s="106" t="n">
        <v>0</v>
      </c>
      <c r="P135" s="106" t="n">
        <v>0</v>
      </c>
      <c r="Q135" s="106" t="n">
        <v>0</v>
      </c>
      <c r="R135" s="106" t="n"/>
      <c r="S135" s="114" t="n"/>
      <c r="T135" s="115" t="n"/>
    </row>
    <row hidden="false" ht="15" outlineLevel="0" r="136">
      <c r="A136" s="116" t="n">
        <f aca="false" ca="false" dt2D="false" dtr="false" t="normal">+A135+1</f>
        <v>119</v>
      </c>
      <c r="B136" s="117" t="n">
        <f aca="false" ca="false" dt2D="false" dtr="false" t="normal">+B135+1</f>
        <v>119</v>
      </c>
      <c r="C136" s="104" t="s">
        <v>200</v>
      </c>
      <c r="D136" s="104" t="s">
        <v>203</v>
      </c>
      <c r="E136" s="113" t="n">
        <f aca="false" ca="true" dt2D="false" dtr="false" t="normal">SUBTOTAL(9, F136:T136)</f>
        <v>7262692.2310999995</v>
      </c>
      <c r="F136" s="106" t="n"/>
      <c r="G136" s="106" t="n"/>
      <c r="H136" s="133" t="n"/>
      <c r="I136" s="106" t="n"/>
      <c r="J136" s="106" t="n"/>
      <c r="K136" s="106" t="n"/>
      <c r="L136" s="106" t="n"/>
      <c r="M136" s="106" t="n"/>
      <c r="N136" s="106" t="n"/>
      <c r="O136" s="106" t="n"/>
      <c r="P136" s="106" t="n"/>
      <c r="Q136" s="106" t="n">
        <v>6404791.89</v>
      </c>
      <c r="R136" s="106" t="n">
        <v>779909.401</v>
      </c>
      <c r="S136" s="114" t="n">
        <v>77990.9401</v>
      </c>
      <c r="T136" s="115" t="n"/>
    </row>
    <row hidden="false" ht="15" outlineLevel="0" r="137">
      <c r="A137" s="116" t="n">
        <f aca="false" ca="false" dt2D="false" dtr="false" t="normal">+A136+1</f>
        <v>120</v>
      </c>
      <c r="B137" s="117" t="n">
        <f aca="false" ca="false" dt2D="false" dtr="false" t="normal">+B136+1</f>
        <v>120</v>
      </c>
      <c r="C137" s="104" t="s">
        <v>200</v>
      </c>
      <c r="D137" s="104" t="s">
        <v>205</v>
      </c>
      <c r="E137" s="113" t="n">
        <f aca="false" ca="true" dt2D="false" dtr="false" t="normal">SUBTOTAL(9, F137:T137)</f>
        <v>1308608.9229000001</v>
      </c>
      <c r="F137" s="106" t="n">
        <v>0</v>
      </c>
      <c r="G137" s="106" t="n"/>
      <c r="H137" s="133" t="n">
        <v>1005861.31</v>
      </c>
      <c r="I137" s="106" t="n">
        <v>0</v>
      </c>
      <c r="J137" s="106" t="n"/>
      <c r="K137" s="106" t="n"/>
      <c r="L137" s="106" t="n"/>
      <c r="M137" s="106" t="n">
        <v>0</v>
      </c>
      <c r="N137" s="106" t="n">
        <v>0</v>
      </c>
      <c r="O137" s="106" t="n">
        <v>0</v>
      </c>
      <c r="P137" s="106" t="n">
        <v>0</v>
      </c>
      <c r="Q137" s="106" t="n">
        <v>0</v>
      </c>
      <c r="R137" s="106" t="n">
        <v>268460.939</v>
      </c>
      <c r="S137" s="114" t="n">
        <v>26846.0939</v>
      </c>
      <c r="T137" s="115" t="n">
        <v>7440.58</v>
      </c>
    </row>
    <row hidden="false" ht="15" outlineLevel="0" r="138">
      <c r="A138" s="116" t="n">
        <f aca="false" ca="false" dt2D="false" dtr="false" t="normal">+A137+1</f>
        <v>121</v>
      </c>
      <c r="B138" s="117" t="n">
        <f aca="false" ca="false" dt2D="false" dtr="false" t="normal">+B137+1</f>
        <v>121</v>
      </c>
      <c r="C138" s="104" t="s">
        <v>200</v>
      </c>
      <c r="D138" s="104" t="s">
        <v>206</v>
      </c>
      <c r="E138" s="113" t="n">
        <f aca="false" ca="true" dt2D="false" dtr="false" t="normal">SUBTOTAL(9, F138:T138)</f>
        <v>2408460.1</v>
      </c>
      <c r="F138" s="106" t="n">
        <v>0</v>
      </c>
      <c r="G138" s="106" t="n"/>
      <c r="H138" s="133" t="n"/>
      <c r="I138" s="106" t="n"/>
      <c r="J138" s="106" t="n">
        <v>0</v>
      </c>
      <c r="K138" s="106" t="n"/>
      <c r="L138" s="106" t="n"/>
      <c r="M138" s="106" t="n">
        <v>0</v>
      </c>
      <c r="N138" s="106" t="n">
        <v>2408460.1</v>
      </c>
      <c r="O138" s="106" t="n">
        <v>0</v>
      </c>
      <c r="P138" s="106" t="n">
        <v>0</v>
      </c>
      <c r="Q138" s="106" t="n">
        <v>0</v>
      </c>
      <c r="R138" s="106" t="n"/>
      <c r="S138" s="114" t="n"/>
      <c r="T138" s="115" t="n"/>
    </row>
    <row hidden="false" ht="15" outlineLevel="0" r="139">
      <c r="A139" s="116" t="n">
        <f aca="false" ca="false" dt2D="false" dtr="false" t="normal">+A138+1</f>
        <v>122</v>
      </c>
      <c r="B139" s="117" t="n">
        <f aca="false" ca="false" dt2D="false" dtr="false" t="normal">+B138+1</f>
        <v>122</v>
      </c>
      <c r="C139" s="104" t="s">
        <v>207</v>
      </c>
      <c r="D139" s="104" t="s">
        <v>208</v>
      </c>
      <c r="E139" s="113" t="n">
        <f aca="false" ca="true" dt2D="false" dtr="false" t="normal">SUBTOTAL(9, F139:T139)</f>
        <v>918312.05</v>
      </c>
      <c r="F139" s="106" t="n">
        <v>918312.05</v>
      </c>
      <c r="G139" s="106" t="n"/>
      <c r="H139" s="133" t="n"/>
      <c r="I139" s="106" t="n"/>
      <c r="J139" s="106" t="n">
        <v>0</v>
      </c>
      <c r="K139" s="106" t="n"/>
      <c r="L139" s="106" t="n"/>
      <c r="M139" s="106" t="n">
        <v>0</v>
      </c>
      <c r="N139" s="106" t="n">
        <v>0</v>
      </c>
      <c r="O139" s="106" t="n">
        <v>0</v>
      </c>
      <c r="P139" s="106" t="n">
        <v>0</v>
      </c>
      <c r="Q139" s="106" t="n">
        <v>0</v>
      </c>
      <c r="R139" s="106" t="n"/>
      <c r="S139" s="114" t="n"/>
      <c r="T139" s="115" t="n"/>
    </row>
    <row hidden="false" ht="15" outlineLevel="0" r="140">
      <c r="A140" s="116" t="n">
        <f aca="false" ca="false" dt2D="false" dtr="false" t="normal">+A139+1</f>
        <v>123</v>
      </c>
      <c r="B140" s="117" t="n">
        <f aca="false" ca="false" dt2D="false" dtr="false" t="normal">+B139+1</f>
        <v>123</v>
      </c>
      <c r="C140" s="104" t="s">
        <v>209</v>
      </c>
      <c r="D140" s="104" t="s">
        <v>210</v>
      </c>
      <c r="E140" s="113" t="n">
        <f aca="false" ca="true" dt2D="false" dtr="false" t="normal">SUBTOTAL(9, F140:T140)</f>
        <v>5233450.9559</v>
      </c>
      <c r="F140" s="106" t="n"/>
      <c r="G140" s="106" t="n"/>
      <c r="H140" s="133" t="n">
        <v>0</v>
      </c>
      <c r="I140" s="106" t="n"/>
      <c r="J140" s="106" t="n"/>
      <c r="K140" s="106" t="n"/>
      <c r="L140" s="106" t="n"/>
      <c r="M140" s="106" t="n">
        <v>0</v>
      </c>
      <c r="N140" s="106" t="n">
        <v>0</v>
      </c>
      <c r="P140" s="106" t="n">
        <v>0</v>
      </c>
      <c r="Q140" s="106" t="n">
        <v>3924912.66</v>
      </c>
      <c r="R140" s="106" t="n">
        <v>1200305.659</v>
      </c>
      <c r="S140" s="114" t="n">
        <v>108232.6369</v>
      </c>
      <c r="T140" s="115" t="n"/>
    </row>
    <row hidden="false" ht="15" outlineLevel="0" r="141">
      <c r="A141" s="116" t="n">
        <f aca="false" ca="false" dt2D="false" dtr="false" t="normal">+A140+1</f>
        <v>124</v>
      </c>
      <c r="B141" s="117" t="n">
        <f aca="false" ca="false" dt2D="false" dtr="false" t="normal">+B140+1</f>
        <v>124</v>
      </c>
      <c r="C141" s="104" t="s">
        <v>209</v>
      </c>
      <c r="D141" s="104" t="s">
        <v>211</v>
      </c>
      <c r="E141" s="113" t="n">
        <f aca="false" ca="true" dt2D="false" dtr="false" t="normal">SUBTOTAL(9, F141:T141)</f>
        <v>5139530.48</v>
      </c>
      <c r="F141" s="106" t="n">
        <v>0</v>
      </c>
      <c r="G141" s="106" t="n"/>
      <c r="H141" s="133" t="n"/>
      <c r="I141" s="106" t="n"/>
      <c r="J141" s="106" t="n">
        <v>0</v>
      </c>
      <c r="K141" s="106" t="n"/>
      <c r="L141" s="106" t="n"/>
      <c r="M141" s="106" t="n">
        <v>0</v>
      </c>
      <c r="N141" s="106" t="n">
        <v>4903240.65</v>
      </c>
      <c r="O141" s="106" t="n">
        <v>0</v>
      </c>
      <c r="P141" s="106" t="n">
        <v>0</v>
      </c>
      <c r="Q141" s="106" t="n">
        <v>0</v>
      </c>
      <c r="R141" s="106" t="n">
        <v>229623.17</v>
      </c>
      <c r="S141" s="114" t="n">
        <v>6666.66</v>
      </c>
      <c r="T141" s="115" t="n"/>
    </row>
    <row hidden="false" ht="15" outlineLevel="0" r="142">
      <c r="A142" s="116" t="n">
        <f aca="false" ca="false" dt2D="false" dtr="false" t="normal">+A141+1</f>
        <v>125</v>
      </c>
      <c r="B142" s="117" t="n">
        <f aca="false" ca="false" dt2D="false" dtr="false" t="normal">+B141+1</f>
        <v>125</v>
      </c>
      <c r="C142" s="104" t="s">
        <v>209</v>
      </c>
      <c r="D142" s="104" t="s">
        <v>212</v>
      </c>
      <c r="E142" s="113" t="n">
        <f aca="false" ca="true" dt2D="false" dtr="false" t="normal">SUBTOTAL(9, F142:T142)</f>
        <v>4936660.8187</v>
      </c>
      <c r="F142" s="106" t="n"/>
      <c r="G142" s="106" t="n"/>
      <c r="H142" s="133" t="n"/>
      <c r="I142" s="106" t="n"/>
      <c r="J142" s="106" t="n"/>
      <c r="K142" s="106" t="n"/>
      <c r="L142" s="106" t="n"/>
      <c r="M142" s="106" t="n">
        <v>0</v>
      </c>
      <c r="N142" s="106" t="n">
        <v>0</v>
      </c>
      <c r="P142" s="106" t="n">
        <v>0</v>
      </c>
      <c r="Q142" s="106" t="n">
        <v>3209479.43</v>
      </c>
      <c r="R142" s="106" t="n">
        <v>1575434.3365</v>
      </c>
      <c r="S142" s="114" t="n">
        <v>151747.0522</v>
      </c>
      <c r="T142" s="115" t="n"/>
    </row>
    <row hidden="false" ht="15" outlineLevel="0" r="143">
      <c r="A143" s="116" t="n">
        <f aca="false" ca="false" dt2D="false" dtr="false" t="normal">+A142+1</f>
        <v>126</v>
      </c>
      <c r="B143" s="117" t="n">
        <f aca="false" ca="false" dt2D="false" dtr="false" t="normal">+B142+1</f>
        <v>126</v>
      </c>
      <c r="C143" s="104" t="s">
        <v>209</v>
      </c>
      <c r="D143" s="104" t="s">
        <v>213</v>
      </c>
      <c r="E143" s="113" t="n">
        <f aca="false" ca="true" dt2D="false" dtr="false" t="normal">SUBTOTAL(9, F143:T143)</f>
        <v>5491535.523</v>
      </c>
      <c r="F143" s="106" t="n"/>
      <c r="G143" s="106" t="n"/>
      <c r="H143" s="133" t="n"/>
      <c r="I143" s="106" t="n"/>
      <c r="J143" s="106" t="n"/>
      <c r="K143" s="106" t="n"/>
      <c r="L143" s="106" t="n"/>
      <c r="M143" s="106" t="n">
        <v>0</v>
      </c>
      <c r="N143" s="106" t="n">
        <v>0</v>
      </c>
      <c r="P143" s="106" t="n">
        <v>0</v>
      </c>
      <c r="Q143" s="106" t="n">
        <v>4230200.7</v>
      </c>
      <c r="R143" s="106" t="n">
        <v>1151371.1733</v>
      </c>
      <c r="S143" s="114" t="n">
        <v>109963.6497</v>
      </c>
      <c r="T143" s="115" t="n"/>
    </row>
    <row hidden="false" ht="15" outlineLevel="0" r="144">
      <c r="A144" s="116" t="n">
        <f aca="false" ca="false" dt2D="false" dtr="false" t="normal">+A143+1</f>
        <v>127</v>
      </c>
      <c r="B144" s="117" t="n">
        <f aca="false" ca="false" dt2D="false" dtr="false" t="normal">+B143+1</f>
        <v>127</v>
      </c>
      <c r="C144" s="104" t="s">
        <v>209</v>
      </c>
      <c r="D144" s="104" t="s">
        <v>214</v>
      </c>
      <c r="E144" s="113" t="n">
        <f aca="false" ca="true" dt2D="false" dtr="false" t="normal">SUBTOTAL(9, F144:T144)</f>
        <v>5720057.6</v>
      </c>
      <c r="F144" s="106" t="n">
        <v>0</v>
      </c>
      <c r="G144" s="106" t="n"/>
      <c r="H144" s="133" t="n"/>
      <c r="I144" s="106" t="n"/>
      <c r="J144" s="106" t="n">
        <v>0</v>
      </c>
      <c r="K144" s="106" t="n"/>
      <c r="L144" s="106" t="n"/>
      <c r="M144" s="106" t="n">
        <v>0</v>
      </c>
      <c r="N144" s="106" t="n">
        <v>5484086.39</v>
      </c>
      <c r="O144" s="106" t="n">
        <v>0</v>
      </c>
      <c r="P144" s="106" t="n">
        <v>0</v>
      </c>
      <c r="Q144" s="106" t="n">
        <v>0</v>
      </c>
      <c r="R144" s="106" t="n">
        <v>229304.55</v>
      </c>
      <c r="S144" s="114" t="n">
        <v>6666.66</v>
      </c>
      <c r="T144" s="115" t="n"/>
    </row>
    <row hidden="false" ht="15" outlineLevel="0" r="145">
      <c r="A145" s="116" t="n">
        <f aca="false" ca="false" dt2D="false" dtr="false" t="normal">+A144+1</f>
        <v>128</v>
      </c>
      <c r="B145" s="117" t="n">
        <f aca="false" ca="false" dt2D="false" dtr="false" t="normal">+B144+1</f>
        <v>128</v>
      </c>
      <c r="C145" s="104" t="s">
        <v>215</v>
      </c>
      <c r="D145" s="104" t="s">
        <v>216</v>
      </c>
      <c r="E145" s="113" t="n">
        <f aca="false" ca="true" dt2D="false" dtr="false" t="normal">SUBTOTAL(9, F145:T145)</f>
        <v>6702155.61</v>
      </c>
      <c r="H145" s="134" t="n"/>
      <c r="J145" s="106" t="n">
        <v>0</v>
      </c>
      <c r="K145" s="106" t="n"/>
      <c r="L145" s="106" t="n"/>
      <c r="M145" s="106" t="n">
        <v>0</v>
      </c>
      <c r="N145" s="106" t="n">
        <v>6665001.53</v>
      </c>
      <c r="O145" s="106" t="n">
        <v>0</v>
      </c>
      <c r="P145" s="106" t="n"/>
      <c r="Q145" s="106" t="n"/>
      <c r="R145" s="106" t="n"/>
      <c r="S145" s="114" t="n"/>
      <c r="T145" s="115" t="n">
        <v>37154.08</v>
      </c>
    </row>
    <row hidden="false" ht="15" outlineLevel="0" r="146">
      <c r="A146" s="116" t="n">
        <f aca="false" ca="false" dt2D="false" dtr="false" t="normal">+A145+1</f>
        <v>129</v>
      </c>
      <c r="B146" s="117" t="n">
        <f aca="false" ca="false" dt2D="false" dtr="false" t="normal">+B145+1</f>
        <v>129</v>
      </c>
      <c r="C146" s="104" t="s">
        <v>217</v>
      </c>
      <c r="D146" s="104" t="s">
        <v>218</v>
      </c>
      <c r="E146" s="113" t="n">
        <f aca="false" ca="true" dt2D="false" dtr="false" t="normal">SUBTOTAL(9, F146:T146)</f>
        <v>7493912.15</v>
      </c>
      <c r="F146" s="106" t="n">
        <v>5331233.07</v>
      </c>
      <c r="G146" s="106" t="n"/>
      <c r="H146" s="133" t="n"/>
      <c r="I146" s="106" t="n">
        <v>2162679.08</v>
      </c>
      <c r="J146" s="106" t="n">
        <v>0</v>
      </c>
      <c r="K146" s="106" t="n"/>
      <c r="L146" s="106" t="n"/>
      <c r="M146" s="106" t="n">
        <v>0</v>
      </c>
      <c r="N146" s="106" t="n"/>
      <c r="O146" s="106" t="n">
        <v>0</v>
      </c>
      <c r="P146" s="106" t="n"/>
      <c r="R146" s="106" t="n"/>
      <c r="S146" s="106" t="n"/>
      <c r="T146" s="115" t="n"/>
    </row>
    <row hidden="false" ht="15" outlineLevel="0" r="147">
      <c r="A147" s="116" t="n">
        <f aca="false" ca="false" dt2D="false" dtr="false" t="normal">+A146+1</f>
        <v>130</v>
      </c>
      <c r="B147" s="117" t="n">
        <f aca="false" ca="false" dt2D="false" dtr="false" t="normal">+B146+1</f>
        <v>130</v>
      </c>
      <c r="C147" s="104" t="s">
        <v>217</v>
      </c>
      <c r="D147" s="104" t="s">
        <v>219</v>
      </c>
      <c r="E147" s="113" t="n">
        <f aca="false" ca="true" dt2D="false" dtr="false" t="normal">SUBTOTAL(9, F147:T147)</f>
        <v>12568038.82</v>
      </c>
      <c r="F147" s="106" t="n">
        <v>0</v>
      </c>
      <c r="G147" s="106" t="n">
        <v>0</v>
      </c>
      <c r="H147" s="133" t="n"/>
      <c r="I147" s="106" t="n">
        <v>0</v>
      </c>
      <c r="J147" s="106" t="n">
        <v>0</v>
      </c>
      <c r="K147" s="106" t="n"/>
      <c r="L147" s="106" t="n"/>
      <c r="M147" s="106" t="n">
        <v>0</v>
      </c>
      <c r="N147" s="106" t="n">
        <v>0</v>
      </c>
      <c r="O147" s="106" t="n">
        <v>0</v>
      </c>
      <c r="P147" s="106" t="n">
        <v>12568038.82</v>
      </c>
      <c r="Q147" s="106" t="n">
        <v>0</v>
      </c>
      <c r="R147" s="106" t="n"/>
      <c r="S147" s="114" t="n"/>
      <c r="T147" s="115" t="n"/>
    </row>
    <row hidden="false" ht="15" outlineLevel="0" r="148">
      <c r="A148" s="116" t="n">
        <f aca="false" ca="false" dt2D="false" dtr="false" t="normal">+A147+1</f>
        <v>131</v>
      </c>
      <c r="B148" s="117" t="n">
        <f aca="false" ca="false" dt2D="false" dtr="false" t="normal">+B147+1</f>
        <v>131</v>
      </c>
      <c r="C148" s="104" t="s">
        <v>221</v>
      </c>
      <c r="D148" s="104" t="s">
        <v>222</v>
      </c>
      <c r="E148" s="113" t="n">
        <f aca="false" ca="true" dt2D="false" dtr="false" t="normal">SUBTOTAL(9, F148:T148)</f>
        <v>275546.21</v>
      </c>
      <c r="F148" s="106" t="n">
        <v>0</v>
      </c>
      <c r="G148" s="106" t="n">
        <v>0</v>
      </c>
      <c r="H148" s="133" t="n">
        <v>0</v>
      </c>
      <c r="I148" s="106" t="n">
        <v>0</v>
      </c>
      <c r="J148" s="106" t="n">
        <v>0</v>
      </c>
      <c r="K148" s="106" t="n"/>
      <c r="L148" s="106" t="n"/>
      <c r="M148" s="106" t="n">
        <v>0</v>
      </c>
      <c r="N148" s="106" t="n">
        <v>0</v>
      </c>
      <c r="O148" s="106" t="n">
        <v>0</v>
      </c>
      <c r="P148" s="106" t="n">
        <v>0</v>
      </c>
      <c r="Q148" s="106" t="n">
        <v>275546.21</v>
      </c>
      <c r="R148" s="106" t="n"/>
      <c r="S148" s="114" t="n"/>
      <c r="T148" s="115" t="n"/>
    </row>
    <row hidden="false" ht="15" outlineLevel="0" r="149">
      <c r="A149" s="116" t="n">
        <f aca="false" ca="false" dt2D="false" dtr="false" t="normal">+A148+1</f>
        <v>132</v>
      </c>
      <c r="B149" s="117" t="n">
        <f aca="false" ca="false" dt2D="false" dtr="false" t="normal">+B148+1</f>
        <v>132</v>
      </c>
      <c r="C149" s="104" t="s">
        <v>221</v>
      </c>
      <c r="D149" s="104" t="s">
        <v>223</v>
      </c>
      <c r="E149" s="113" t="n">
        <f aca="false" ca="true" dt2D="false" dtr="false" t="normal">SUBTOTAL(9, F149:T149)</f>
        <v>2485206.75</v>
      </c>
      <c r="F149" s="106" t="n">
        <v>0</v>
      </c>
      <c r="G149" s="106" t="n">
        <v>0</v>
      </c>
      <c r="H149" s="133" t="n">
        <v>0</v>
      </c>
      <c r="I149" s="106" t="n">
        <v>0</v>
      </c>
      <c r="J149" s="106" t="n">
        <v>0</v>
      </c>
      <c r="K149" s="106" t="n"/>
      <c r="L149" s="106" t="n"/>
      <c r="M149" s="106" t="n">
        <v>0</v>
      </c>
      <c r="N149" s="106" t="n">
        <v>1968122.34</v>
      </c>
      <c r="O149" s="106" t="n">
        <v>0</v>
      </c>
      <c r="P149" s="106" t="n">
        <v>0</v>
      </c>
      <c r="Q149" s="106" t="n">
        <v>517084.41</v>
      </c>
      <c r="R149" s="106" t="n"/>
      <c r="S149" s="114" t="n"/>
      <c r="T149" s="115" t="n"/>
    </row>
    <row hidden="false" ht="15" outlineLevel="0" r="150">
      <c r="A150" s="116" t="n">
        <f aca="false" ca="false" dt2D="false" dtr="false" t="normal">+A149+1</f>
        <v>133</v>
      </c>
      <c r="B150" s="117" t="n">
        <f aca="false" ca="false" dt2D="false" dtr="false" t="normal">+B149+1</f>
        <v>133</v>
      </c>
      <c r="C150" s="104" t="s">
        <v>221</v>
      </c>
      <c r="D150" s="104" t="s">
        <v>224</v>
      </c>
      <c r="E150" s="113" t="n">
        <f aca="false" ca="true" dt2D="false" dtr="false" t="normal">SUBTOTAL(9, F150:T150)</f>
        <v>942327.92</v>
      </c>
      <c r="F150" s="106" t="n"/>
      <c r="G150" s="106" t="n">
        <v>624846.18</v>
      </c>
      <c r="H150" s="133" t="n"/>
      <c r="I150" s="106" t="n">
        <v>317481.74</v>
      </c>
      <c r="J150" s="106" t="n">
        <v>0</v>
      </c>
      <c r="K150" s="106" t="n"/>
      <c r="L150" s="106" t="n"/>
      <c r="M150" s="106" t="n">
        <v>0</v>
      </c>
      <c r="N150" s="106" t="n"/>
      <c r="O150" s="106" t="n">
        <v>0</v>
      </c>
      <c r="P150" s="106" t="n"/>
      <c r="Q150" s="106" t="n"/>
      <c r="R150" s="106" t="n"/>
      <c r="S150" s="114" t="n"/>
      <c r="T150" s="115" t="n"/>
    </row>
    <row hidden="false" ht="15" outlineLevel="0" r="151">
      <c r="A151" s="116" t="n">
        <f aca="false" ca="false" dt2D="false" dtr="false" t="normal">+A150+1</f>
        <v>134</v>
      </c>
      <c r="B151" s="117" t="n">
        <f aca="false" ca="false" dt2D="false" dtr="false" t="normal">+B150+1</f>
        <v>134</v>
      </c>
      <c r="C151" s="104" t="s">
        <v>221</v>
      </c>
      <c r="D151" s="104" t="s">
        <v>225</v>
      </c>
      <c r="E151" s="113" t="n">
        <f aca="false" ca="true" dt2D="false" dtr="false" t="normal">SUBTOTAL(9, F151:T151)</f>
        <v>1065818.07</v>
      </c>
      <c r="F151" s="106" t="n"/>
      <c r="G151" s="106" t="n">
        <v>691727.99</v>
      </c>
      <c r="H151" s="133" t="n"/>
      <c r="I151" s="106" t="n">
        <v>374090.08</v>
      </c>
      <c r="J151" s="106" t="n">
        <v>0</v>
      </c>
      <c r="K151" s="106" t="n"/>
      <c r="L151" s="106" t="n"/>
      <c r="M151" s="106" t="n">
        <v>0</v>
      </c>
      <c r="N151" s="106" t="n"/>
      <c r="O151" s="106" t="n"/>
      <c r="P151" s="106" t="n"/>
      <c r="R151" s="106" t="n"/>
      <c r="S151" s="114" t="n"/>
      <c r="T151" s="115" t="n"/>
    </row>
    <row hidden="false" ht="15" outlineLevel="0" r="152">
      <c r="A152" s="116" t="n">
        <f aca="false" ca="false" dt2D="false" dtr="false" t="normal">+A151+1</f>
        <v>135</v>
      </c>
      <c r="B152" s="117" t="n">
        <f aca="false" ca="false" dt2D="false" dtr="false" t="normal">+B151+1</f>
        <v>135</v>
      </c>
      <c r="C152" s="104" t="s">
        <v>221</v>
      </c>
      <c r="D152" s="104" t="s">
        <v>226</v>
      </c>
      <c r="E152" s="113" t="n">
        <f aca="false" ca="true" dt2D="false" dtr="false" t="normal">SUBTOTAL(9, F152:T152)</f>
        <v>849666.3400000001</v>
      </c>
      <c r="F152" s="106" t="n"/>
      <c r="G152" s="106" t="n">
        <v>552436.8</v>
      </c>
      <c r="H152" s="133" t="n"/>
      <c r="I152" s="106" t="n">
        <v>297229.54</v>
      </c>
      <c r="J152" s="106" t="n">
        <v>0</v>
      </c>
      <c r="K152" s="106" t="n"/>
      <c r="L152" s="106" t="n"/>
      <c r="M152" s="106" t="n">
        <v>0</v>
      </c>
      <c r="N152" s="106" t="n"/>
      <c r="O152" s="106" t="n">
        <v>0</v>
      </c>
      <c r="P152" s="106" t="n"/>
      <c r="R152" s="106" t="n"/>
      <c r="S152" s="114" t="n"/>
      <c r="T152" s="115" t="n"/>
    </row>
    <row hidden="false" ht="15" outlineLevel="0" r="153">
      <c r="A153" s="116" t="n">
        <f aca="false" ca="false" dt2D="false" dtr="false" t="normal">+A152+1</f>
        <v>136</v>
      </c>
      <c r="B153" s="117" t="n">
        <f aca="false" ca="false" dt2D="false" dtr="false" t="normal">+B152+1</f>
        <v>136</v>
      </c>
      <c r="C153" s="104" t="s">
        <v>227</v>
      </c>
      <c r="D153" s="104" t="s">
        <v>228</v>
      </c>
      <c r="E153" s="113" t="n">
        <f aca="false" ca="true" dt2D="false" dtr="false" t="normal">SUBTOTAL(9, F153:T153)</f>
        <v>2592439.69</v>
      </c>
      <c r="F153" s="106" t="n">
        <v>2562577.02</v>
      </c>
      <c r="G153" s="106" t="n">
        <v>0</v>
      </c>
      <c r="H153" s="133" t="n"/>
      <c r="I153" s="106" t="n">
        <v>0</v>
      </c>
      <c r="J153" s="106" t="n">
        <v>0</v>
      </c>
      <c r="K153" s="106" t="n"/>
      <c r="L153" s="106" t="n"/>
      <c r="M153" s="106" t="n">
        <v>0</v>
      </c>
      <c r="N153" s="106" t="n">
        <v>0</v>
      </c>
      <c r="O153" s="106" t="n">
        <v>0</v>
      </c>
      <c r="P153" s="106" t="n"/>
      <c r="Q153" s="106" t="n">
        <v>0</v>
      </c>
      <c r="R153" s="106" t="n"/>
      <c r="S153" s="114" t="n"/>
      <c r="T153" s="115" t="n">
        <v>29862.67</v>
      </c>
    </row>
    <row hidden="false" ht="15" outlineLevel="0" r="154">
      <c r="A154" s="116" t="n">
        <f aca="false" ca="false" dt2D="false" dtr="false" t="normal">+A153+1</f>
        <v>137</v>
      </c>
      <c r="B154" s="117" t="n">
        <f aca="false" ca="false" dt2D="false" dtr="false" t="normal">+B153+1</f>
        <v>137</v>
      </c>
      <c r="C154" s="104" t="s">
        <v>227</v>
      </c>
      <c r="D154" s="104" t="s">
        <v>230</v>
      </c>
      <c r="E154" s="113" t="n">
        <f aca="false" ca="true" dt2D="false" dtr="false" t="normal">SUBTOTAL(9, F154:T154)</f>
        <v>46987316.400000006</v>
      </c>
      <c r="F154" s="106" t="n"/>
      <c r="G154" s="106" t="n">
        <v>8054732.7</v>
      </c>
      <c r="H154" s="133" t="n">
        <v>3326392.27</v>
      </c>
      <c r="I154" s="106" t="n"/>
      <c r="J154" s="106" t="n"/>
      <c r="K154" s="106" t="n"/>
      <c r="L154" s="106" t="n"/>
      <c r="M154" s="106" t="n"/>
      <c r="N154" s="106" t="n">
        <v>6383560.56</v>
      </c>
      <c r="O154" s="106" t="n">
        <v>0</v>
      </c>
      <c r="P154" s="106" t="n">
        <v>14384597.8</v>
      </c>
      <c r="Q154" s="106" t="n">
        <v>14838033.07</v>
      </c>
      <c r="R154" s="106" t="n"/>
      <c r="S154" s="114" t="n"/>
      <c r="T154" s="115" t="n"/>
    </row>
    <row hidden="false" ht="15" outlineLevel="0" r="155">
      <c r="A155" s="116" t="n">
        <f aca="false" ca="false" dt2D="false" dtr="false" t="normal">+A154+1</f>
        <v>138</v>
      </c>
      <c r="B155" s="117" t="n">
        <f aca="false" ca="false" dt2D="false" dtr="false" t="normal">+B154+1</f>
        <v>138</v>
      </c>
      <c r="C155" s="104" t="s">
        <v>227</v>
      </c>
      <c r="D155" s="104" t="s">
        <v>231</v>
      </c>
      <c r="E155" s="113" t="n">
        <f aca="false" ca="true" dt2D="false" dtr="false" t="normal">SUBTOTAL(9, F155:T155)</f>
        <v>2998415.7590784</v>
      </c>
      <c r="F155" s="106" t="n"/>
      <c r="G155" s="106" t="n"/>
      <c r="H155" s="133" t="n"/>
      <c r="I155" s="106" t="n"/>
      <c r="J155" s="106" t="n"/>
      <c r="K155" s="106" t="n"/>
      <c r="L155" s="106" t="n"/>
      <c r="M155" s="106" t="n">
        <v>2869496.64</v>
      </c>
      <c r="N155" s="106" t="n"/>
      <c r="O155" s="106" t="n"/>
      <c r="P155" s="106" t="n"/>
      <c r="Q155" s="106" t="n"/>
      <c r="R155" s="106" t="n">
        <v>104919.1190784</v>
      </c>
      <c r="S155" s="114" t="n">
        <v>24000</v>
      </c>
      <c r="T155" s="115" t="n"/>
    </row>
    <row hidden="false" ht="15" outlineLevel="0" r="156">
      <c r="A156" s="116" t="n">
        <f aca="false" ca="false" dt2D="false" dtr="false" t="normal">+A155+1</f>
        <v>139</v>
      </c>
      <c r="B156" s="117" t="n">
        <f aca="false" ca="false" dt2D="false" dtr="false" t="normal">+B155+1</f>
        <v>139</v>
      </c>
      <c r="C156" s="104" t="s">
        <v>227</v>
      </c>
      <c r="D156" s="104" t="s">
        <v>233</v>
      </c>
      <c r="E156" s="113" t="n">
        <f aca="false" ca="true" dt2D="false" dtr="false" t="normal">SUBTOTAL(9, F156:T156)</f>
        <v>2998377.8434528</v>
      </c>
      <c r="F156" s="106" t="n"/>
      <c r="G156" s="106" t="n"/>
      <c r="H156" s="133" t="n"/>
      <c r="I156" s="106" t="n"/>
      <c r="J156" s="106" t="n"/>
      <c r="K156" s="106" t="n"/>
      <c r="L156" s="106" t="n"/>
      <c r="M156" s="106" t="n">
        <v>2869496.65</v>
      </c>
      <c r="N156" s="106" t="n"/>
      <c r="O156" s="106" t="n"/>
      <c r="P156" s="106" t="n"/>
      <c r="Q156" s="106" t="n"/>
      <c r="R156" s="106" t="n">
        <v>104881.1934528</v>
      </c>
      <c r="S156" s="114" t="n">
        <v>24000</v>
      </c>
      <c r="T156" s="115" t="n"/>
    </row>
    <row hidden="false" ht="15" outlineLevel="0" r="157">
      <c r="A157" s="116" t="n">
        <f aca="false" ca="false" dt2D="false" dtr="false" t="normal">+A156+1</f>
        <v>140</v>
      </c>
      <c r="B157" s="117" t="n">
        <f aca="false" ca="false" dt2D="false" dtr="false" t="normal">+B156+1</f>
        <v>140</v>
      </c>
      <c r="C157" s="104" t="s">
        <v>227</v>
      </c>
      <c r="D157" s="104" t="s">
        <v>234</v>
      </c>
      <c r="E157" s="113" t="n">
        <f aca="false" ca="true" dt2D="false" dtr="false" t="normal">SUBTOTAL(9, F157:T157)</f>
        <v>2998746.0699072</v>
      </c>
      <c r="F157" s="106" t="n"/>
      <c r="G157" s="106" t="n"/>
      <c r="H157" s="133" t="n"/>
      <c r="I157" s="106" t="n"/>
      <c r="J157" s="106" t="n"/>
      <c r="K157" s="106" t="n"/>
      <c r="L157" s="106" t="n"/>
      <c r="M157" s="106" t="n">
        <v>2869496.64</v>
      </c>
      <c r="N157" s="106" t="n"/>
      <c r="O157" s="106" t="n"/>
      <c r="P157" s="106" t="n"/>
      <c r="Q157" s="106" t="n"/>
      <c r="R157" s="106" t="n">
        <v>105249.4299072</v>
      </c>
      <c r="S157" s="114" t="n">
        <v>24000</v>
      </c>
      <c r="T157" s="115" t="n"/>
    </row>
    <row hidden="false" ht="15" outlineLevel="0" r="158">
      <c r="A158" s="116" t="n">
        <f aca="false" ca="false" dt2D="false" dtr="false" t="normal">+A157+1</f>
        <v>141</v>
      </c>
      <c r="B158" s="117" t="n">
        <f aca="false" ca="false" dt2D="false" dtr="false" t="normal">+B157+1</f>
        <v>141</v>
      </c>
      <c r="C158" s="104" t="s">
        <v>227</v>
      </c>
      <c r="D158" s="104" t="s">
        <v>236</v>
      </c>
      <c r="E158" s="113" t="n">
        <f aca="false" ca="true" dt2D="false" dtr="false" t="normal">SUBTOTAL(9, F158:T158)</f>
        <v>6006663.62</v>
      </c>
      <c r="F158" s="106" t="n">
        <v>3826027.56</v>
      </c>
      <c r="G158" s="106" t="n">
        <v>0</v>
      </c>
      <c r="H158" s="133" t="n">
        <v>0</v>
      </c>
      <c r="I158" s="106" t="n">
        <v>2180636.06</v>
      </c>
      <c r="J158" s="106" t="n">
        <v>0</v>
      </c>
      <c r="K158" s="106" t="n"/>
      <c r="L158" s="106" t="n"/>
      <c r="M158" s="106" t="n">
        <v>0</v>
      </c>
      <c r="N158" s="106" t="n">
        <v>0</v>
      </c>
      <c r="O158" s="106" t="n">
        <v>0</v>
      </c>
      <c r="P158" s="106" t="n">
        <v>0</v>
      </c>
      <c r="Q158" s="106" t="n">
        <v>0</v>
      </c>
      <c r="R158" s="106" t="n"/>
      <c r="S158" s="114" t="n"/>
      <c r="T158" s="115" t="n"/>
    </row>
    <row hidden="false" ht="15" outlineLevel="0" r="159">
      <c r="A159" s="116" t="n">
        <f aca="false" ca="false" dt2D="false" dtr="false" t="normal">+A158+1</f>
        <v>142</v>
      </c>
      <c r="B159" s="117" t="n">
        <f aca="false" ca="false" dt2D="false" dtr="false" t="normal">+B158+1</f>
        <v>142</v>
      </c>
      <c r="C159" s="104" t="s">
        <v>227</v>
      </c>
      <c r="D159" s="104" t="s">
        <v>237</v>
      </c>
      <c r="E159" s="113" t="n">
        <f aca="false" ca="true" dt2D="false" dtr="false" t="normal">SUBTOTAL(9, F159:T159)</f>
        <v>791011.4199999999</v>
      </c>
      <c r="F159" s="106" t="n">
        <v>0</v>
      </c>
      <c r="G159" s="106" t="n">
        <v>0</v>
      </c>
      <c r="H159" s="133" t="n">
        <v>782900.97</v>
      </c>
      <c r="I159" s="106" t="n"/>
      <c r="J159" s="106" t="n">
        <v>0</v>
      </c>
      <c r="K159" s="106" t="n"/>
      <c r="L159" s="106" t="n"/>
      <c r="M159" s="106" t="n">
        <v>0</v>
      </c>
      <c r="N159" s="106" t="n">
        <v>0</v>
      </c>
      <c r="O159" s="106" t="n">
        <v>0</v>
      </c>
      <c r="P159" s="106" t="n">
        <v>0</v>
      </c>
      <c r="Q159" s="106" t="n">
        <v>0</v>
      </c>
      <c r="R159" s="106" t="n"/>
      <c r="S159" s="114" t="n"/>
      <c r="T159" s="115" t="n">
        <v>8110.45</v>
      </c>
    </row>
    <row hidden="false" ht="15" outlineLevel="0" r="160">
      <c r="A160" s="116" t="n">
        <f aca="false" ca="false" dt2D="false" dtr="false" t="normal">+A159+1</f>
        <v>143</v>
      </c>
      <c r="B160" s="117" t="n">
        <f aca="false" ca="false" dt2D="false" dtr="false" t="normal">+B159+1</f>
        <v>143</v>
      </c>
      <c r="C160" s="104" t="s">
        <v>227</v>
      </c>
      <c r="D160" s="104" t="s">
        <v>238</v>
      </c>
      <c r="E160" s="113" t="n">
        <f aca="false" ca="true" dt2D="false" dtr="false" t="normal">SUBTOTAL(9, F160:T160)</f>
        <v>11170211.87</v>
      </c>
      <c r="F160" s="106" t="n">
        <v>3735913.84</v>
      </c>
      <c r="G160" s="106" t="n">
        <v>627030.85</v>
      </c>
      <c r="H160" s="133" t="n">
        <v>1443652.49</v>
      </c>
      <c r="I160" s="106" t="n">
        <v>1126366.88</v>
      </c>
      <c r="J160" s="106" t="n">
        <v>0</v>
      </c>
      <c r="K160" s="106" t="n"/>
      <c r="L160" s="106" t="n"/>
      <c r="M160" s="106" t="n">
        <v>0</v>
      </c>
      <c r="N160" s="106" t="n">
        <v>0</v>
      </c>
      <c r="O160" s="106" t="n">
        <v>0</v>
      </c>
      <c r="P160" s="106" t="n">
        <v>0</v>
      </c>
      <c r="Q160" s="106" t="n">
        <v>4237247.81</v>
      </c>
      <c r="R160" s="106" t="n"/>
      <c r="S160" s="114" t="n"/>
      <c r="T160" s="115" t="n"/>
    </row>
    <row hidden="false" ht="15" outlineLevel="0" r="161">
      <c r="A161" s="116" t="n">
        <f aca="false" ca="false" dt2D="false" dtr="false" t="normal">+A160+1</f>
        <v>144</v>
      </c>
      <c r="B161" s="117" t="n">
        <f aca="false" ca="false" dt2D="false" dtr="false" t="normal">+B160+1</f>
        <v>144</v>
      </c>
      <c r="C161" s="104" t="s">
        <v>227</v>
      </c>
      <c r="D161" s="104" t="s">
        <v>239</v>
      </c>
      <c r="E161" s="113" t="n">
        <f aca="false" ca="true" dt2D="false" dtr="false" t="normal">SUBTOTAL(9, F161:T161)</f>
        <v>681605.38</v>
      </c>
      <c r="F161" s="106" t="n">
        <v>0</v>
      </c>
      <c r="G161" s="106" t="n"/>
      <c r="H161" s="133" t="n">
        <v>681605.38</v>
      </c>
      <c r="I161" s="106" t="n">
        <v>0</v>
      </c>
      <c r="J161" s="106" t="n">
        <v>0</v>
      </c>
      <c r="K161" s="106" t="n"/>
      <c r="L161" s="106" t="n"/>
      <c r="M161" s="106" t="n">
        <v>0</v>
      </c>
      <c r="N161" s="106" t="n"/>
      <c r="O161" s="106" t="n">
        <v>0</v>
      </c>
      <c r="P161" s="106" t="n"/>
      <c r="Q161" s="106" t="n"/>
      <c r="R161" s="106" t="n"/>
      <c r="S161" s="114" t="n"/>
      <c r="T161" s="115" t="n"/>
    </row>
    <row hidden="false" ht="15" outlineLevel="0" r="162">
      <c r="A162" s="116" t="n">
        <f aca="false" ca="false" dt2D="false" dtr="false" t="normal">+A161+1</f>
        <v>145</v>
      </c>
      <c r="B162" s="117" t="n">
        <f aca="false" ca="false" dt2D="false" dtr="false" t="normal">+B161+1</f>
        <v>145</v>
      </c>
      <c r="C162" s="104" t="s">
        <v>227</v>
      </c>
      <c r="D162" s="104" t="s">
        <v>240</v>
      </c>
      <c r="E162" s="113" t="n">
        <f aca="false" ca="true" dt2D="false" dtr="false" t="normal">SUBTOTAL(9, F162:T162)</f>
        <v>2689617.46</v>
      </c>
      <c r="F162" s="106" t="n">
        <v>0</v>
      </c>
      <c r="G162" s="106" t="n">
        <v>0</v>
      </c>
      <c r="H162" s="133" t="n">
        <v>2689617.46</v>
      </c>
      <c r="I162" s="106" t="n">
        <v>0</v>
      </c>
      <c r="J162" s="106" t="n">
        <v>0</v>
      </c>
      <c r="K162" s="106" t="n"/>
      <c r="L162" s="106" t="n"/>
      <c r="M162" s="106" t="n">
        <v>0</v>
      </c>
      <c r="N162" s="106" t="n">
        <v>0</v>
      </c>
      <c r="O162" s="106" t="n">
        <v>0</v>
      </c>
      <c r="P162" s="106" t="n">
        <v>0</v>
      </c>
      <c r="Q162" s="106" t="n">
        <v>0</v>
      </c>
      <c r="R162" s="106" t="n"/>
      <c r="S162" s="114" t="n"/>
      <c r="T162" s="115" t="n"/>
    </row>
    <row hidden="false" ht="15" outlineLevel="0" r="163">
      <c r="A163" s="116" t="n">
        <f aca="false" ca="false" dt2D="false" dtr="false" t="normal">+A162+1</f>
        <v>146</v>
      </c>
      <c r="B163" s="117" t="n">
        <f aca="false" ca="false" dt2D="false" dtr="false" t="normal">+B162+1</f>
        <v>146</v>
      </c>
      <c r="C163" s="104" t="s">
        <v>227</v>
      </c>
      <c r="D163" s="104" t="s">
        <v>241</v>
      </c>
      <c r="E163" s="113" t="n">
        <f aca="false" ca="true" dt2D="false" dtr="false" t="normal">SUBTOTAL(9, F163:T163)</f>
        <v>25727773.27</v>
      </c>
      <c r="F163" s="106" t="n"/>
      <c r="G163" s="106" t="n">
        <v>3182426.63</v>
      </c>
      <c r="H163" s="133" t="n"/>
      <c r="I163" s="106" t="n"/>
      <c r="J163" s="106" t="n">
        <v>0</v>
      </c>
      <c r="K163" s="106" t="n"/>
      <c r="L163" s="106" t="n"/>
      <c r="M163" s="106" t="n">
        <v>0</v>
      </c>
      <c r="N163" s="106" t="n">
        <v>0</v>
      </c>
      <c r="O163" s="106" t="n">
        <v>0</v>
      </c>
      <c r="P163" s="106" t="n">
        <v>0</v>
      </c>
      <c r="Q163" s="106" t="n">
        <v>22545346.64</v>
      </c>
      <c r="R163" s="106" t="n"/>
      <c r="S163" s="114" t="n"/>
      <c r="T163" s="115" t="n"/>
    </row>
    <row hidden="false" ht="15" outlineLevel="0" r="164">
      <c r="A164" s="116" t="n">
        <f aca="false" ca="false" dt2D="false" dtr="false" t="normal">+A163+1</f>
        <v>147</v>
      </c>
      <c r="B164" s="117" t="n">
        <f aca="false" ca="false" dt2D="false" dtr="false" t="normal">+B163+1</f>
        <v>147</v>
      </c>
      <c r="C164" s="104" t="s">
        <v>227</v>
      </c>
      <c r="D164" s="104" t="s">
        <v>242</v>
      </c>
      <c r="E164" s="113" t="n">
        <f aca="false" ca="true" dt2D="false" dtr="false" t="normal">SUBTOTAL(9, F164:T164)</f>
        <v>9722924.29</v>
      </c>
      <c r="F164" s="106" t="n"/>
      <c r="G164" s="106" t="n">
        <v>7323917.46</v>
      </c>
      <c r="H164" s="133" t="n"/>
      <c r="I164" s="106" t="n">
        <v>2315022.9</v>
      </c>
      <c r="J164" s="106" t="n">
        <v>0</v>
      </c>
      <c r="K164" s="106" t="n"/>
      <c r="L164" s="106" t="n"/>
      <c r="M164" s="106" t="n">
        <v>0</v>
      </c>
      <c r="N164" s="106" t="n">
        <v>0</v>
      </c>
      <c r="O164" s="106" t="n">
        <v>0</v>
      </c>
      <c r="P164" s="106" t="n">
        <v>0</v>
      </c>
      <c r="Q164" s="106" t="n"/>
      <c r="R164" s="106" t="n"/>
      <c r="S164" s="114" t="n"/>
      <c r="T164" s="115" t="n">
        <f aca="false" ca="false" dt2D="false" dtr="false" t="normal">53840.63+30143.3</f>
        <v>83983.93</v>
      </c>
    </row>
    <row hidden="false" ht="15" outlineLevel="0" r="165">
      <c r="A165" s="116" t="n">
        <f aca="false" ca="false" dt2D="false" dtr="false" t="normal">+A164+1</f>
        <v>148</v>
      </c>
      <c r="B165" s="117" t="n">
        <f aca="false" ca="false" dt2D="false" dtr="false" t="normal">+B164+1</f>
        <v>148</v>
      </c>
      <c r="C165" s="104" t="s">
        <v>227</v>
      </c>
      <c r="D165" s="104" t="s">
        <v>243</v>
      </c>
      <c r="E165" s="113" t="n">
        <f aca="false" ca="true" dt2D="false" dtr="false" t="normal">SUBTOTAL(9, F165:T165)</f>
        <v>50864072.46000001</v>
      </c>
      <c r="F165" s="106" t="n">
        <v>5141989.9</v>
      </c>
      <c r="G165" s="106" t="n"/>
      <c r="H165" s="133" t="n">
        <v>2714177.72</v>
      </c>
      <c r="I165" s="106" t="n"/>
      <c r="J165" s="106" t="n">
        <v>0</v>
      </c>
      <c r="K165" s="106" t="n"/>
      <c r="L165" s="106" t="n"/>
      <c r="M165" s="106" t="n">
        <v>0</v>
      </c>
      <c r="N165" s="106" t="n">
        <v>0</v>
      </c>
      <c r="O165" s="106" t="n">
        <v>0</v>
      </c>
      <c r="P165" s="106" t="n">
        <f aca="false" ca="false" dt2D="false" dtr="false" t="normal">37030869.74+5977035.1</f>
        <v>43007904.84</v>
      </c>
      <c r="Q165" s="106" t="n"/>
      <c r="R165" s="106" t="n"/>
      <c r="S165" s="114" t="n"/>
      <c r="T165" s="115" t="n"/>
    </row>
    <row hidden="false" ht="15" outlineLevel="0" r="166">
      <c r="A166" s="116" t="n">
        <f aca="false" ca="false" dt2D="false" dtr="false" t="normal">+A165+1</f>
        <v>149</v>
      </c>
      <c r="B166" s="117" t="n">
        <f aca="false" ca="false" dt2D="false" dtr="false" t="normal">+B165+1</f>
        <v>149</v>
      </c>
      <c r="C166" s="104" t="s">
        <v>227</v>
      </c>
      <c r="D166" s="104" t="s">
        <v>244</v>
      </c>
      <c r="E166" s="113" t="n">
        <f aca="false" ca="true" dt2D="false" dtr="false" t="normal">SUBTOTAL(9, F166:T166)</f>
        <v>15646094.829999998</v>
      </c>
      <c r="F166" s="106" t="n">
        <v>3172690.78</v>
      </c>
      <c r="G166" s="106" t="n">
        <v>0</v>
      </c>
      <c r="H166" s="133" t="n">
        <v>0</v>
      </c>
      <c r="I166" s="106" t="n"/>
      <c r="J166" s="106" t="n">
        <v>0</v>
      </c>
      <c r="K166" s="106" t="n"/>
      <c r="L166" s="106" t="n"/>
      <c r="M166" s="106" t="n">
        <v>0</v>
      </c>
      <c r="N166" s="106" t="n">
        <v>5090700.49</v>
      </c>
      <c r="O166" s="106" t="n">
        <v>0</v>
      </c>
      <c r="P166" s="106" t="n">
        <v>7382703.56</v>
      </c>
      <c r="Q166" s="106" t="n"/>
      <c r="R166" s="106" t="n"/>
      <c r="S166" s="114" t="n"/>
      <c r="T166" s="115" t="n"/>
    </row>
    <row hidden="false" ht="15" outlineLevel="0" r="167">
      <c r="A167" s="116" t="n">
        <f aca="false" ca="false" dt2D="false" dtr="false" t="normal">+A166+1</f>
        <v>150</v>
      </c>
      <c r="B167" s="117" t="n">
        <f aca="false" ca="false" dt2D="false" dtr="false" t="normal">+B166+1</f>
        <v>150</v>
      </c>
      <c r="C167" s="104" t="s">
        <v>227</v>
      </c>
      <c r="D167" s="104" t="s">
        <v>245</v>
      </c>
      <c r="E167" s="113" t="n">
        <f aca="false" ca="true" dt2D="false" dtr="false" t="normal">SUBTOTAL(9, F167:T167)</f>
        <v>580989.24</v>
      </c>
      <c r="F167" s="106" t="n"/>
      <c r="G167" s="106" t="n"/>
      <c r="H167" s="133" t="n"/>
      <c r="I167" s="106" t="n"/>
      <c r="J167" s="106" t="n"/>
      <c r="K167" s="106" t="n"/>
      <c r="L167" s="106" t="n"/>
      <c r="M167" s="106" t="n">
        <v>0</v>
      </c>
      <c r="N167" s="106" t="n">
        <v>0</v>
      </c>
      <c r="O167" s="106" t="n">
        <v>0</v>
      </c>
      <c r="P167" s="106" t="n"/>
      <c r="Q167" s="106" t="n">
        <v>580989.24</v>
      </c>
      <c r="R167" s="106" t="n"/>
      <c r="S167" s="114" t="n"/>
      <c r="T167" s="115" t="n"/>
    </row>
    <row hidden="false" ht="15" outlineLevel="0" r="168">
      <c r="A168" s="116" t="n">
        <f aca="false" ca="false" dt2D="false" dtr="false" t="normal">+A167+1</f>
        <v>151</v>
      </c>
      <c r="B168" s="117" t="n">
        <f aca="false" ca="false" dt2D="false" dtr="false" t="normal">+B167+1</f>
        <v>151</v>
      </c>
      <c r="C168" s="104" t="s">
        <v>227</v>
      </c>
      <c r="D168" s="104" t="s">
        <v>246</v>
      </c>
      <c r="E168" s="113" t="n">
        <f aca="false" ca="true" dt2D="false" dtr="false" t="normal">SUBTOTAL(9, F168:T168)</f>
        <v>7632409.283</v>
      </c>
      <c r="F168" s="106" t="n"/>
      <c r="G168" s="106" t="n"/>
      <c r="H168" s="133" t="n">
        <v>3648621.62</v>
      </c>
      <c r="I168" s="106" t="n">
        <v>3268542.62</v>
      </c>
      <c r="J168" s="106" t="n">
        <v>0</v>
      </c>
      <c r="K168" s="106" t="n"/>
      <c r="L168" s="106" t="n"/>
      <c r="M168" s="106" t="n">
        <v>0</v>
      </c>
      <c r="N168" s="106" t="n">
        <v>0</v>
      </c>
      <c r="O168" s="106" t="n">
        <v>0</v>
      </c>
      <c r="P168" s="106" t="n">
        <v>0</v>
      </c>
      <c r="Q168" s="106" t="n">
        <v>0</v>
      </c>
      <c r="R168" s="106" t="n">
        <v>630230.4777</v>
      </c>
      <c r="S168" s="114" t="n">
        <v>85014.5653</v>
      </c>
      <c r="T168" s="115" t="n"/>
    </row>
    <row hidden="false" ht="15" outlineLevel="0" r="169">
      <c r="A169" s="116" t="n">
        <f aca="false" ca="false" dt2D="false" dtr="false" t="normal">+A168+1</f>
        <v>152</v>
      </c>
      <c r="B169" s="117" t="n">
        <f aca="false" ca="false" dt2D="false" dtr="false" t="normal">+B168+1</f>
        <v>152</v>
      </c>
      <c r="C169" s="104" t="s">
        <v>247</v>
      </c>
      <c r="D169" s="104" t="s">
        <v>248</v>
      </c>
      <c r="E169" s="113" t="n">
        <f aca="false" ca="true" dt2D="false" dtr="false" t="normal">SUBTOTAL(9, F169:T169)</f>
        <v>9398785.45</v>
      </c>
      <c r="F169" s="106" t="n"/>
      <c r="G169" s="106" t="n"/>
      <c r="H169" s="133" t="n">
        <v>0</v>
      </c>
      <c r="I169" s="106" t="n">
        <v>0</v>
      </c>
      <c r="J169" s="106" t="n">
        <v>0</v>
      </c>
      <c r="K169" s="106" t="n"/>
      <c r="L169" s="106" t="n"/>
      <c r="M169" s="106" t="n">
        <v>0</v>
      </c>
      <c r="N169" s="106" t="n">
        <v>9398785.45</v>
      </c>
      <c r="O169" s="106" t="n">
        <v>0</v>
      </c>
      <c r="P169" s="106" t="n">
        <v>0</v>
      </c>
      <c r="Q169" s="106" t="n">
        <v>0</v>
      </c>
      <c r="R169" s="106" t="n"/>
      <c r="S169" s="114" t="n"/>
      <c r="T169" s="115" t="n"/>
    </row>
    <row hidden="false" ht="15" outlineLevel="0" r="170">
      <c r="A170" s="116" t="n">
        <f aca="false" ca="false" dt2D="false" dtr="false" t="normal">+A169+1</f>
        <v>153</v>
      </c>
      <c r="B170" s="117" t="n">
        <f aca="false" ca="false" dt2D="false" dtr="false" t="normal">+B169+1</f>
        <v>153</v>
      </c>
      <c r="C170" s="104" t="s">
        <v>247</v>
      </c>
      <c r="D170" s="104" t="s">
        <v>249</v>
      </c>
      <c r="E170" s="113" t="n">
        <f aca="false" ca="true" dt2D="false" dtr="false" t="normal">SUBTOTAL(9, F170:T170)</f>
        <v>9546866.397</v>
      </c>
      <c r="F170" s="106" t="n"/>
      <c r="G170" s="106" t="n"/>
      <c r="H170" s="133" t="n"/>
      <c r="I170" s="106" t="n">
        <v>0</v>
      </c>
      <c r="J170" s="106" t="n">
        <v>0</v>
      </c>
      <c r="K170" s="106" t="n"/>
      <c r="L170" s="106" t="n"/>
      <c r="M170" s="106" t="n">
        <v>0</v>
      </c>
      <c r="N170" s="106" t="n">
        <v>9546866.397</v>
      </c>
      <c r="O170" s="106" t="n">
        <v>0</v>
      </c>
      <c r="P170" s="106" t="n">
        <v>0</v>
      </c>
      <c r="Q170" s="106" t="n">
        <v>0</v>
      </c>
      <c r="R170" s="106" t="n"/>
      <c r="S170" s="114" t="n"/>
      <c r="T170" s="115" t="n"/>
    </row>
    <row hidden="false" ht="15" outlineLevel="0" r="171">
      <c r="A171" s="116" t="n">
        <f aca="false" ca="false" dt2D="false" dtr="false" t="normal">+A170+1</f>
        <v>154</v>
      </c>
      <c r="B171" s="117" t="n">
        <f aca="false" ca="false" dt2D="false" dtr="false" t="normal">+B170+1</f>
        <v>154</v>
      </c>
      <c r="C171" s="104" t="s">
        <v>247</v>
      </c>
      <c r="D171" s="104" t="s">
        <v>250</v>
      </c>
      <c r="E171" s="113" t="n">
        <f aca="false" ca="true" dt2D="false" dtr="false" t="normal">SUBTOTAL(9, F171:T171)</f>
        <v>16106664.95</v>
      </c>
      <c r="F171" s="106" t="n"/>
      <c r="G171" s="106" t="n"/>
      <c r="H171" s="133" t="n">
        <v>0</v>
      </c>
      <c r="I171" s="106" t="n">
        <v>0</v>
      </c>
      <c r="J171" s="106" t="n">
        <v>0</v>
      </c>
      <c r="K171" s="106" t="n"/>
      <c r="L171" s="106" t="n"/>
      <c r="M171" s="106" t="n">
        <v>0</v>
      </c>
      <c r="N171" s="106" t="n">
        <v>16106664.95</v>
      </c>
      <c r="O171" s="106" t="n">
        <v>0</v>
      </c>
      <c r="P171" s="106" t="n">
        <v>0</v>
      </c>
      <c r="Q171" s="106" t="n">
        <v>0</v>
      </c>
      <c r="R171" s="106" t="n"/>
      <c r="S171" s="114" t="n"/>
      <c r="T171" s="115" t="n"/>
    </row>
    <row hidden="false" ht="15" outlineLevel="0" r="172">
      <c r="A172" s="116" t="n">
        <f aca="false" ca="false" dt2D="false" dtr="false" t="normal">+A171+1</f>
        <v>155</v>
      </c>
      <c r="B172" s="117" t="n">
        <f aca="false" ca="false" dt2D="false" dtr="false" t="normal">+B171+1</f>
        <v>155</v>
      </c>
      <c r="C172" s="104" t="s">
        <v>251</v>
      </c>
      <c r="D172" s="104" t="s">
        <v>252</v>
      </c>
      <c r="E172" s="113" t="n">
        <f aca="false" ca="true" dt2D="false" dtr="false" t="normal">SUBTOTAL(9, F172:T172)</f>
        <v>638349.5900000001</v>
      </c>
      <c r="F172" s="106" t="n">
        <v>0</v>
      </c>
      <c r="G172" s="106" t="n">
        <v>0</v>
      </c>
      <c r="H172" s="133" t="n">
        <v>0</v>
      </c>
      <c r="I172" s="106" t="n">
        <v>0</v>
      </c>
      <c r="J172" s="106" t="n">
        <v>579887.3</v>
      </c>
      <c r="K172" s="106" t="n"/>
      <c r="L172" s="106" t="n"/>
      <c r="M172" s="106" t="n">
        <v>0</v>
      </c>
      <c r="N172" s="106" t="n">
        <v>0</v>
      </c>
      <c r="O172" s="106" t="n">
        <v>0</v>
      </c>
      <c r="P172" s="106" t="n">
        <v>0</v>
      </c>
      <c r="Q172" s="106" t="n">
        <v>0</v>
      </c>
      <c r="R172" s="106" t="n">
        <v>58462.29</v>
      </c>
      <c r="S172" s="106" t="n"/>
      <c r="T172" s="115" t="n"/>
    </row>
    <row hidden="false" ht="15" outlineLevel="0" r="173">
      <c r="A173" s="116" t="n">
        <f aca="false" ca="false" dt2D="false" dtr="false" t="normal">+A172+1</f>
        <v>156</v>
      </c>
      <c r="B173" s="117" t="n">
        <f aca="false" ca="false" dt2D="false" dtr="false" t="normal">+B172+1</f>
        <v>156</v>
      </c>
      <c r="C173" s="104" t="s">
        <v>253</v>
      </c>
      <c r="D173" s="104" t="s">
        <v>254</v>
      </c>
      <c r="E173" s="113" t="n">
        <f aca="false" ca="true" dt2D="false" dtr="false" t="normal">SUBTOTAL(9, F173:T173)</f>
        <v>3752714.61</v>
      </c>
      <c r="F173" s="106" t="n"/>
      <c r="G173" s="106" t="n"/>
      <c r="H173" s="133" t="n"/>
      <c r="I173" s="106" t="n"/>
      <c r="J173" s="106" t="n"/>
      <c r="K173" s="106" t="n"/>
      <c r="L173" s="106" t="n"/>
      <c r="M173" s="106" t="n"/>
      <c r="N173" s="106" t="n">
        <v>1229943.21</v>
      </c>
      <c r="O173" s="106" t="n"/>
      <c r="P173" s="106" t="n"/>
      <c r="Q173" s="106" t="n">
        <v>2522771.4</v>
      </c>
      <c r="R173" s="106" t="n"/>
      <c r="S173" s="114" t="n"/>
      <c r="T173" s="115" t="n"/>
    </row>
    <row hidden="false" ht="15" outlineLevel="0" r="174">
      <c r="A174" s="116" t="n">
        <f aca="false" ca="false" dt2D="false" dtr="false" t="normal">+A173+1</f>
        <v>157</v>
      </c>
      <c r="B174" s="117" t="n">
        <f aca="false" ca="false" dt2D="false" dtr="false" t="normal">+B173+1</f>
        <v>157</v>
      </c>
      <c r="C174" s="104" t="s">
        <v>253</v>
      </c>
      <c r="D174" s="104" t="s">
        <v>255</v>
      </c>
      <c r="E174" s="113" t="n">
        <f aca="false" ca="true" dt2D="false" dtr="false" t="normal">SUBTOTAL(9, F174:T174)</f>
        <v>2093523.54</v>
      </c>
      <c r="F174" s="106" t="n">
        <v>0</v>
      </c>
      <c r="G174" s="106" t="n">
        <v>0</v>
      </c>
      <c r="H174" s="133" t="n"/>
      <c r="I174" s="106" t="n"/>
      <c r="J174" s="106" t="n"/>
      <c r="K174" s="106" t="n"/>
      <c r="L174" s="106" t="n"/>
      <c r="M174" s="106" t="n"/>
      <c r="N174" s="106" t="n">
        <v>2093523.54</v>
      </c>
      <c r="O174" s="106" t="n"/>
      <c r="P174" s="106" t="n"/>
      <c r="Q174" s="106" t="n"/>
      <c r="R174" s="106" t="n"/>
      <c r="S174" s="114" t="n"/>
      <c r="T174" s="115" t="n"/>
    </row>
    <row hidden="false" ht="15" outlineLevel="0" r="175">
      <c r="A175" s="116" t="n">
        <f aca="false" ca="false" dt2D="false" dtr="false" t="normal">+A174+1</f>
        <v>158</v>
      </c>
      <c r="B175" s="117" t="n">
        <f aca="false" ca="false" dt2D="false" dtr="false" t="normal">+B174+1</f>
        <v>158</v>
      </c>
      <c r="C175" s="104" t="s">
        <v>253</v>
      </c>
      <c r="D175" s="104" t="s">
        <v>256</v>
      </c>
      <c r="E175" s="113" t="n">
        <f aca="false" ca="true" dt2D="false" dtr="false" t="normal">SUBTOTAL(9, F175:T175)</f>
        <v>539462.39</v>
      </c>
      <c r="F175" s="106" t="n">
        <v>0</v>
      </c>
      <c r="G175" s="106" t="n">
        <v>0</v>
      </c>
      <c r="H175" s="133" t="n"/>
      <c r="I175" s="106" t="n"/>
      <c r="J175" s="106" t="n"/>
      <c r="K175" s="106" t="n"/>
      <c r="L175" s="106" t="n"/>
      <c r="M175" s="106" t="n"/>
      <c r="N175" s="106" t="n"/>
      <c r="O175" s="106" t="n"/>
      <c r="P175" s="106" t="n">
        <v>0</v>
      </c>
      <c r="Q175" s="106" t="n">
        <v>539462.39</v>
      </c>
      <c r="R175" s="106" t="n"/>
      <c r="S175" s="114" t="n"/>
      <c r="T175" s="115" t="n"/>
    </row>
    <row hidden="false" ht="15" outlineLevel="0" r="176">
      <c r="A176" s="116" t="n">
        <f aca="false" ca="false" dt2D="false" dtr="false" t="normal">+A175+1</f>
        <v>159</v>
      </c>
      <c r="B176" s="117" t="n">
        <f aca="false" ca="false" dt2D="false" dtr="false" t="normal">+B175+1</f>
        <v>159</v>
      </c>
      <c r="C176" s="104" t="s">
        <v>257</v>
      </c>
      <c r="D176" s="104" t="s">
        <v>258</v>
      </c>
      <c r="E176" s="113" t="n">
        <f aca="false" ca="true" dt2D="false" dtr="false" t="normal">SUBTOTAL(9, F176:T176)</f>
        <v>14480496.2</v>
      </c>
      <c r="F176" s="106" t="n">
        <v>3185792.78</v>
      </c>
      <c r="G176" s="106" t="n">
        <v>811520.58</v>
      </c>
      <c r="H176" s="133" t="n">
        <v>739091.37</v>
      </c>
      <c r="I176" s="106" t="n"/>
      <c r="J176" s="106" t="n">
        <v>0</v>
      </c>
      <c r="K176" s="106" t="n"/>
      <c r="L176" s="106" t="n"/>
      <c r="M176" s="106" t="n">
        <v>0</v>
      </c>
      <c r="N176" s="106" t="n">
        <v>5126751.94</v>
      </c>
      <c r="O176" s="106" t="n">
        <v>0</v>
      </c>
      <c r="P176" s="106" t="n"/>
      <c r="Q176" s="106" t="n">
        <v>4617339.53</v>
      </c>
      <c r="R176" s="106" t="n"/>
      <c r="S176" s="114" t="n"/>
      <c r="T176" s="115" t="n"/>
    </row>
    <row hidden="false" ht="15" outlineLevel="0" r="177">
      <c r="A177" s="116" t="n">
        <f aca="false" ca="false" dt2D="false" dtr="false" t="normal">+A176+1</f>
        <v>160</v>
      </c>
      <c r="B177" s="117" t="n">
        <f aca="false" ca="false" dt2D="false" dtr="false" t="normal">+B176+1</f>
        <v>160</v>
      </c>
      <c r="C177" s="104" t="s">
        <v>259</v>
      </c>
      <c r="D177" s="104" t="s">
        <v>260</v>
      </c>
      <c r="E177" s="113" t="n">
        <f aca="false" ca="true" dt2D="false" dtr="false" t="normal">SUBTOTAL(9, F177:T177)</f>
        <v>3997136.3000000003</v>
      </c>
      <c r="F177" s="106" t="n">
        <v>0</v>
      </c>
      <c r="G177" s="106" t="n">
        <v>0</v>
      </c>
      <c r="H177" s="133" t="n">
        <v>0</v>
      </c>
      <c r="I177" s="106" t="n">
        <v>0</v>
      </c>
      <c r="J177" s="106" t="n">
        <v>0</v>
      </c>
      <c r="K177" s="106" t="n"/>
      <c r="L177" s="106" t="n"/>
      <c r="M177" s="106" t="n">
        <v>0</v>
      </c>
      <c r="N177" s="106" t="n">
        <v>0</v>
      </c>
      <c r="O177" s="106" t="n">
        <v>0</v>
      </c>
      <c r="P177" s="106" t="n">
        <v>0</v>
      </c>
      <c r="Q177" s="106" t="n">
        <v>3880712.95</v>
      </c>
      <c r="R177" s="106" t="n">
        <v>63874.52</v>
      </c>
      <c r="S177" s="114" t="n">
        <v>52548.83</v>
      </c>
      <c r="T177" s="115" t="n"/>
    </row>
    <row hidden="false" ht="15" outlineLevel="0" r="178">
      <c r="A178" s="116" t="n">
        <f aca="false" ca="false" dt2D="false" dtr="false" t="normal">+A177+1</f>
        <v>161</v>
      </c>
      <c r="B178" s="117" t="n">
        <f aca="false" ca="false" dt2D="false" dtr="false" t="normal">+B177+1</f>
        <v>161</v>
      </c>
      <c r="C178" s="104" t="s">
        <v>259</v>
      </c>
      <c r="D178" s="104" t="s">
        <v>261</v>
      </c>
      <c r="E178" s="113" t="n">
        <f aca="false" ca="true" dt2D="false" dtr="false" t="normal">SUBTOTAL(9, F178:T178)</f>
        <v>6696808.97</v>
      </c>
      <c r="F178" s="106" t="n">
        <v>0</v>
      </c>
      <c r="G178" s="106" t="n">
        <v>0</v>
      </c>
      <c r="H178" s="133" t="n">
        <v>0</v>
      </c>
      <c r="I178" s="106" t="n">
        <v>0</v>
      </c>
      <c r="J178" s="106" t="n">
        <v>0</v>
      </c>
      <c r="K178" s="106" t="n"/>
      <c r="L178" s="106" t="n"/>
      <c r="M178" s="106" t="n">
        <v>0</v>
      </c>
      <c r="N178" s="106" t="n">
        <v>6406790.68</v>
      </c>
      <c r="O178" s="106" t="n">
        <v>0</v>
      </c>
      <c r="P178" s="106" t="n">
        <v>0</v>
      </c>
      <c r="Q178" s="106" t="n"/>
      <c r="R178" s="106" t="n">
        <v>228114.94</v>
      </c>
      <c r="S178" s="114" t="n">
        <v>61903.35</v>
      </c>
      <c r="T178" s="115" t="n"/>
    </row>
    <row hidden="false" ht="15" outlineLevel="0" r="179">
      <c r="A179" s="116" t="n">
        <f aca="false" ca="false" dt2D="false" dtr="false" t="normal">+A178+1</f>
        <v>162</v>
      </c>
      <c r="B179" s="117" t="n">
        <f aca="false" ca="false" dt2D="false" dtr="false" t="normal">+B178+1</f>
        <v>162</v>
      </c>
      <c r="C179" s="104" t="s">
        <v>259</v>
      </c>
      <c r="D179" s="104" t="s">
        <v>262</v>
      </c>
      <c r="E179" s="113" t="n">
        <f aca="false" ca="true" dt2D="false" dtr="false" t="normal">SUBTOTAL(9, F179:T179)</f>
        <v>4893604.36</v>
      </c>
      <c r="F179" s="106" t="n">
        <v>0</v>
      </c>
      <c r="G179" s="106" t="n">
        <v>0</v>
      </c>
      <c r="H179" s="133" t="n">
        <v>0</v>
      </c>
      <c r="I179" s="106" t="n">
        <v>0</v>
      </c>
      <c r="J179" s="106" t="n">
        <v>0</v>
      </c>
      <c r="K179" s="106" t="n"/>
      <c r="L179" s="106" t="n"/>
      <c r="M179" s="106" t="n">
        <v>0</v>
      </c>
      <c r="N179" s="106" t="n">
        <v>4786076.94</v>
      </c>
      <c r="O179" s="106" t="n">
        <v>0</v>
      </c>
      <c r="P179" s="106" t="n">
        <v>0</v>
      </c>
      <c r="Q179" s="106" t="n">
        <v>0</v>
      </c>
      <c r="R179" s="106" t="n">
        <v>92267.42</v>
      </c>
      <c r="S179" s="114" t="n">
        <v>15260</v>
      </c>
      <c r="T179" s="115" t="n"/>
    </row>
    <row hidden="false" ht="15" outlineLevel="0" r="180">
      <c r="A180" s="116" t="n">
        <f aca="false" ca="false" dt2D="false" dtr="false" t="normal">+A179+1</f>
        <v>163</v>
      </c>
      <c r="B180" s="117" t="n">
        <f aca="false" ca="false" dt2D="false" dtr="false" t="normal">+B179+1</f>
        <v>163</v>
      </c>
      <c r="C180" s="104" t="s">
        <v>265</v>
      </c>
      <c r="D180" s="104" t="s">
        <v>264</v>
      </c>
      <c r="E180" s="113" t="n">
        <f aca="false" ca="true" dt2D="false" dtr="false" t="normal">SUBTOTAL(9, F180:T180)</f>
        <v>5464157.29</v>
      </c>
      <c r="F180" s="106" t="n">
        <v>5464157.29</v>
      </c>
      <c r="G180" s="106" t="n">
        <v>0</v>
      </c>
      <c r="H180" s="133" t="n"/>
      <c r="I180" s="106" t="n"/>
      <c r="J180" s="106" t="n">
        <v>0</v>
      </c>
      <c r="K180" s="106" t="n"/>
      <c r="L180" s="106" t="n"/>
      <c r="M180" s="106" t="n">
        <v>0</v>
      </c>
      <c r="N180" s="106" t="n">
        <v>0</v>
      </c>
      <c r="O180" s="106" t="n">
        <v>0</v>
      </c>
      <c r="P180" s="106" t="n">
        <v>0</v>
      </c>
      <c r="Q180" s="106" t="n">
        <v>0</v>
      </c>
      <c r="R180" s="106" t="n"/>
      <c r="S180" s="114" t="n"/>
      <c r="T180" s="115" t="n"/>
    </row>
    <row hidden="false" ht="15" outlineLevel="0" r="181">
      <c r="A181" s="116" t="n">
        <f aca="false" ca="false" dt2D="false" dtr="false" t="normal">+A180+1</f>
        <v>164</v>
      </c>
      <c r="B181" s="117" t="n">
        <f aca="false" ca="false" dt2D="false" dtr="false" t="normal">+B180+1</f>
        <v>164</v>
      </c>
      <c r="C181" s="104" t="s">
        <v>265</v>
      </c>
      <c r="D181" s="104" t="s">
        <v>266</v>
      </c>
      <c r="E181" s="113" t="n">
        <f aca="false" ca="true" dt2D="false" dtr="false" t="normal">SUBTOTAL(9, F181:T181)</f>
        <v>28411164.88</v>
      </c>
      <c r="F181" s="106" t="n">
        <v>8079212.4</v>
      </c>
      <c r="G181" s="106" t="n"/>
      <c r="H181" s="133" t="n">
        <v>3039831.6</v>
      </c>
      <c r="I181" s="106" t="n">
        <v>2344507</v>
      </c>
      <c r="J181" s="106" t="n"/>
      <c r="K181" s="106" t="n"/>
      <c r="L181" s="106" t="n"/>
      <c r="M181" s="106" t="n"/>
      <c r="N181" s="106" t="n">
        <v>14009282.4</v>
      </c>
      <c r="O181" s="106" t="n"/>
      <c r="P181" s="106" t="n"/>
      <c r="Q181" s="106" t="n"/>
      <c r="R181" s="106" t="n">
        <v>700984.03</v>
      </c>
      <c r="S181" s="114" t="n">
        <v>24000</v>
      </c>
      <c r="T181" s="115" t="n">
        <v>213347.45</v>
      </c>
    </row>
    <row hidden="false" ht="15" outlineLevel="0" r="182">
      <c r="A182" s="116" t="n">
        <f aca="false" ca="false" dt2D="false" dtr="false" t="normal">+A181+1</f>
        <v>165</v>
      </c>
      <c r="B182" s="117" t="n">
        <f aca="false" ca="false" dt2D="false" dtr="false" t="normal">+B181+1</f>
        <v>165</v>
      </c>
      <c r="C182" s="104" t="s">
        <v>265</v>
      </c>
      <c r="D182" s="104" t="s">
        <v>269</v>
      </c>
      <c r="E182" s="113" t="n">
        <f aca="false" ca="true" dt2D="false" dtr="false" t="normal">SUBTOTAL(9, F182:T182)</f>
        <v>19924186.37</v>
      </c>
      <c r="F182" s="106" t="n"/>
      <c r="G182" s="106" t="n"/>
      <c r="H182" s="133" t="n">
        <v>3153436.8</v>
      </c>
      <c r="I182" s="106" t="n">
        <v>2158646.4</v>
      </c>
      <c r="J182" s="106" t="n"/>
      <c r="K182" s="106" t="n"/>
      <c r="L182" s="106" t="n"/>
      <c r="M182" s="106" t="n"/>
      <c r="N182" s="106" t="n">
        <v>13939516.8</v>
      </c>
      <c r="O182" s="106" t="n"/>
      <c r="P182" s="106" t="n"/>
      <c r="Q182" s="106" t="n"/>
      <c r="R182" s="106" t="n">
        <v>495096.03</v>
      </c>
      <c r="S182" s="114" t="n">
        <v>24000</v>
      </c>
      <c r="T182" s="115" t="n">
        <v>153490.34</v>
      </c>
    </row>
    <row hidden="false" ht="15" outlineLevel="0" r="183">
      <c r="A183" s="116" t="n">
        <f aca="false" ca="false" dt2D="false" dtr="false" t="normal">+A182+1</f>
        <v>166</v>
      </c>
      <c r="B183" s="117" t="n">
        <f aca="false" ca="false" dt2D="false" dtr="false" t="normal">+B182+1</f>
        <v>166</v>
      </c>
      <c r="C183" s="104" t="s">
        <v>265</v>
      </c>
      <c r="D183" s="104" t="s">
        <v>272</v>
      </c>
      <c r="E183" s="113" t="n">
        <f aca="false" ca="true" dt2D="false" dtr="false" t="normal">SUBTOTAL(9, F183:T183)</f>
        <v>9802331.11</v>
      </c>
      <c r="F183" s="106" t="n">
        <v>0</v>
      </c>
      <c r="G183" s="106" t="n">
        <v>0</v>
      </c>
      <c r="H183" s="133" t="n">
        <v>0</v>
      </c>
      <c r="I183" s="106" t="n">
        <v>0</v>
      </c>
      <c r="J183" s="106" t="n">
        <v>0</v>
      </c>
      <c r="K183" s="106" t="n"/>
      <c r="L183" s="106" t="n"/>
      <c r="M183" s="106" t="n">
        <v>0</v>
      </c>
      <c r="N183" s="106" t="n">
        <v>9802331.11</v>
      </c>
      <c r="O183" s="106" t="n">
        <v>0</v>
      </c>
      <c r="P183" s="106" t="n">
        <v>0</v>
      </c>
      <c r="Q183" s="106" t="n">
        <v>0</v>
      </c>
      <c r="R183" s="106" t="n"/>
      <c r="S183" s="114" t="n"/>
      <c r="T183" s="115" t="n"/>
    </row>
    <row hidden="false" ht="15" outlineLevel="0" r="184">
      <c r="A184" s="116" t="n">
        <f aca="false" ca="false" dt2D="false" dtr="false" t="normal">+A183+1</f>
        <v>167</v>
      </c>
      <c r="B184" s="117" t="n">
        <f aca="false" ca="false" dt2D="false" dtr="false" t="normal">+B183+1</f>
        <v>167</v>
      </c>
      <c r="C184" s="104" t="s">
        <v>265</v>
      </c>
      <c r="D184" s="104" t="s">
        <v>273</v>
      </c>
      <c r="E184" s="113" t="n">
        <f aca="false" ca="true" dt2D="false" dtr="false" t="normal">SUBTOTAL(9, F184:T184)</f>
        <v>16952691.299999997</v>
      </c>
      <c r="F184" s="106" t="n">
        <v>7939864.5</v>
      </c>
      <c r="G184" s="106" t="n"/>
      <c r="H184" s="133" t="n">
        <v>4681160.4</v>
      </c>
      <c r="I184" s="106" t="n">
        <v>3537004.8</v>
      </c>
      <c r="J184" s="106" t="n"/>
      <c r="K184" s="106" t="n"/>
      <c r="L184" s="106" t="n"/>
      <c r="M184" s="106" t="n"/>
      <c r="N184" s="106" t="n"/>
      <c r="O184" s="106" t="n"/>
      <c r="P184" s="106" t="n"/>
      <c r="Q184" s="106" t="n"/>
      <c r="R184" s="106" t="n">
        <v>634398.13</v>
      </c>
      <c r="S184" s="114" t="n">
        <v>24000</v>
      </c>
      <c r="T184" s="115" t="n">
        <v>136263.47</v>
      </c>
    </row>
    <row hidden="false" ht="15" outlineLevel="0" r="185">
      <c r="A185" s="116" t="n">
        <f aca="false" ca="false" dt2D="false" dtr="false" t="normal">+A184+1</f>
        <v>168</v>
      </c>
      <c r="B185" s="117" t="n">
        <f aca="false" ca="false" dt2D="false" dtr="false" t="normal">+B184+1</f>
        <v>168</v>
      </c>
      <c r="C185" s="104" t="s">
        <v>265</v>
      </c>
      <c r="D185" s="104" t="s">
        <v>275</v>
      </c>
      <c r="E185" s="113" t="n">
        <f aca="false" ca="true" dt2D="false" dtr="false" t="normal">SUBTOTAL(9, F185:T185)</f>
        <v>11455370.009999998</v>
      </c>
      <c r="F185" s="106" t="n">
        <v>5903245.2</v>
      </c>
      <c r="G185" s="106" t="n"/>
      <c r="H185" s="133" t="n">
        <v>3002210.4</v>
      </c>
      <c r="I185" s="106" t="n">
        <v>1923324</v>
      </c>
      <c r="J185" s="106" t="n"/>
      <c r="K185" s="106" t="n"/>
      <c r="L185" s="106" t="n"/>
      <c r="M185" s="106" t="n"/>
      <c r="N185" s="106" t="n"/>
      <c r="O185" s="106" t="n"/>
      <c r="P185" s="106" t="n"/>
      <c r="Q185" s="106" t="n"/>
      <c r="R185" s="106" t="n">
        <v>516618.54</v>
      </c>
      <c r="S185" s="114" t="n">
        <v>24000</v>
      </c>
      <c r="T185" s="115" t="n">
        <v>85971.87</v>
      </c>
    </row>
    <row hidden="false" ht="15" outlineLevel="0" r="186">
      <c r="A186" s="116" t="n">
        <f aca="false" ca="false" dt2D="false" dtr="false" t="normal">+A185+1</f>
        <v>169</v>
      </c>
      <c r="B186" s="117" t="n">
        <f aca="false" ca="false" dt2D="false" dtr="false" t="normal">+B185+1</f>
        <v>169</v>
      </c>
      <c r="C186" s="104" t="s">
        <v>265</v>
      </c>
      <c r="D186" s="104" t="s">
        <v>276</v>
      </c>
      <c r="E186" s="113" t="n">
        <f aca="false" ca="true" dt2D="false" dtr="false" t="normal">SUBTOTAL(9, F186:T186)</f>
        <v>21555121.63</v>
      </c>
      <c r="F186" s="106" t="n">
        <v>11356723.2</v>
      </c>
      <c r="G186" s="106" t="n"/>
      <c r="H186" s="133" t="n">
        <v>5611190.4</v>
      </c>
      <c r="I186" s="106" t="n">
        <v>3761995.2</v>
      </c>
      <c r="J186" s="106" t="n"/>
      <c r="K186" s="106" t="n"/>
      <c r="L186" s="106" t="n"/>
      <c r="M186" s="106" t="n"/>
      <c r="N186" s="106" t="n"/>
      <c r="O186" s="106" t="n"/>
      <c r="P186" s="106" t="n"/>
      <c r="Q186" s="106" t="n"/>
      <c r="R186" s="106" t="n">
        <v>634436.54</v>
      </c>
      <c r="S186" s="114" t="n">
        <v>24000</v>
      </c>
      <c r="T186" s="115" t="n">
        <v>166776.29</v>
      </c>
    </row>
    <row hidden="false" ht="15" outlineLevel="0" r="187">
      <c r="A187" s="116" t="n">
        <f aca="false" ca="false" dt2D="false" dtr="false" t="normal">+A186+1</f>
        <v>170</v>
      </c>
      <c r="B187" s="117" t="n">
        <f aca="false" ca="false" dt2D="false" dtr="false" t="normal">+B186+1</f>
        <v>170</v>
      </c>
      <c r="C187" s="104" t="s">
        <v>265</v>
      </c>
      <c r="D187" s="104" t="s">
        <v>277</v>
      </c>
      <c r="E187" s="113" t="n">
        <f aca="false" ca="true" dt2D="false" dtr="false" t="normal">SUBTOTAL(9, F187:T187)</f>
        <v>21555080.01</v>
      </c>
      <c r="F187" s="106" t="n">
        <v>11356723.2</v>
      </c>
      <c r="G187" s="106" t="n"/>
      <c r="H187" s="133" t="n">
        <v>5611190.4</v>
      </c>
      <c r="I187" s="106" t="n">
        <v>3761995.2</v>
      </c>
      <c r="J187" s="106" t="n"/>
      <c r="K187" s="106" t="n"/>
      <c r="L187" s="106" t="n"/>
      <c r="M187" s="106" t="n"/>
      <c r="N187" s="106" t="n"/>
      <c r="O187" s="106" t="n"/>
      <c r="P187" s="106" t="n"/>
      <c r="Q187" s="106" t="n"/>
      <c r="R187" s="106" t="n">
        <v>634394.92</v>
      </c>
      <c r="S187" s="114" t="n">
        <v>24000</v>
      </c>
      <c r="T187" s="115" t="n">
        <v>166776.29</v>
      </c>
    </row>
    <row hidden="false" ht="15" outlineLevel="0" r="188">
      <c r="A188" s="116" t="n">
        <f aca="false" ca="false" dt2D="false" dtr="false" t="normal">+A187+1</f>
        <v>171</v>
      </c>
      <c r="B188" s="117" t="n">
        <f aca="false" ca="false" dt2D="false" dtr="false" t="normal">+B187+1</f>
        <v>171</v>
      </c>
      <c r="C188" s="104" t="s">
        <v>265</v>
      </c>
      <c r="D188" s="104" t="s">
        <v>278</v>
      </c>
      <c r="E188" s="113" t="n">
        <f aca="false" ca="true" dt2D="false" dtr="false" t="normal">SUBTOTAL(9, F188:T188)</f>
        <v>3733979.02</v>
      </c>
      <c r="F188" s="106" t="n">
        <v>3733979.02</v>
      </c>
      <c r="G188" s="106" t="n">
        <v>0</v>
      </c>
      <c r="H188" s="133" t="n">
        <v>0</v>
      </c>
      <c r="I188" s="106" t="n">
        <v>0</v>
      </c>
      <c r="J188" s="106" t="n">
        <v>0</v>
      </c>
      <c r="K188" s="106" t="n"/>
      <c r="L188" s="106" t="n"/>
      <c r="M188" s="106" t="n">
        <v>0</v>
      </c>
      <c r="N188" s="106" t="n">
        <v>0</v>
      </c>
      <c r="O188" s="106" t="n">
        <v>0</v>
      </c>
      <c r="P188" s="106" t="n">
        <v>0</v>
      </c>
      <c r="Q188" s="106" t="n">
        <v>0</v>
      </c>
      <c r="R188" s="106" t="n"/>
      <c r="S188" s="114" t="n"/>
      <c r="T188" s="115" t="n">
        <v>0</v>
      </c>
    </row>
    <row hidden="false" ht="15" outlineLevel="0" r="189">
      <c r="A189" s="116" t="n">
        <f aca="false" ca="false" dt2D="false" dtr="false" t="normal">+A188+1</f>
        <v>172</v>
      </c>
      <c r="B189" s="117" t="n">
        <f aca="false" ca="false" dt2D="false" dtr="false" t="normal">+B188+1</f>
        <v>172</v>
      </c>
      <c r="C189" s="104" t="s">
        <v>265</v>
      </c>
      <c r="D189" s="104" t="s">
        <v>279</v>
      </c>
      <c r="E189" s="113" t="n">
        <f aca="false" ca="true" dt2D="false" dtr="false" t="normal">SUBTOTAL(9, F189:T189)</f>
        <v>5044368.49</v>
      </c>
      <c r="F189" s="106" t="n">
        <v>0</v>
      </c>
      <c r="G189" s="106" t="n">
        <v>0</v>
      </c>
      <c r="H189" s="133" t="n">
        <v>0</v>
      </c>
      <c r="I189" s="106" t="n">
        <v>0</v>
      </c>
      <c r="J189" s="106" t="n">
        <v>0</v>
      </c>
      <c r="K189" s="106" t="n"/>
      <c r="L189" s="106" t="n"/>
      <c r="M189" s="106" t="n">
        <v>0</v>
      </c>
      <c r="N189" s="106" t="n">
        <v>5044368.49</v>
      </c>
      <c r="O189" s="106" t="n">
        <v>0</v>
      </c>
      <c r="P189" s="106" t="n">
        <v>0</v>
      </c>
      <c r="Q189" s="106" t="n">
        <v>0</v>
      </c>
      <c r="R189" s="106" t="n"/>
      <c r="S189" s="114" t="n"/>
      <c r="T189" s="115" t="n"/>
    </row>
    <row hidden="false" ht="15" outlineLevel="0" r="190">
      <c r="A190" s="116" t="n">
        <f aca="false" ca="false" dt2D="false" dtr="false" t="normal">+A189+1</f>
        <v>173</v>
      </c>
      <c r="B190" s="117" t="n">
        <f aca="false" ca="false" dt2D="false" dtr="false" t="normal">+B189+1</f>
        <v>173</v>
      </c>
      <c r="C190" s="104" t="s">
        <v>280</v>
      </c>
      <c r="D190" s="104" t="s">
        <v>281</v>
      </c>
      <c r="E190" s="113" t="n">
        <f aca="false" ca="true" dt2D="false" dtr="false" t="normal">SUBTOTAL(9, F190:T190)</f>
        <v>8528765.64</v>
      </c>
      <c r="F190" s="106" t="n">
        <v>0</v>
      </c>
      <c r="G190" s="106" t="n">
        <v>0</v>
      </c>
      <c r="H190" s="133" t="n">
        <v>1011024.23</v>
      </c>
      <c r="I190" s="106" t="n">
        <v>0</v>
      </c>
      <c r="J190" s="106" t="n"/>
      <c r="K190" s="106" t="n"/>
      <c r="L190" s="106" t="n"/>
      <c r="M190" s="106" t="n">
        <v>0</v>
      </c>
      <c r="N190" s="106" t="n">
        <v>0</v>
      </c>
      <c r="O190" s="106" t="n">
        <v>0</v>
      </c>
      <c r="P190" s="106" t="n">
        <v>4376437.43</v>
      </c>
      <c r="Q190" s="106" t="n">
        <v>3141303.98</v>
      </c>
      <c r="R190" s="106" t="n"/>
      <c r="S190" s="114" t="n"/>
      <c r="T190" s="115" t="n"/>
    </row>
    <row hidden="false" ht="15" outlineLevel="0" r="191">
      <c r="A191" s="116" t="n">
        <f aca="false" ca="false" dt2D="false" dtr="false" t="normal">+A190+1</f>
        <v>174</v>
      </c>
      <c r="B191" s="117" t="n">
        <f aca="false" ca="false" dt2D="false" dtr="false" t="normal">+B190+1</f>
        <v>174</v>
      </c>
      <c r="C191" s="104" t="s">
        <v>280</v>
      </c>
      <c r="D191" s="104" t="s">
        <v>282</v>
      </c>
      <c r="E191" s="113" t="n">
        <f aca="false" ca="true" dt2D="false" dtr="false" t="normal">SUBTOTAL(9, F191:T191)</f>
        <v>1463481.27</v>
      </c>
      <c r="F191" s="106" t="n">
        <v>0</v>
      </c>
      <c r="G191" s="106" t="n">
        <v>0</v>
      </c>
      <c r="H191" s="133" t="n">
        <v>256799.44</v>
      </c>
      <c r="I191" s="106" t="n">
        <v>0</v>
      </c>
      <c r="J191" s="106" t="n">
        <v>0</v>
      </c>
      <c r="K191" s="106" t="n"/>
      <c r="L191" s="106" t="n"/>
      <c r="M191" s="106" t="n">
        <v>0</v>
      </c>
      <c r="N191" s="106" t="n">
        <v>0</v>
      </c>
      <c r="O191" s="106" t="n">
        <v>0</v>
      </c>
      <c r="P191" s="106" t="n">
        <v>0</v>
      </c>
      <c r="Q191" s="106" t="n">
        <v>1206681.83</v>
      </c>
      <c r="R191" s="106" t="n"/>
      <c r="S191" s="114" t="n"/>
      <c r="T191" s="115" t="n"/>
    </row>
    <row hidden="false" ht="15" outlineLevel="0" r="192">
      <c r="A192" s="116" t="n">
        <f aca="false" ca="false" dt2D="false" dtr="false" t="normal">+A191+1</f>
        <v>175</v>
      </c>
      <c r="B192" s="117" t="n">
        <f aca="false" ca="false" dt2D="false" dtr="false" t="normal">+B191+1</f>
        <v>175</v>
      </c>
      <c r="C192" s="104" t="s">
        <v>283</v>
      </c>
      <c r="D192" s="104" t="s">
        <v>284</v>
      </c>
      <c r="E192" s="113" t="n">
        <f aca="false" ca="true" dt2D="false" dtr="false" t="normal">SUBTOTAL(9, F192:T192)</f>
        <v>749666.3940999999</v>
      </c>
      <c r="F192" s="106" t="n">
        <v>0</v>
      </c>
      <c r="G192" s="106" t="n">
        <v>0</v>
      </c>
      <c r="H192" s="133" t="n">
        <v>664753.07</v>
      </c>
      <c r="I192" s="106" t="n"/>
      <c r="J192" s="106" t="n">
        <v>0</v>
      </c>
      <c r="K192" s="106" t="n"/>
      <c r="L192" s="106" t="n"/>
      <c r="M192" s="106" t="n">
        <v>0</v>
      </c>
      <c r="N192" s="106" t="n">
        <v>0</v>
      </c>
      <c r="O192" s="106" t="n">
        <v>0</v>
      </c>
      <c r="P192" s="106" t="n">
        <v>0</v>
      </c>
      <c r="Q192" s="106" t="n">
        <v>0</v>
      </c>
      <c r="R192" s="106" t="n">
        <v>77193.931</v>
      </c>
      <c r="S192" s="114" t="n">
        <v>7719.3931</v>
      </c>
      <c r="T192" s="115" t="n"/>
    </row>
    <row hidden="false" ht="15" outlineLevel="0" r="193">
      <c r="A193" s="116" t="n">
        <f aca="false" ca="false" dt2D="false" dtr="false" t="normal">+A192+1</f>
        <v>176</v>
      </c>
      <c r="B193" s="117" t="n">
        <f aca="false" ca="false" dt2D="false" dtr="false" t="normal">+B192+1</f>
        <v>176</v>
      </c>
      <c r="C193" s="104" t="s">
        <v>283</v>
      </c>
      <c r="D193" s="104" t="s">
        <v>285</v>
      </c>
      <c r="E193" s="113" t="n">
        <f aca="false" ca="true" dt2D="false" dtr="false" t="normal">SUBTOTAL(9, F193:T193)</f>
        <v>346555.42</v>
      </c>
      <c r="F193" s="106" t="n">
        <v>0</v>
      </c>
      <c r="G193" s="106" t="n">
        <v>0</v>
      </c>
      <c r="H193" s="133" t="n">
        <v>0</v>
      </c>
      <c r="I193" s="106" t="n">
        <v>346555.42</v>
      </c>
      <c r="J193" s="106" t="n"/>
      <c r="K193" s="106" t="n"/>
      <c r="L193" s="106" t="n"/>
      <c r="M193" s="106" t="n">
        <v>0</v>
      </c>
      <c r="N193" s="106" t="n">
        <v>0</v>
      </c>
      <c r="O193" s="106" t="n">
        <v>0</v>
      </c>
      <c r="P193" s="106" t="n">
        <v>0</v>
      </c>
      <c r="Q193" s="106" t="n">
        <v>0</v>
      </c>
      <c r="R193" s="106" t="n"/>
      <c r="S193" s="114" t="n"/>
      <c r="T193" s="115" t="n"/>
    </row>
    <row hidden="false" ht="15" outlineLevel="0" r="194">
      <c r="A194" s="116" t="n">
        <f aca="false" ca="false" dt2D="false" dtr="false" t="normal">+A193+1</f>
        <v>177</v>
      </c>
      <c r="B194" s="117" t="n">
        <f aca="false" ca="false" dt2D="false" dtr="false" t="normal">+B193+1</f>
        <v>177</v>
      </c>
      <c r="C194" s="104" t="s">
        <v>283</v>
      </c>
      <c r="D194" s="104" t="s">
        <v>286</v>
      </c>
      <c r="E194" s="113" t="n">
        <f aca="false" ca="true" dt2D="false" dtr="false" t="normal">SUBTOTAL(9, F194:T194)</f>
        <v>8345806.4</v>
      </c>
      <c r="F194" s="106" t="n">
        <v>0</v>
      </c>
      <c r="G194" s="106" t="n">
        <v>0</v>
      </c>
      <c r="H194" s="133" t="n">
        <v>0</v>
      </c>
      <c r="I194" s="106" t="n"/>
      <c r="J194" s="106" t="n">
        <v>0</v>
      </c>
      <c r="K194" s="106" t="n"/>
      <c r="L194" s="106" t="n"/>
      <c r="M194" s="106" t="n">
        <v>0</v>
      </c>
      <c r="N194" s="106" t="n">
        <v>8345806.4</v>
      </c>
      <c r="O194" s="106" t="n">
        <v>0</v>
      </c>
      <c r="P194" s="106" t="n">
        <v>0</v>
      </c>
      <c r="Q194" s="106" t="n">
        <v>0</v>
      </c>
      <c r="R194" s="106" t="n"/>
      <c r="S194" s="114" t="n"/>
      <c r="T194" s="115" t="n"/>
    </row>
    <row hidden="false" ht="15" outlineLevel="0" r="195">
      <c r="A195" s="116" t="n">
        <f aca="false" ca="false" dt2D="false" dtr="false" t="normal">+A194+1</f>
        <v>178</v>
      </c>
      <c r="B195" s="117" t="n">
        <f aca="false" ca="false" dt2D="false" dtr="false" t="normal">+B194+1</f>
        <v>178</v>
      </c>
      <c r="C195" s="104" t="s">
        <v>283</v>
      </c>
      <c r="D195" s="104" t="s">
        <v>287</v>
      </c>
      <c r="E195" s="113" t="n">
        <f aca="false" ca="true" dt2D="false" dtr="false" t="normal">SUBTOTAL(9, F195:T195)</f>
        <v>363946.04</v>
      </c>
      <c r="F195" s="106" t="n"/>
      <c r="G195" s="106" t="n">
        <v>0</v>
      </c>
      <c r="H195" s="133" t="n"/>
      <c r="I195" s="106" t="n">
        <v>363946.04</v>
      </c>
      <c r="J195" s="106" t="n">
        <v>0</v>
      </c>
      <c r="K195" s="106" t="n"/>
      <c r="L195" s="106" t="n"/>
      <c r="M195" s="106" t="n">
        <v>0</v>
      </c>
      <c r="N195" s="106" t="n">
        <v>0</v>
      </c>
      <c r="O195" s="106" t="n">
        <v>0</v>
      </c>
      <c r="P195" s="106" t="n">
        <v>0</v>
      </c>
      <c r="Q195" s="106" t="n">
        <v>0</v>
      </c>
      <c r="R195" s="106" t="n"/>
      <c r="S195" s="114" t="n"/>
      <c r="T195" s="115" t="n"/>
    </row>
    <row hidden="false" ht="15" outlineLevel="0" r="196">
      <c r="A196" s="116" t="n">
        <f aca="false" ca="false" dt2D="false" dtr="false" t="normal">+A195+1</f>
        <v>179</v>
      </c>
      <c r="B196" s="117" t="n">
        <f aca="false" ca="false" dt2D="false" dtr="false" t="normal">+B195+1</f>
        <v>179</v>
      </c>
      <c r="C196" s="104" t="s">
        <v>283</v>
      </c>
      <c r="D196" s="104" t="s">
        <v>288</v>
      </c>
      <c r="E196" s="113" t="n">
        <f aca="false" ca="true" dt2D="false" dtr="false" t="normal">SUBTOTAL(9, F196:T196)</f>
        <v>1321350.85</v>
      </c>
      <c r="F196" s="106" t="n">
        <v>0</v>
      </c>
      <c r="G196" s="106" t="n">
        <v>0</v>
      </c>
      <c r="H196" s="133" t="n">
        <v>0</v>
      </c>
      <c r="I196" s="106" t="n">
        <v>1321350.85</v>
      </c>
      <c r="J196" s="106" t="n"/>
      <c r="K196" s="106" t="n"/>
      <c r="L196" s="106" t="n"/>
      <c r="M196" s="106" t="n">
        <v>0</v>
      </c>
      <c r="N196" s="106" t="n">
        <v>0</v>
      </c>
      <c r="O196" s="106" t="n">
        <v>0</v>
      </c>
      <c r="P196" s="106" t="n">
        <v>0</v>
      </c>
      <c r="Q196" s="106" t="n">
        <v>0</v>
      </c>
      <c r="R196" s="106" t="n"/>
      <c r="S196" s="114" t="n"/>
      <c r="T196" s="115" t="n"/>
    </row>
    <row hidden="false" ht="15" outlineLevel="0" r="197">
      <c r="A197" s="116" t="n">
        <f aca="false" ca="false" dt2D="false" dtr="false" t="normal">+A196+1</f>
        <v>180</v>
      </c>
      <c r="B197" s="117" t="n">
        <f aca="false" ca="false" dt2D="false" dtr="false" t="normal">+B196+1</f>
        <v>180</v>
      </c>
      <c r="C197" s="104" t="s">
        <v>283</v>
      </c>
      <c r="D197" s="104" t="s">
        <v>289</v>
      </c>
      <c r="E197" s="113" t="n">
        <f aca="false" ca="true" dt2D="false" dtr="false" t="normal">SUBTOTAL(9, F197:T197)</f>
        <v>3253286.45</v>
      </c>
      <c r="F197" s="106" t="n"/>
      <c r="G197" s="106" t="n">
        <v>0</v>
      </c>
      <c r="H197" s="133" t="n">
        <v>0</v>
      </c>
      <c r="I197" s="106" t="n">
        <v>0</v>
      </c>
      <c r="J197" s="106" t="n"/>
      <c r="K197" s="106" t="n"/>
      <c r="L197" s="106" t="n"/>
      <c r="M197" s="106" t="n">
        <v>0</v>
      </c>
      <c r="N197" s="106" t="n">
        <v>0</v>
      </c>
      <c r="O197" s="106" t="n">
        <v>0</v>
      </c>
      <c r="P197" s="106" t="n"/>
      <c r="Q197" s="106" t="n">
        <v>3253286.45</v>
      </c>
      <c r="R197" s="106" t="n"/>
      <c r="S197" s="114" t="n"/>
      <c r="T197" s="115" t="n"/>
    </row>
    <row hidden="false" ht="15" outlineLevel="0" r="198">
      <c r="A198" s="116" t="n">
        <f aca="false" ca="false" dt2D="false" dtr="false" t="normal">+A197+1</f>
        <v>181</v>
      </c>
      <c r="B198" s="117" t="n">
        <f aca="false" ca="false" dt2D="false" dtr="false" t="normal">+B197+1</f>
        <v>181</v>
      </c>
      <c r="C198" s="104" t="s">
        <v>283</v>
      </c>
      <c r="D198" s="104" t="s">
        <v>290</v>
      </c>
      <c r="E198" s="113" t="n">
        <f aca="false" ca="true" dt2D="false" dtr="false" t="normal">SUBTOTAL(9, F198:T198)</f>
        <v>1159407.59</v>
      </c>
      <c r="F198" s="106" t="n"/>
      <c r="G198" s="106" t="n"/>
      <c r="H198" s="133" t="n">
        <v>667653.5</v>
      </c>
      <c r="I198" s="106" t="n">
        <v>491754.09</v>
      </c>
      <c r="J198" s="106" t="n"/>
      <c r="K198" s="106" t="n"/>
      <c r="L198" s="106" t="n"/>
      <c r="M198" s="106" t="n">
        <v>0</v>
      </c>
      <c r="N198" s="106" t="n">
        <v>0</v>
      </c>
      <c r="O198" s="106" t="n">
        <v>0</v>
      </c>
      <c r="P198" s="106" t="n">
        <v>0</v>
      </c>
      <c r="Q198" s="106" t="n">
        <v>0</v>
      </c>
      <c r="R198" s="106" t="n"/>
      <c r="S198" s="114" t="n"/>
      <c r="T198" s="115" t="n"/>
    </row>
    <row hidden="false" ht="15" outlineLevel="0" r="199">
      <c r="A199" s="116" t="n">
        <f aca="false" ca="false" dt2D="false" dtr="false" t="normal">+A198+1</f>
        <v>182</v>
      </c>
      <c r="B199" s="117" t="n">
        <f aca="false" ca="false" dt2D="false" dtr="false" t="normal">+B198+1</f>
        <v>182</v>
      </c>
      <c r="C199" s="104" t="s">
        <v>283</v>
      </c>
      <c r="D199" s="104" t="s">
        <v>291</v>
      </c>
      <c r="E199" s="113" t="n">
        <f aca="false" ca="true" dt2D="false" dtr="false" t="normal">SUBTOTAL(9, F199:T199)</f>
        <v>1990765.32</v>
      </c>
      <c r="F199" s="106" t="n">
        <v>0</v>
      </c>
      <c r="G199" s="106" t="n">
        <v>0</v>
      </c>
      <c r="H199" s="133" t="n"/>
      <c r="I199" s="106" t="n">
        <v>1990765.32</v>
      </c>
      <c r="J199" s="106" t="n"/>
      <c r="K199" s="106" t="n"/>
      <c r="L199" s="106" t="n"/>
      <c r="M199" s="106" t="n">
        <v>0</v>
      </c>
      <c r="N199" s="106" t="n">
        <v>0</v>
      </c>
      <c r="O199" s="106" t="n">
        <v>0</v>
      </c>
      <c r="P199" s="106" t="n">
        <v>0</v>
      </c>
      <c r="Q199" s="106" t="n">
        <v>0</v>
      </c>
      <c r="R199" s="106" t="n"/>
      <c r="S199" s="114" t="n"/>
      <c r="T199" s="115" t="n"/>
    </row>
    <row hidden="false" ht="15" outlineLevel="0" r="200">
      <c r="A200" s="116" t="n">
        <f aca="false" ca="false" dt2D="false" dtr="false" t="normal">+A199+1</f>
        <v>183</v>
      </c>
      <c r="B200" s="117" t="n">
        <f aca="false" ca="false" dt2D="false" dtr="false" t="normal">+B199+1</f>
        <v>183</v>
      </c>
      <c r="C200" s="104" t="s">
        <v>283</v>
      </c>
      <c r="D200" s="104" t="s">
        <v>292</v>
      </c>
      <c r="E200" s="113" t="n">
        <f aca="false" ca="true" dt2D="false" dtr="false" t="normal">SUBTOTAL(9, F200:T200)</f>
        <v>6113601.88</v>
      </c>
      <c r="F200" s="106" t="n">
        <v>0</v>
      </c>
      <c r="G200" s="106" t="n">
        <v>0</v>
      </c>
      <c r="H200" s="133" t="n">
        <v>0</v>
      </c>
      <c r="I200" s="106" t="n">
        <v>0</v>
      </c>
      <c r="J200" s="106" t="n"/>
      <c r="K200" s="106" t="n"/>
      <c r="L200" s="106" t="n"/>
      <c r="M200" s="106" t="n">
        <v>0</v>
      </c>
      <c r="N200" s="106" t="n">
        <v>0</v>
      </c>
      <c r="O200" s="106" t="n">
        <v>0</v>
      </c>
      <c r="P200" s="106" t="n">
        <v>6113601.88</v>
      </c>
      <c r="Q200" s="106" t="n"/>
      <c r="R200" s="106" t="n"/>
      <c r="S200" s="114" t="n"/>
      <c r="T200" s="115" t="n"/>
    </row>
    <row hidden="false" ht="15" outlineLevel="0" r="201">
      <c r="A201" s="116" t="n">
        <f aca="false" ca="false" dt2D="false" dtr="false" t="normal">+A200+1</f>
        <v>184</v>
      </c>
      <c r="B201" s="117" t="n">
        <f aca="false" ca="false" dt2D="false" dtr="false" t="normal">+B200+1</f>
        <v>184</v>
      </c>
      <c r="C201" s="104" t="s">
        <v>283</v>
      </c>
      <c r="D201" s="104" t="s">
        <v>293</v>
      </c>
      <c r="E201" s="113" t="n">
        <f aca="false" ca="true" dt2D="false" dtr="false" t="normal">SUBTOTAL(9, F201:T201)</f>
        <v>18044694.39</v>
      </c>
      <c r="F201" s="106" t="n">
        <v>4878537.09</v>
      </c>
      <c r="G201" s="106" t="n">
        <v>0</v>
      </c>
      <c r="H201" s="133" t="n">
        <v>0</v>
      </c>
      <c r="I201" s="106" t="n">
        <v>0</v>
      </c>
      <c r="J201" s="106" t="n"/>
      <c r="K201" s="106" t="n"/>
      <c r="L201" s="106" t="n"/>
      <c r="M201" s="106" t="n">
        <v>0</v>
      </c>
      <c r="N201" s="106" t="n">
        <v>0</v>
      </c>
      <c r="O201" s="106" t="n">
        <v>0</v>
      </c>
      <c r="P201" s="106" t="n">
        <v>5994057.42</v>
      </c>
      <c r="Q201" s="106" t="n">
        <v>7172099.88</v>
      </c>
      <c r="R201" s="106" t="n"/>
      <c r="S201" s="114" t="n"/>
      <c r="T201" s="115" t="n"/>
      <c r="U201" s="0" t="n"/>
      <c r="V201" s="0" t="n"/>
      <c r="W201" s="0" t="n"/>
      <c r="X201" s="0" t="n"/>
      <c r="Y201" s="0" t="n"/>
      <c r="Z201" s="0" t="n"/>
      <c r="AA201" s="0" t="n"/>
      <c r="AB201" s="0" t="n"/>
      <c r="AC201" s="0" t="n"/>
      <c r="AD201" s="0" t="n"/>
      <c r="AE201" s="0" t="n"/>
      <c r="AF201" s="0" t="n"/>
      <c r="AG201" s="0" t="n"/>
      <c r="AH201" s="0" t="n"/>
      <c r="AI201" s="0" t="n"/>
      <c r="AJ201" s="0" t="n"/>
      <c r="AK201" s="0" t="n"/>
      <c r="AL201" s="0" t="n"/>
      <c r="AM201" s="0" t="n"/>
      <c r="AN201" s="0" t="n"/>
      <c r="AO201" s="0" t="n"/>
      <c r="AP201" s="0" t="n"/>
      <c r="AQ201" s="0" t="n"/>
      <c r="AR201" s="0" t="n"/>
      <c r="AS201" s="0" t="n"/>
      <c r="AT201" s="0" t="n"/>
      <c r="AU201" s="0" t="n"/>
      <c r="AV201" s="0" t="n"/>
      <c r="AW201" s="0" t="n"/>
      <c r="AX201" s="0" t="n"/>
      <c r="AY201" s="0" t="n"/>
      <c r="AZ201" s="0" t="n"/>
      <c r="BA201" s="0" t="n"/>
      <c r="BB201" s="0" t="n"/>
      <c r="BC201" s="0" t="n"/>
      <c r="BD201" s="0" t="n"/>
      <c r="BE201" s="0" t="n"/>
      <c r="BF201" s="0" t="n"/>
      <c r="BG201" s="0" t="n"/>
      <c r="BH201" s="0" t="n"/>
      <c r="BI201" s="0" t="n"/>
      <c r="BJ201" s="0" t="n"/>
      <c r="BK201" s="0" t="n"/>
      <c r="BL201" s="0" t="n"/>
      <c r="BM201" s="0" t="n"/>
      <c r="BN201" s="0" t="n"/>
      <c r="BO201" s="0" t="n"/>
      <c r="BP201" s="0" t="n"/>
    </row>
    <row hidden="false" ht="15" outlineLevel="0" r="202">
      <c r="A202" s="116" t="n">
        <f aca="false" ca="false" dt2D="false" dtr="false" t="normal">+A201+1</f>
        <v>185</v>
      </c>
      <c r="B202" s="117" t="n">
        <f aca="false" ca="false" dt2D="false" dtr="false" t="normal">+B201+1</f>
        <v>185</v>
      </c>
      <c r="C202" s="104" t="s">
        <v>283</v>
      </c>
      <c r="D202" s="104" t="s">
        <v>294</v>
      </c>
      <c r="E202" s="113" t="n">
        <f aca="false" ca="true" dt2D="false" dtr="false" t="normal">SUBTOTAL(9, F202:T202)</f>
        <v>1207654.75</v>
      </c>
      <c r="F202" s="106" t="n">
        <v>0</v>
      </c>
      <c r="G202" s="106" t="n">
        <v>0</v>
      </c>
      <c r="H202" s="133" t="n">
        <v>1207654.75</v>
      </c>
      <c r="I202" s="106" t="n">
        <v>0</v>
      </c>
      <c r="J202" s="106" t="n">
        <v>0</v>
      </c>
      <c r="K202" s="106" t="n"/>
      <c r="L202" s="106" t="n"/>
      <c r="M202" s="106" t="n">
        <v>0</v>
      </c>
      <c r="N202" s="106" t="n">
        <v>0</v>
      </c>
      <c r="O202" s="106" t="n">
        <v>0</v>
      </c>
      <c r="P202" s="106" t="n">
        <v>0</v>
      </c>
      <c r="Q202" s="106" t="n">
        <v>0</v>
      </c>
      <c r="R202" s="106" t="n"/>
      <c r="S202" s="114" t="n"/>
      <c r="T202" s="115" t="n"/>
      <c r="U202" s="0" t="n"/>
      <c r="V202" s="0" t="n"/>
      <c r="W202" s="0" t="n"/>
      <c r="X202" s="0" t="n"/>
      <c r="Y202" s="0" t="n"/>
      <c r="Z202" s="0" t="n"/>
      <c r="AA202" s="0" t="n"/>
      <c r="AB202" s="0" t="n"/>
      <c r="AC202" s="0" t="n"/>
      <c r="AD202" s="0" t="n"/>
      <c r="AE202" s="0" t="n"/>
      <c r="AF202" s="0" t="n"/>
      <c r="AG202" s="0" t="n"/>
      <c r="AH202" s="0" t="n"/>
      <c r="AI202" s="0" t="n"/>
      <c r="AJ202" s="0" t="n"/>
      <c r="AK202" s="0" t="n"/>
      <c r="AL202" s="0" t="n"/>
      <c r="AM202" s="0" t="n"/>
      <c r="AN202" s="0" t="n"/>
      <c r="AO202" s="0" t="n"/>
      <c r="AP202" s="0" t="n"/>
      <c r="AQ202" s="0" t="n"/>
      <c r="AR202" s="0" t="n"/>
      <c r="AS202" s="0" t="n"/>
      <c r="AT202" s="0" t="n"/>
      <c r="AU202" s="0" t="n"/>
      <c r="AV202" s="0" t="n"/>
      <c r="AW202" s="0" t="n"/>
      <c r="AX202" s="0" t="n"/>
      <c r="AY202" s="0" t="n"/>
      <c r="AZ202" s="0" t="n"/>
      <c r="BA202" s="0" t="n"/>
      <c r="BB202" s="0" t="n"/>
      <c r="BC202" s="0" t="n"/>
      <c r="BD202" s="0" t="n"/>
      <c r="BE202" s="0" t="n"/>
      <c r="BF202" s="0" t="n"/>
      <c r="BG202" s="0" t="n"/>
      <c r="BH202" s="0" t="n"/>
      <c r="BI202" s="0" t="n"/>
      <c r="BJ202" s="0" t="n"/>
      <c r="BK202" s="0" t="n"/>
      <c r="BL202" s="0" t="n"/>
      <c r="BM202" s="0" t="n"/>
      <c r="BN202" s="0" t="n"/>
      <c r="BO202" s="0" t="n"/>
      <c r="BP202" s="0" t="n"/>
    </row>
    <row hidden="false" ht="15" outlineLevel="0" r="203">
      <c r="A203" s="116" t="n">
        <f aca="false" ca="false" dt2D="false" dtr="false" t="normal">+A202+1</f>
        <v>186</v>
      </c>
      <c r="B203" s="117" t="n">
        <f aca="false" ca="false" dt2D="false" dtr="false" t="normal">+B202+1</f>
        <v>186</v>
      </c>
      <c r="C203" s="104" t="s">
        <v>111</v>
      </c>
      <c r="D203" s="104" t="s">
        <v>297</v>
      </c>
      <c r="E203" s="113" t="n">
        <f aca="false" ca="true" dt2D="false" dtr="false" t="normal">SUBTOTAL(9, F203:T203)</f>
        <v>4254086.16</v>
      </c>
      <c r="F203" s="106" t="n"/>
      <c r="G203" s="106" t="n"/>
      <c r="H203" s="133" t="n"/>
      <c r="I203" s="106" t="n"/>
      <c r="J203" s="106" t="n"/>
      <c r="K203" s="106" t="n"/>
      <c r="L203" s="106" t="n"/>
      <c r="M203" s="106" t="n"/>
      <c r="N203" s="106" t="n">
        <v>4254086.16</v>
      </c>
      <c r="O203" s="106" t="n"/>
      <c r="P203" s="106" t="n"/>
      <c r="Q203" s="106" t="n"/>
      <c r="R203" s="106" t="n"/>
      <c r="S203" s="106" t="n"/>
      <c r="T203" s="106" t="n"/>
      <c r="U203" s="0" t="n"/>
      <c r="V203" s="0" t="n"/>
      <c r="W203" s="0" t="n"/>
      <c r="X203" s="0" t="n"/>
      <c r="Y203" s="0" t="n"/>
      <c r="Z203" s="0" t="n"/>
      <c r="AA203" s="0" t="n"/>
      <c r="AB203" s="0" t="n"/>
      <c r="AC203" s="0" t="n"/>
      <c r="AD203" s="0" t="n"/>
      <c r="AE203" s="0" t="n"/>
      <c r="AF203" s="0" t="n"/>
      <c r="AG203" s="0" t="n"/>
      <c r="AH203" s="0" t="n"/>
      <c r="AI203" s="0" t="n"/>
      <c r="AJ203" s="0" t="n"/>
      <c r="AK203" s="0" t="n"/>
      <c r="AL203" s="0" t="n"/>
      <c r="AM203" s="0" t="n"/>
      <c r="AN203" s="0" t="n"/>
      <c r="AO203" s="0" t="n"/>
      <c r="AP203" s="0" t="n"/>
      <c r="AQ203" s="0" t="n"/>
      <c r="AR203" s="0" t="n"/>
      <c r="AS203" s="0" t="n"/>
      <c r="AT203" s="0" t="n"/>
      <c r="AU203" s="0" t="n"/>
      <c r="AV203" s="0" t="n"/>
      <c r="AW203" s="0" t="n"/>
      <c r="AX203" s="0" t="n"/>
      <c r="AY203" s="0" t="n"/>
      <c r="AZ203" s="0" t="n"/>
      <c r="BA203" s="0" t="n"/>
      <c r="BB203" s="0" t="n"/>
      <c r="BC203" s="0" t="n"/>
      <c r="BD203" s="0" t="n"/>
      <c r="BE203" s="0" t="n"/>
      <c r="BF203" s="0" t="n"/>
      <c r="BG203" s="0" t="n"/>
      <c r="BH203" s="0" t="n"/>
      <c r="BI203" s="0" t="n"/>
      <c r="BJ203" s="0" t="n"/>
      <c r="BK203" s="0" t="n"/>
      <c r="BL203" s="0" t="n"/>
      <c r="BM203" s="0" t="n"/>
      <c r="BN203" s="0" t="n"/>
      <c r="BO203" s="0" t="n"/>
      <c r="BP203" s="0" t="n"/>
    </row>
    <row hidden="false" ht="15" outlineLevel="0" r="204">
      <c r="A204" s="116" t="n">
        <f aca="false" ca="false" dt2D="false" dtr="false" t="normal">+A203+1</f>
        <v>187</v>
      </c>
      <c r="B204" s="117" t="n">
        <f aca="false" ca="false" dt2D="false" dtr="false" t="normal">+B203+1</f>
        <v>187</v>
      </c>
      <c r="C204" s="1" t="s">
        <v>301</v>
      </c>
      <c r="D204" s="104" t="s">
        <v>299</v>
      </c>
      <c r="E204" s="113" t="n">
        <f aca="false" ca="true" dt2D="false" dtr="false" t="normal">SUBTOTAL(9, F204:T204)</f>
        <v>566057.97</v>
      </c>
      <c r="F204" s="106" t="n"/>
      <c r="G204" s="106" t="n"/>
      <c r="H204" s="133" t="n"/>
      <c r="I204" s="106" t="n"/>
      <c r="J204" s="106" t="n"/>
      <c r="K204" s="106" t="n"/>
      <c r="L204" s="106" t="n"/>
      <c r="M204" s="106" t="n"/>
      <c r="N204" s="106" t="n">
        <v>194953.44</v>
      </c>
      <c r="O204" s="106" t="n"/>
      <c r="P204" s="106" t="n">
        <v>371104.53</v>
      </c>
      <c r="Q204" s="106" t="n"/>
      <c r="R204" s="106" t="n"/>
      <c r="S204" s="106" t="n"/>
      <c r="T204" s="106" t="n"/>
      <c r="U204" s="0" t="n"/>
      <c r="V204" s="0" t="n"/>
      <c r="W204" s="0" t="n"/>
      <c r="X204" s="0" t="n"/>
      <c r="Y204" s="0" t="n"/>
      <c r="Z204" s="0" t="n"/>
      <c r="AA204" s="0" t="n"/>
      <c r="AB204" s="0" t="n"/>
      <c r="AC204" s="0" t="n"/>
      <c r="AD204" s="0" t="n"/>
      <c r="AE204" s="0" t="n"/>
      <c r="AF204" s="0" t="n"/>
      <c r="AG204" s="0" t="n"/>
      <c r="AH204" s="0" t="n"/>
      <c r="AI204" s="0" t="n"/>
      <c r="AJ204" s="0" t="n"/>
      <c r="AK204" s="0" t="n"/>
      <c r="AL204" s="0" t="n"/>
      <c r="AM204" s="0" t="n"/>
      <c r="AN204" s="0" t="n"/>
      <c r="AO204" s="0" t="n"/>
      <c r="AP204" s="0" t="n"/>
      <c r="AQ204" s="0" t="n"/>
      <c r="AR204" s="0" t="n"/>
      <c r="AS204" s="0" t="n"/>
      <c r="AT204" s="0" t="n"/>
      <c r="AU204" s="0" t="n"/>
      <c r="AV204" s="0" t="n"/>
      <c r="AW204" s="0" t="n"/>
      <c r="AX204" s="0" t="n"/>
      <c r="AY204" s="0" t="n"/>
      <c r="AZ204" s="0" t="n"/>
      <c r="BA204" s="0" t="n"/>
      <c r="BB204" s="0" t="n"/>
      <c r="BC204" s="0" t="n"/>
      <c r="BD204" s="0" t="n"/>
      <c r="BE204" s="0" t="n"/>
      <c r="BF204" s="0" t="n"/>
      <c r="BG204" s="0" t="n"/>
      <c r="BH204" s="0" t="n"/>
      <c r="BI204" s="0" t="n"/>
      <c r="BJ204" s="0" t="n"/>
      <c r="BK204" s="0" t="n"/>
      <c r="BL204" s="0" t="n"/>
      <c r="BM204" s="0" t="n"/>
      <c r="BN204" s="0" t="n"/>
      <c r="BO204" s="0" t="n"/>
      <c r="BP204" s="0" t="n"/>
    </row>
    <row hidden="false" ht="15" outlineLevel="0" r="205">
      <c r="A205" s="144" t="n">
        <f aca="false" ca="false" dt2D="false" dtr="false" t="normal">+A204+1</f>
        <v>188</v>
      </c>
      <c r="B205" s="145" t="n">
        <f aca="false" ca="false" dt2D="false" dtr="false" t="normal">+B204+1</f>
        <v>188</v>
      </c>
      <c r="C205" s="1" t="s">
        <v>301</v>
      </c>
      <c r="D205" s="146" t="s">
        <v>302</v>
      </c>
      <c r="E205" s="139" t="n">
        <f aca="false" ca="true" dt2D="false" dtr="false" t="normal">SUBTOTAL(9, F205:T205)</f>
        <v>10770762.3</v>
      </c>
      <c r="F205" s="140" t="n"/>
      <c r="G205" s="140" t="n"/>
      <c r="H205" s="143" t="n"/>
      <c r="I205" s="140" t="n"/>
      <c r="J205" s="140" t="n"/>
      <c r="K205" s="140" t="n"/>
      <c r="L205" s="140" t="n"/>
      <c r="M205" s="140" t="n"/>
      <c r="N205" s="140" t="n">
        <v>5195058.41</v>
      </c>
      <c r="O205" s="140" t="n"/>
      <c r="P205" s="140" t="n">
        <v>5575703.89</v>
      </c>
      <c r="Q205" s="140" t="n"/>
      <c r="R205" s="140" t="n"/>
      <c r="S205" s="140" t="n"/>
      <c r="T205" s="140" t="n"/>
      <c r="U205" s="0" t="n"/>
      <c r="V205" s="0" t="n"/>
      <c r="W205" s="0" t="n"/>
      <c r="X205" s="0" t="n"/>
      <c r="Y205" s="0" t="n"/>
      <c r="Z205" s="0" t="n"/>
      <c r="AA205" s="0" t="n"/>
      <c r="AB205" s="0" t="n"/>
      <c r="AC205" s="0" t="n"/>
      <c r="AD205" s="0" t="n"/>
      <c r="AE205" s="0" t="n"/>
      <c r="AF205" s="0" t="n"/>
      <c r="AG205" s="0" t="n"/>
      <c r="AH205" s="0" t="n"/>
      <c r="AI205" s="0" t="n"/>
      <c r="AJ205" s="0" t="n"/>
      <c r="AK205" s="0" t="n"/>
      <c r="AL205" s="0" t="n"/>
      <c r="AM205" s="0" t="n"/>
      <c r="AN205" s="0" t="n"/>
      <c r="AO205" s="0" t="n"/>
      <c r="AP205" s="0" t="n"/>
      <c r="AQ205" s="0" t="n"/>
      <c r="AR205" s="0" t="n"/>
      <c r="AS205" s="0" t="n"/>
      <c r="AT205" s="0" t="n"/>
      <c r="AU205" s="0" t="n"/>
      <c r="AV205" s="0" t="n"/>
      <c r="AW205" s="0" t="n"/>
      <c r="AX205" s="0" t="n"/>
      <c r="AY205" s="0" t="n"/>
      <c r="AZ205" s="0" t="n"/>
      <c r="BA205" s="0" t="n"/>
      <c r="BB205" s="0" t="n"/>
      <c r="BC205" s="0" t="n"/>
      <c r="BD205" s="0" t="n"/>
      <c r="BE205" s="0" t="n"/>
      <c r="BF205" s="0" t="n"/>
      <c r="BG205" s="0" t="n"/>
      <c r="BH205" s="0" t="n"/>
      <c r="BI205" s="0" t="n"/>
      <c r="BJ205" s="0" t="n"/>
      <c r="BK205" s="0" t="n"/>
      <c r="BL205" s="0" t="n"/>
      <c r="BM205" s="0" t="n"/>
      <c r="BN205" s="0" t="n"/>
      <c r="BO205" s="0" t="n"/>
      <c r="BP205" s="0" t="n"/>
    </row>
    <row hidden="false" ht="15" outlineLevel="0" r="206">
      <c r="A206" s="155" t="n"/>
      <c r="B206" s="156" t="n"/>
      <c r="C206" s="149" t="n"/>
      <c r="D206" s="157" t="n">
        <v>2023</v>
      </c>
      <c r="E206" s="159" t="n">
        <f aca="false" ca="false" dt2D="false" dtr="false" t="normal">E207+E380</f>
        <v>2357254214.9046297</v>
      </c>
      <c r="F206" s="159" t="n">
        <f aca="false" ca="false" dt2D="false" dtr="false" t="normal">F207+F380</f>
        <v>370237572.12199986</v>
      </c>
      <c r="G206" s="159" t="n">
        <f aca="false" ca="false" dt2D="false" dtr="false" t="normal">G207+G380</f>
        <v>95469739.89000002</v>
      </c>
      <c r="H206" s="159" t="n">
        <f aca="false" ca="false" dt2D="false" dtr="false" t="normal">H207+H380</f>
        <v>156384312.5</v>
      </c>
      <c r="I206" s="159" t="n">
        <f aca="false" ca="false" dt2D="false" dtr="false" t="normal">I207+I380</f>
        <v>98009059.78999999</v>
      </c>
      <c r="J206" s="159" t="n">
        <f aca="false" ca="false" dt2D="false" dtr="false" t="normal">J207+J380</f>
        <v>24461049.949</v>
      </c>
      <c r="K206" s="159" t="n">
        <f aca="false" ca="false" dt2D="false" dtr="false" t="normal">K207+K380</f>
        <v>0</v>
      </c>
      <c r="L206" s="159" t="n">
        <f aca="false" ca="false" dt2D="false" dtr="false" t="normal">L207+L380</f>
        <v>1515829.2</v>
      </c>
      <c r="M206" s="159" t="n">
        <f aca="false" ca="false" dt2D="false" dtr="false" t="normal">M207+M380</f>
        <v>70747186.21000001</v>
      </c>
      <c r="N206" s="159" t="n">
        <f aca="false" ca="false" dt2D="false" dtr="false" t="normal">N207+N380</f>
        <v>493044101.23502535</v>
      </c>
      <c r="O206" s="159" t="n">
        <f aca="false" ca="false" dt2D="false" dtr="false" t="normal">O207+O380</f>
        <v>55019781.86</v>
      </c>
      <c r="P206" s="159" t="n">
        <f aca="false" ca="false" dt2D="false" dtr="false" t="normal">P207+P380</f>
        <v>632269454.81</v>
      </c>
      <c r="Q206" s="159" t="n">
        <f aca="false" ca="false" dt2D="false" dtr="false" t="normal">Q207+Q380</f>
        <v>326730280.55999994</v>
      </c>
      <c r="R206" s="159" t="n">
        <f aca="false" ca="false" dt2D="false" dtr="false" t="normal">R207+R380</f>
        <v>26416260.585307483</v>
      </c>
      <c r="S206" s="159" t="n">
        <f aca="false" ca="false" dt2D="false" dtr="false" t="normal">S207+S380</f>
        <v>1673742.33</v>
      </c>
      <c r="T206" s="159" t="n">
        <f aca="false" ca="false" dt2D="false" dtr="false" t="normal">T207+T380</f>
        <v>5275843.863296885</v>
      </c>
      <c r="U206" s="0" t="n"/>
      <c r="V206" s="0" t="n"/>
      <c r="W206" s="0" t="n"/>
      <c r="X206" s="0" t="n"/>
      <c r="Y206" s="0" t="n"/>
      <c r="Z206" s="0" t="n"/>
      <c r="AA206" s="0" t="n"/>
      <c r="AB206" s="0" t="n"/>
      <c r="AC206" s="0" t="n"/>
      <c r="AD206" s="0" t="n"/>
      <c r="AE206" s="0" t="n"/>
      <c r="AF206" s="0" t="n"/>
      <c r="AG206" s="0" t="n"/>
      <c r="AH206" s="0" t="n"/>
      <c r="AI206" s="0" t="n"/>
      <c r="AJ206" s="0" t="n"/>
      <c r="AK206" s="0" t="n"/>
      <c r="AL206" s="0" t="n"/>
      <c r="AM206" s="0" t="n"/>
      <c r="AN206" s="0" t="n"/>
      <c r="AO206" s="0" t="n"/>
      <c r="AP206" s="0" t="n"/>
      <c r="AQ206" s="0" t="n"/>
      <c r="AR206" s="0" t="n"/>
      <c r="AS206" s="0" t="n"/>
      <c r="AT206" s="0" t="n"/>
      <c r="AU206" s="0" t="n"/>
      <c r="AV206" s="0" t="n"/>
      <c r="AW206" s="0" t="n"/>
      <c r="AX206" s="0" t="n"/>
      <c r="AY206" s="0" t="n"/>
      <c r="AZ206" s="0" t="n"/>
      <c r="BA206" s="0" t="n"/>
      <c r="BB206" s="0" t="n"/>
      <c r="BC206" s="0" t="n"/>
      <c r="BD206" s="0" t="n"/>
      <c r="BE206" s="0" t="n"/>
      <c r="BF206" s="0" t="n"/>
      <c r="BG206" s="0" t="n"/>
      <c r="BH206" s="0" t="n"/>
      <c r="BI206" s="0" t="n"/>
      <c r="BJ206" s="0" t="n"/>
      <c r="BK206" s="0" t="n"/>
      <c r="BL206" s="0" t="n"/>
      <c r="BM206" s="0" t="n"/>
      <c r="BN206" s="0" t="n"/>
      <c r="BO206" s="0" t="n"/>
      <c r="BP206" s="0" t="n"/>
    </row>
    <row customFormat="true" hidden="false" ht="15" outlineLevel="0" r="207" s="149">
      <c r="A207" s="179" t="n"/>
      <c r="B207" s="179" t="n"/>
      <c r="C207" s="180" t="n"/>
      <c r="D207" s="163" t="s">
        <v>304</v>
      </c>
      <c r="E207" s="302" t="n">
        <f aca="false" ca="false" dt2D="false" dtr="false" t="normal">SUM(F207:T207)</f>
        <v>1588780850.7326295</v>
      </c>
      <c r="F207" s="165" t="n">
        <f aca="false" ca="false" dt2D="false" dtr="false" t="normal">SUM(F208:F379)</f>
        <v>225812151.79999986</v>
      </c>
      <c r="G207" s="165" t="n">
        <f aca="false" ca="false" dt2D="false" dtr="false" t="normal">SUM(G208:G379)</f>
        <v>53247479.42</v>
      </c>
      <c r="H207" s="165" t="n">
        <f aca="false" ca="false" dt2D="false" dtr="false" t="normal">SUM(H208:H379)</f>
        <v>130878867.69000001</v>
      </c>
      <c r="I207" s="165" t="n">
        <f aca="false" ca="false" dt2D="false" dtr="false" t="normal">SUM(I208:I379)</f>
        <v>75359890.47999999</v>
      </c>
      <c r="J207" s="165" t="n">
        <f aca="false" ca="false" dt2D="false" dtr="false" t="normal">SUM(J208:J379)</f>
        <v>18927579.639</v>
      </c>
      <c r="K207" s="165" t="n">
        <f aca="false" ca="false" dt2D="false" dtr="false" t="normal">SUM(K208:K376)</f>
        <v>0</v>
      </c>
      <c r="L207" s="165" t="n">
        <f aca="false" ca="false" dt2D="false" dtr="false" t="normal">SUM(L208:L379)</f>
        <v>0</v>
      </c>
      <c r="M207" s="165" t="n">
        <f aca="false" ca="false" dt2D="false" dtr="false" t="normal">SUM(M208:M379)</f>
        <v>53772127.82</v>
      </c>
      <c r="N207" s="165" t="n">
        <f aca="false" ca="false" dt2D="false" dtr="false" t="normal">SUM(N208:N379)</f>
        <v>443523458.33502537</v>
      </c>
      <c r="O207" s="165" t="n">
        <f aca="false" ca="false" dt2D="false" dtr="false" t="normal">SUM(O208:O379)</f>
        <v>34761605.88</v>
      </c>
      <c r="P207" s="165" t="n">
        <f aca="false" ca="false" dt2D="false" dtr="false" t="normal">SUM(P208:P379)</f>
        <v>268646577.95</v>
      </c>
      <c r="Q207" s="165" t="n">
        <f aca="false" ca="false" dt2D="false" dtr="false" t="normal">SUM(Q208:Q379)</f>
        <v>259457726.89999995</v>
      </c>
      <c r="R207" s="165" t="n">
        <f aca="false" ca="false" dt2D="false" dtr="false" t="normal">SUM(R208:R379)</f>
        <v>19512709.595307484</v>
      </c>
      <c r="S207" s="165" t="n">
        <f aca="false" ca="false" dt2D="false" dtr="false" t="normal">SUM(S208:S379)</f>
        <v>1071227.73</v>
      </c>
      <c r="T207" s="165" t="n">
        <f aca="false" ca="false" dt2D="false" dtr="false" t="normal">SUM(T208:T379)</f>
        <v>3809447.493296885</v>
      </c>
      <c r="U207" s="0" t="n"/>
      <c r="V207" s="0" t="n"/>
      <c r="W207" s="0" t="n"/>
      <c r="X207" s="0" t="n"/>
      <c r="Y207" s="0" t="n"/>
      <c r="Z207" s="0" t="n"/>
      <c r="AA207" s="0" t="n"/>
      <c r="AB207" s="0" t="n"/>
      <c r="AC207" s="0" t="n"/>
      <c r="AD207" s="0" t="n"/>
      <c r="AE207" s="0" t="n"/>
      <c r="AF207" s="0" t="n"/>
      <c r="AG207" s="0" t="n"/>
      <c r="AH207" s="0" t="n"/>
      <c r="AI207" s="0" t="n"/>
      <c r="AJ207" s="0" t="n"/>
      <c r="AK207" s="0" t="n"/>
      <c r="AL207" s="0" t="n"/>
      <c r="AM207" s="0" t="n"/>
      <c r="AN207" s="0" t="n"/>
      <c r="AO207" s="0" t="n"/>
      <c r="AP207" s="0" t="n"/>
      <c r="AQ207" s="0" t="n"/>
      <c r="AR207" s="0" t="n"/>
      <c r="AS207" s="0" t="n"/>
      <c r="AT207" s="0" t="n"/>
      <c r="AU207" s="0" t="n"/>
      <c r="AV207" s="0" t="n"/>
      <c r="AW207" s="0" t="n"/>
      <c r="AX207" s="0" t="n"/>
      <c r="AY207" s="0" t="n"/>
      <c r="AZ207" s="0" t="n"/>
      <c r="BA207" s="0" t="n"/>
      <c r="BB207" s="0" t="n"/>
      <c r="BC207" s="0" t="n"/>
      <c r="BD207" s="0" t="n"/>
      <c r="BE207" s="0" t="n"/>
      <c r="BF207" s="0" t="n"/>
      <c r="BG207" s="0" t="n"/>
      <c r="BH207" s="0" t="n"/>
      <c r="BI207" s="0" t="n"/>
      <c r="BJ207" s="0" t="n"/>
      <c r="BK207" s="0" t="n"/>
      <c r="BL207" s="0" t="n"/>
      <c r="BM207" s="0" t="n"/>
      <c r="BN207" s="0" t="n"/>
      <c r="BO207" s="0" t="n"/>
      <c r="BP207" s="0" t="n"/>
    </row>
    <row hidden="false" ht="15" outlineLevel="0" r="208">
      <c r="A208" s="116" t="n">
        <f aca="false" ca="false" dt2D="false" dtr="false" t="normal">+A205+1</f>
        <v>189</v>
      </c>
      <c r="B208" s="117" t="n">
        <v>1</v>
      </c>
      <c r="C208" s="104" t="s">
        <v>305</v>
      </c>
      <c r="D208" s="117" t="s">
        <v>306</v>
      </c>
      <c r="E208" s="186" t="n">
        <f aca="false" ca="true" dt2D="false" dtr="false" t="normal">SUBTOTAL(9, F208:T208)</f>
        <v>5403128.5</v>
      </c>
      <c r="F208" s="114" t="n">
        <v>0</v>
      </c>
      <c r="G208" s="114" t="n">
        <v>0</v>
      </c>
      <c r="H208" s="114" t="n">
        <v>0</v>
      </c>
      <c r="I208" s="114" t="n">
        <v>0</v>
      </c>
      <c r="J208" s="114" t="n">
        <v>0</v>
      </c>
      <c r="K208" s="114" t="n"/>
      <c r="L208" s="114" t="n"/>
      <c r="M208" s="114" t="n">
        <v>0</v>
      </c>
      <c r="N208" s="114" t="n"/>
      <c r="O208" s="114" t="n">
        <v>5403128.5</v>
      </c>
      <c r="P208" s="114" t="n">
        <v>0</v>
      </c>
      <c r="Q208" s="114" t="n">
        <v>0</v>
      </c>
      <c r="R208" s="114" t="n"/>
      <c r="S208" s="114" t="n"/>
      <c r="T208" s="115" t="n"/>
      <c r="U208" s="0" t="n"/>
      <c r="V208" s="0" t="n"/>
      <c r="W208" s="0" t="n"/>
      <c r="X208" s="0" t="n"/>
      <c r="Y208" s="0" t="n"/>
      <c r="Z208" s="0" t="n"/>
      <c r="AA208" s="0" t="n"/>
      <c r="AB208" s="0" t="n"/>
      <c r="AC208" s="0" t="n"/>
      <c r="AD208" s="0" t="n"/>
      <c r="AE208" s="0" t="n"/>
      <c r="AF208" s="0" t="n"/>
      <c r="AG208" s="0" t="n"/>
      <c r="AH208" s="0" t="n"/>
      <c r="AI208" s="0" t="n"/>
      <c r="AJ208" s="0" t="n"/>
      <c r="AK208" s="0" t="n"/>
      <c r="AL208" s="0" t="n"/>
      <c r="AM208" s="0" t="n"/>
      <c r="AN208" s="0" t="n"/>
      <c r="AO208" s="0" t="n"/>
      <c r="AP208" s="0" t="n"/>
      <c r="AQ208" s="0" t="n"/>
      <c r="AR208" s="0" t="n"/>
      <c r="AS208" s="0" t="n"/>
      <c r="AT208" s="0" t="n"/>
      <c r="AU208" s="0" t="n"/>
      <c r="AV208" s="0" t="n"/>
      <c r="AW208" s="0" t="n"/>
      <c r="AX208" s="0" t="n"/>
      <c r="AY208" s="0" t="n"/>
      <c r="AZ208" s="0" t="n"/>
      <c r="BA208" s="0" t="n"/>
      <c r="BB208" s="0" t="n"/>
      <c r="BC208" s="0" t="n"/>
      <c r="BD208" s="0" t="n"/>
      <c r="BE208" s="0" t="n"/>
      <c r="BF208" s="0" t="n"/>
      <c r="BG208" s="0" t="n"/>
      <c r="BH208" s="0" t="n"/>
      <c r="BI208" s="0" t="n"/>
      <c r="BJ208" s="0" t="n"/>
      <c r="BK208" s="0" t="n"/>
      <c r="BL208" s="0" t="n"/>
      <c r="BM208" s="0" t="n"/>
      <c r="BN208" s="0" t="n"/>
      <c r="BO208" s="0" t="n"/>
      <c r="BP208" s="0" t="n"/>
    </row>
    <row hidden="false" ht="15" outlineLevel="0" r="209">
      <c r="A209" s="116" t="n">
        <f aca="false" ca="false" dt2D="false" dtr="false" t="normal">+A208+1</f>
        <v>190</v>
      </c>
      <c r="B209" s="117" t="n">
        <f aca="false" ca="false" dt2D="false" dtr="false" t="normal">+B208+1</f>
        <v>2</v>
      </c>
      <c r="C209" s="104" t="s">
        <v>305</v>
      </c>
      <c r="D209" s="117" t="s">
        <v>307</v>
      </c>
      <c r="E209" s="186" t="n">
        <f aca="false" ca="true" dt2D="false" dtr="false" t="normal">SUBTOTAL(9, F209:T209)</f>
        <v>5976346.29</v>
      </c>
      <c r="F209" s="114" t="n">
        <v>0</v>
      </c>
      <c r="G209" s="114" t="n">
        <v>0</v>
      </c>
      <c r="H209" s="114" t="n">
        <v>0</v>
      </c>
      <c r="I209" s="114" t="n">
        <v>0</v>
      </c>
      <c r="J209" s="114" t="n">
        <v>0</v>
      </c>
      <c r="K209" s="114" t="n"/>
      <c r="L209" s="114" t="n"/>
      <c r="M209" s="114" t="n">
        <v>0</v>
      </c>
      <c r="N209" s="114" t="n">
        <v>0</v>
      </c>
      <c r="O209" s="114" t="n">
        <v>5976346.29</v>
      </c>
      <c r="P209" s="114" t="n"/>
      <c r="Q209" s="114" t="n">
        <v>0</v>
      </c>
      <c r="R209" s="114" t="n"/>
      <c r="S209" s="114" t="n"/>
      <c r="T209" s="115" t="n"/>
      <c r="U209" s="0" t="n"/>
      <c r="V209" s="0" t="n"/>
      <c r="W209" s="0" t="n"/>
      <c r="X209" s="0" t="n"/>
      <c r="Y209" s="0" t="n"/>
      <c r="Z209" s="0" t="n"/>
      <c r="AA209" s="0" t="n"/>
      <c r="AB209" s="0" t="n"/>
      <c r="AC209" s="0" t="n"/>
      <c r="AD209" s="0" t="n"/>
      <c r="AE209" s="0" t="n"/>
      <c r="AF209" s="0" t="n"/>
      <c r="AG209" s="0" t="n"/>
      <c r="AH209" s="0" t="n"/>
      <c r="AI209" s="0" t="n"/>
      <c r="AJ209" s="0" t="n"/>
      <c r="AK209" s="0" t="n"/>
      <c r="AL209" s="0" t="n"/>
      <c r="AM209" s="0" t="n"/>
      <c r="AN209" s="0" t="n"/>
      <c r="AO209" s="0" t="n"/>
      <c r="AP209" s="0" t="n"/>
      <c r="AQ209" s="0" t="n"/>
      <c r="AR209" s="0" t="n"/>
      <c r="AS209" s="0" t="n"/>
      <c r="AT209" s="0" t="n"/>
      <c r="AU209" s="0" t="n"/>
      <c r="AV209" s="0" t="n"/>
      <c r="AW209" s="0" t="n"/>
      <c r="AX209" s="0" t="n"/>
      <c r="AY209" s="0" t="n"/>
      <c r="AZ209" s="0" t="n"/>
      <c r="BA209" s="0" t="n"/>
      <c r="BB209" s="0" t="n"/>
      <c r="BC209" s="0" t="n"/>
      <c r="BD209" s="0" t="n"/>
      <c r="BE209" s="0" t="n"/>
      <c r="BF209" s="0" t="n"/>
      <c r="BG209" s="0" t="n"/>
      <c r="BH209" s="0" t="n"/>
      <c r="BI209" s="0" t="n"/>
      <c r="BJ209" s="0" t="n"/>
      <c r="BK209" s="0" t="n"/>
      <c r="BL209" s="0" t="n"/>
      <c r="BM209" s="0" t="n"/>
      <c r="BN209" s="0" t="n"/>
      <c r="BO209" s="0" t="n"/>
      <c r="BP209" s="0" t="n"/>
    </row>
    <row hidden="false" ht="15" outlineLevel="0" r="210">
      <c r="A210" s="116" t="n">
        <f aca="false" ca="false" dt2D="false" dtr="false" t="normal">+A209+1</f>
        <v>191</v>
      </c>
      <c r="B210" s="117" t="n">
        <f aca="false" ca="false" dt2D="false" dtr="false" t="normal">+B209+1</f>
        <v>3</v>
      </c>
      <c r="C210" s="104" t="s">
        <v>305</v>
      </c>
      <c r="D210" s="117" t="s">
        <v>308</v>
      </c>
      <c r="E210" s="113" t="n">
        <f aca="false" ca="true" dt2D="false" dtr="false" t="normal">SUBTOTAL(9, F210:T210)</f>
        <v>442092.5</v>
      </c>
      <c r="F210" s="114" t="n"/>
      <c r="G210" s="114" t="n"/>
      <c r="H210" s="114" t="n">
        <v>442092.5</v>
      </c>
      <c r="I210" s="114" t="n"/>
      <c r="J210" s="114" t="n">
        <v>0</v>
      </c>
      <c r="K210" s="114" t="n"/>
      <c r="L210" s="114" t="n"/>
      <c r="M210" s="114" t="n">
        <v>0</v>
      </c>
      <c r="N210" s="114" t="n"/>
      <c r="O210" s="106" t="n"/>
      <c r="P210" s="114" t="n"/>
      <c r="Q210" s="114" t="n"/>
      <c r="R210" s="114" t="n"/>
      <c r="S210" s="114" t="n"/>
      <c r="T210" s="115" t="n"/>
      <c r="U210" s="0" t="n"/>
      <c r="V210" s="0" t="n"/>
      <c r="W210" s="0" t="n"/>
      <c r="X210" s="0" t="n"/>
      <c r="Y210" s="0" t="n"/>
      <c r="Z210" s="0" t="n"/>
      <c r="AA210" s="0" t="n"/>
      <c r="AB210" s="0" t="n"/>
      <c r="AC210" s="0" t="n"/>
      <c r="AD210" s="0" t="n"/>
      <c r="AE210" s="0" t="n"/>
      <c r="AF210" s="0" t="n"/>
      <c r="AG210" s="0" t="n"/>
      <c r="AH210" s="0" t="n"/>
      <c r="AI210" s="0" t="n"/>
      <c r="AJ210" s="0" t="n"/>
      <c r="AK210" s="0" t="n"/>
      <c r="AL210" s="0" t="n"/>
      <c r="AM210" s="0" t="n"/>
      <c r="AN210" s="0" t="n"/>
      <c r="AO210" s="0" t="n"/>
      <c r="AP210" s="0" t="n"/>
      <c r="AQ210" s="0" t="n"/>
      <c r="AR210" s="0" t="n"/>
      <c r="AS210" s="0" t="n"/>
      <c r="AT210" s="0" t="n"/>
      <c r="AU210" s="0" t="n"/>
      <c r="AV210" s="0" t="n"/>
      <c r="AW210" s="0" t="n"/>
      <c r="AX210" s="0" t="n"/>
      <c r="AY210" s="0" t="n"/>
      <c r="AZ210" s="0" t="n"/>
      <c r="BA210" s="0" t="n"/>
      <c r="BB210" s="0" t="n"/>
      <c r="BC210" s="0" t="n"/>
      <c r="BD210" s="0" t="n"/>
      <c r="BE210" s="0" t="n"/>
      <c r="BF210" s="0" t="n"/>
      <c r="BG210" s="0" t="n"/>
      <c r="BH210" s="0" t="n"/>
      <c r="BI210" s="0" t="n"/>
      <c r="BJ210" s="0" t="n"/>
      <c r="BK210" s="0" t="n"/>
      <c r="BL210" s="0" t="n"/>
      <c r="BM210" s="0" t="n"/>
      <c r="BN210" s="0" t="n"/>
      <c r="BO210" s="0" t="n"/>
      <c r="BP210" s="0" t="n"/>
    </row>
    <row hidden="false" ht="15" outlineLevel="0" r="211">
      <c r="A211" s="116" t="n">
        <f aca="false" ca="false" dt2D="false" dtr="false" t="normal">+A210+1</f>
        <v>192</v>
      </c>
      <c r="B211" s="117" t="n">
        <f aca="false" ca="false" dt2D="false" dtr="false" t="normal">+B210+1</f>
        <v>4</v>
      </c>
      <c r="C211" s="104" t="s">
        <v>66</v>
      </c>
      <c r="D211" s="117" t="s">
        <v>67</v>
      </c>
      <c r="E211" s="113" t="n">
        <f aca="false" ca="true" dt2D="false" dtr="false" t="normal">SUBTOTAL(9, F211:T211)</f>
        <v>4023991.38</v>
      </c>
      <c r="F211" s="114" t="n"/>
      <c r="G211" s="114" t="n"/>
      <c r="H211" s="114" t="n">
        <v>3762253.56</v>
      </c>
      <c r="I211" s="114" t="n">
        <v>0</v>
      </c>
      <c r="J211" s="114" t="n">
        <v>0</v>
      </c>
      <c r="K211" s="114" t="n"/>
      <c r="L211" s="114" t="n"/>
      <c r="M211" s="114" t="n">
        <v>0</v>
      </c>
      <c r="N211" s="114" t="n">
        <v>0</v>
      </c>
      <c r="O211" s="114" t="n">
        <v>0</v>
      </c>
      <c r="P211" s="106" t="n"/>
      <c r="Q211" s="114" t="n"/>
      <c r="R211" s="114" t="n">
        <v>257737.82</v>
      </c>
      <c r="S211" s="114" t="n">
        <v>4000</v>
      </c>
      <c r="T211" s="115" t="n"/>
      <c r="U211" s="0" t="n"/>
      <c r="V211" s="0" t="n"/>
      <c r="W211" s="0" t="n"/>
      <c r="X211" s="0" t="n"/>
      <c r="Y211" s="0" t="n"/>
      <c r="Z211" s="0" t="n"/>
      <c r="AA211" s="0" t="n"/>
      <c r="AB211" s="0" t="n"/>
      <c r="AC211" s="0" t="n"/>
      <c r="AD211" s="0" t="n"/>
      <c r="AE211" s="0" t="n"/>
      <c r="AF211" s="0" t="n"/>
      <c r="AG211" s="0" t="n"/>
      <c r="AH211" s="0" t="n"/>
      <c r="AI211" s="0" t="n"/>
      <c r="AJ211" s="0" t="n"/>
      <c r="AK211" s="0" t="n"/>
      <c r="AL211" s="0" t="n"/>
      <c r="AM211" s="0" t="n"/>
      <c r="AN211" s="0" t="n"/>
      <c r="AO211" s="0" t="n"/>
      <c r="AP211" s="0" t="n"/>
      <c r="AQ211" s="0" t="n"/>
      <c r="AR211" s="0" t="n"/>
      <c r="AS211" s="0" t="n"/>
      <c r="AT211" s="0" t="n"/>
      <c r="AU211" s="0" t="n"/>
      <c r="AV211" s="0" t="n"/>
      <c r="AW211" s="0" t="n"/>
      <c r="AX211" s="0" t="n"/>
      <c r="AY211" s="0" t="n"/>
      <c r="AZ211" s="0" t="n"/>
      <c r="BA211" s="0" t="n"/>
      <c r="BB211" s="0" t="n"/>
      <c r="BC211" s="0" t="n"/>
      <c r="BD211" s="0" t="n"/>
      <c r="BE211" s="0" t="n"/>
      <c r="BF211" s="0" t="n"/>
      <c r="BG211" s="0" t="n"/>
      <c r="BH211" s="0" t="n"/>
      <c r="BI211" s="0" t="n"/>
      <c r="BJ211" s="0" t="n"/>
      <c r="BK211" s="0" t="n"/>
      <c r="BL211" s="0" t="n"/>
      <c r="BM211" s="0" t="n"/>
      <c r="BN211" s="0" t="n"/>
      <c r="BO211" s="0" t="n"/>
      <c r="BP211" s="0" t="n"/>
    </row>
    <row hidden="false" ht="15" outlineLevel="0" r="212">
      <c r="A212" s="116" t="n">
        <f aca="false" ca="false" dt2D="false" dtr="false" t="normal">+A211+1</f>
        <v>193</v>
      </c>
      <c r="B212" s="117" t="n">
        <f aca="false" ca="false" dt2D="false" dtr="false" t="normal">+B211+1</f>
        <v>5</v>
      </c>
      <c r="C212" s="104" t="s">
        <v>66</v>
      </c>
      <c r="D212" s="117" t="s">
        <v>69</v>
      </c>
      <c r="E212" s="113" t="n">
        <f aca="false" ca="true" dt2D="false" dtr="false" t="normal">SUBTOTAL(9, F212:T212)</f>
        <v>21777938.169999998</v>
      </c>
      <c r="F212" s="114" t="n"/>
      <c r="G212" s="114" t="n"/>
      <c r="H212" s="114" t="n">
        <v>3766305.47</v>
      </c>
      <c r="I212" s="114" t="n">
        <v>0</v>
      </c>
      <c r="J212" s="114" t="n">
        <v>0</v>
      </c>
      <c r="K212" s="114" t="n"/>
      <c r="L212" s="114" t="n"/>
      <c r="M212" s="114" t="n">
        <v>0</v>
      </c>
      <c r="N212" s="114" t="n">
        <v>0</v>
      </c>
      <c r="O212" s="114" t="n">
        <v>0</v>
      </c>
      <c r="P212" s="114" t="n">
        <v>17283832.8</v>
      </c>
      <c r="Q212" s="114" t="n"/>
      <c r="R212" s="114" t="n">
        <v>711799.9</v>
      </c>
      <c r="S212" s="114" t="n">
        <v>16000</v>
      </c>
      <c r="T212" s="115" t="n"/>
      <c r="U212" s="0" t="n"/>
      <c r="V212" s="0" t="n"/>
      <c r="W212" s="0" t="n"/>
      <c r="X212" s="0" t="n"/>
      <c r="Y212" s="0" t="n"/>
      <c r="Z212" s="0" t="n"/>
      <c r="AA212" s="0" t="n"/>
      <c r="AB212" s="0" t="n"/>
      <c r="AC212" s="0" t="n"/>
      <c r="AD212" s="0" t="n"/>
      <c r="AE212" s="0" t="n"/>
      <c r="AF212" s="0" t="n"/>
      <c r="AG212" s="0" t="n"/>
      <c r="AH212" s="0" t="n"/>
      <c r="AI212" s="0" t="n"/>
      <c r="AJ212" s="0" t="n"/>
      <c r="AK212" s="0" t="n"/>
      <c r="AL212" s="0" t="n"/>
      <c r="AM212" s="0" t="n"/>
      <c r="AN212" s="0" t="n"/>
      <c r="AO212" s="0" t="n"/>
      <c r="AP212" s="0" t="n"/>
      <c r="AQ212" s="0" t="n"/>
      <c r="AR212" s="0" t="n"/>
      <c r="AS212" s="0" t="n"/>
      <c r="AT212" s="0" t="n"/>
      <c r="AU212" s="0" t="n"/>
      <c r="AV212" s="0" t="n"/>
      <c r="AW212" s="0" t="n"/>
      <c r="AX212" s="0" t="n"/>
      <c r="AY212" s="0" t="n"/>
      <c r="AZ212" s="0" t="n"/>
      <c r="BA212" s="0" t="n"/>
      <c r="BB212" s="0" t="n"/>
      <c r="BC212" s="0" t="n"/>
      <c r="BD212" s="0" t="n"/>
      <c r="BE212" s="0" t="n"/>
      <c r="BF212" s="0" t="n"/>
      <c r="BG212" s="0" t="n"/>
      <c r="BH212" s="0" t="n"/>
      <c r="BI212" s="0" t="n"/>
      <c r="BJ212" s="0" t="n"/>
      <c r="BK212" s="0" t="n"/>
      <c r="BL212" s="0" t="n"/>
      <c r="BM212" s="0" t="n"/>
      <c r="BN212" s="0" t="n"/>
      <c r="BO212" s="0" t="n"/>
      <c r="BP212" s="0" t="n"/>
    </row>
    <row hidden="false" ht="15" outlineLevel="0" r="213">
      <c r="A213" s="116" t="n">
        <f aca="false" ca="false" dt2D="false" dtr="false" t="normal">+A212+1</f>
        <v>194</v>
      </c>
      <c r="B213" s="117" t="n">
        <f aca="false" ca="false" dt2D="false" dtr="false" t="normal">+B212+1</f>
        <v>6</v>
      </c>
      <c r="C213" s="104" t="s">
        <v>66</v>
      </c>
      <c r="D213" s="117" t="s">
        <v>70</v>
      </c>
      <c r="E213" s="113" t="n">
        <f aca="false" ca="true" dt2D="false" dtr="false" t="normal">SUBTOTAL(9, F213:T213)</f>
        <v>15325690.4</v>
      </c>
      <c r="F213" s="114" t="n"/>
      <c r="G213" s="191" t="n"/>
      <c r="H213" s="114" t="n">
        <v>2589897.61</v>
      </c>
      <c r="I213" s="191" t="n">
        <v>0</v>
      </c>
      <c r="J213" s="114" t="n">
        <v>0</v>
      </c>
      <c r="K213" s="114" t="n"/>
      <c r="L213" s="114" t="n"/>
      <c r="M213" s="114" t="n">
        <v>0</v>
      </c>
      <c r="N213" s="191" t="n">
        <v>0</v>
      </c>
      <c r="O213" s="191" t="n">
        <v>0</v>
      </c>
      <c r="P213" s="114" t="n">
        <v>12127268.4</v>
      </c>
      <c r="Q213" s="114" t="n"/>
      <c r="R213" s="114" t="n">
        <v>594524.39</v>
      </c>
      <c r="S213" s="114" t="n">
        <v>14000</v>
      </c>
      <c r="T213" s="115" t="n"/>
      <c r="U213" s="0" t="n"/>
      <c r="V213" s="0" t="n"/>
      <c r="W213" s="0" t="n"/>
      <c r="X213" s="0" t="n"/>
      <c r="Y213" s="0" t="n"/>
      <c r="Z213" s="0" t="n"/>
      <c r="AA213" s="0" t="n"/>
      <c r="AB213" s="0" t="n"/>
      <c r="AC213" s="0" t="n"/>
      <c r="AD213" s="0" t="n"/>
      <c r="AE213" s="0" t="n"/>
      <c r="AF213" s="0" t="n"/>
      <c r="AG213" s="0" t="n"/>
      <c r="AH213" s="0" t="n"/>
      <c r="AI213" s="0" t="n"/>
      <c r="AJ213" s="0" t="n"/>
      <c r="AK213" s="0" t="n"/>
      <c r="AL213" s="0" t="n"/>
      <c r="AM213" s="0" t="n"/>
      <c r="AN213" s="0" t="n"/>
      <c r="AO213" s="0" t="n"/>
      <c r="AP213" s="0" t="n"/>
      <c r="AQ213" s="0" t="n"/>
      <c r="AR213" s="0" t="n"/>
      <c r="AS213" s="0" t="n"/>
      <c r="AT213" s="0" t="n"/>
      <c r="AU213" s="0" t="n"/>
      <c r="AV213" s="0" t="n"/>
      <c r="AW213" s="0" t="n"/>
      <c r="AX213" s="0" t="n"/>
      <c r="AY213" s="0" t="n"/>
      <c r="AZ213" s="0" t="n"/>
      <c r="BA213" s="0" t="n"/>
      <c r="BB213" s="0" t="n"/>
      <c r="BC213" s="0" t="n"/>
      <c r="BD213" s="0" t="n"/>
      <c r="BE213" s="0" t="n"/>
      <c r="BF213" s="0" t="n"/>
      <c r="BG213" s="0" t="n"/>
      <c r="BH213" s="0" t="n"/>
      <c r="BI213" s="0" t="n"/>
      <c r="BJ213" s="0" t="n"/>
      <c r="BK213" s="0" t="n"/>
      <c r="BL213" s="0" t="n"/>
      <c r="BM213" s="0" t="n"/>
      <c r="BN213" s="0" t="n"/>
      <c r="BO213" s="0" t="n"/>
      <c r="BP213" s="0" t="n"/>
    </row>
    <row hidden="false" ht="15" outlineLevel="0" r="214">
      <c r="A214" s="116" t="n">
        <f aca="false" ca="false" dt2D="false" dtr="false" t="normal">+A213+1</f>
        <v>195</v>
      </c>
      <c r="B214" s="117" t="n">
        <f aca="false" ca="false" dt2D="false" dtr="false" t="normal">+B213+1</f>
        <v>7</v>
      </c>
      <c r="C214" s="104" t="s">
        <v>75</v>
      </c>
      <c r="D214" s="117" t="s">
        <v>311</v>
      </c>
      <c r="E214" s="113" t="n">
        <f aca="false" ca="true" dt2D="false" dtr="false" t="normal">SUBTOTAL(9, F214:T214)</f>
        <v>10867243.93</v>
      </c>
      <c r="F214" s="114" t="n">
        <v>0</v>
      </c>
      <c r="G214" s="114" t="n">
        <v>0</v>
      </c>
      <c r="H214" s="114" t="n">
        <v>1953253.18</v>
      </c>
      <c r="I214" s="114" t="n">
        <v>1982667.17</v>
      </c>
      <c r="J214" s="114" t="n">
        <v>0</v>
      </c>
      <c r="K214" s="114" t="n"/>
      <c r="L214" s="114" t="n"/>
      <c r="M214" s="114" t="n">
        <v>0</v>
      </c>
      <c r="N214" s="114" t="n">
        <v>0</v>
      </c>
      <c r="O214" s="114" t="n">
        <v>6881364.65</v>
      </c>
      <c r="P214" s="114" t="n"/>
      <c r="Q214" s="114" t="n"/>
      <c r="R214" s="114" t="n"/>
      <c r="S214" s="114" t="n"/>
      <c r="T214" s="115" t="n">
        <f aca="false" ca="false" dt2D="false" dtr="false" t="normal">32043.58+17915.35</f>
        <v>49958.93</v>
      </c>
      <c r="U214" s="0" t="n"/>
      <c r="V214" s="0" t="n"/>
      <c r="W214" s="0" t="n"/>
      <c r="X214" s="0" t="n"/>
      <c r="Y214" s="0" t="n"/>
      <c r="Z214" s="0" t="n"/>
      <c r="AA214" s="0" t="n"/>
      <c r="AB214" s="0" t="n"/>
      <c r="AC214" s="0" t="n"/>
      <c r="AD214" s="0" t="n"/>
      <c r="AE214" s="0" t="n"/>
      <c r="AF214" s="0" t="n"/>
      <c r="AG214" s="0" t="n"/>
      <c r="AH214" s="0" t="n"/>
      <c r="AI214" s="0" t="n"/>
      <c r="AJ214" s="0" t="n"/>
      <c r="AK214" s="0" t="n"/>
      <c r="AL214" s="0" t="n"/>
      <c r="AM214" s="0" t="n"/>
      <c r="AN214" s="0" t="n"/>
      <c r="AO214" s="0" t="n"/>
      <c r="AP214" s="0" t="n"/>
      <c r="AQ214" s="0" t="n"/>
      <c r="AR214" s="0" t="n"/>
      <c r="AS214" s="0" t="n"/>
      <c r="AT214" s="0" t="n"/>
      <c r="AU214" s="0" t="n"/>
      <c r="AV214" s="0" t="n"/>
      <c r="AW214" s="0" t="n"/>
      <c r="AX214" s="0" t="n"/>
      <c r="AY214" s="0" t="n"/>
      <c r="AZ214" s="0" t="n"/>
      <c r="BA214" s="0" t="n"/>
      <c r="BB214" s="0" t="n"/>
      <c r="BC214" s="0" t="n"/>
      <c r="BD214" s="0" t="n"/>
      <c r="BE214" s="0" t="n"/>
      <c r="BF214" s="0" t="n"/>
      <c r="BG214" s="0" t="n"/>
      <c r="BH214" s="0" t="n"/>
      <c r="BI214" s="0" t="n"/>
      <c r="BJ214" s="0" t="n"/>
      <c r="BK214" s="0" t="n"/>
      <c r="BL214" s="0" t="n"/>
      <c r="BM214" s="0" t="n"/>
      <c r="BN214" s="0" t="n"/>
      <c r="BO214" s="0" t="n"/>
      <c r="BP214" s="0" t="n"/>
    </row>
    <row hidden="false" ht="15" outlineLevel="0" r="215">
      <c r="A215" s="116" t="n">
        <f aca="false" ca="false" dt2D="false" dtr="false" t="normal">+A214+1</f>
        <v>196</v>
      </c>
      <c r="B215" s="117" t="n">
        <f aca="false" ca="false" dt2D="false" dtr="false" t="normal">+B214+1</f>
        <v>8</v>
      </c>
      <c r="C215" s="104" t="s">
        <v>78</v>
      </c>
      <c r="D215" s="117" t="s">
        <v>312</v>
      </c>
      <c r="E215" s="186" t="n">
        <f aca="false" ca="true" dt2D="false" dtr="false" t="normal">SUBTOTAL(9, F215:T215)</f>
        <v>6651944.44</v>
      </c>
      <c r="F215" s="114" t="n">
        <v>6547103.74</v>
      </c>
      <c r="G215" s="114" t="n">
        <v>0</v>
      </c>
      <c r="H215" s="114" t="n"/>
      <c r="I215" s="114" t="n">
        <v>0</v>
      </c>
      <c r="J215" s="114" t="n">
        <v>0</v>
      </c>
      <c r="K215" s="114" t="n"/>
      <c r="L215" s="114" t="n"/>
      <c r="M215" s="114" t="n">
        <v>0</v>
      </c>
      <c r="N215" s="114" t="n">
        <v>0</v>
      </c>
      <c r="O215" s="114" t="n">
        <v>0</v>
      </c>
      <c r="P215" s="114" t="n">
        <v>0</v>
      </c>
      <c r="Q215" s="114" t="n">
        <v>0</v>
      </c>
      <c r="R215" s="114" t="n"/>
      <c r="S215" s="114" t="n"/>
      <c r="T215" s="115" t="n">
        <v>104840.7</v>
      </c>
      <c r="U215" s="0" t="n"/>
      <c r="V215" s="0" t="n"/>
      <c r="W215" s="0" t="n"/>
      <c r="X215" s="0" t="n"/>
      <c r="Y215" s="0" t="n"/>
      <c r="Z215" s="0" t="n"/>
      <c r="AA215" s="0" t="n"/>
      <c r="AB215" s="0" t="n"/>
      <c r="AC215" s="0" t="n"/>
      <c r="AD215" s="0" t="n"/>
      <c r="AE215" s="0" t="n"/>
      <c r="AF215" s="0" t="n"/>
      <c r="AG215" s="0" t="n"/>
      <c r="AH215" s="0" t="n"/>
      <c r="AI215" s="0" t="n"/>
      <c r="AJ215" s="0" t="n"/>
      <c r="AK215" s="0" t="n"/>
      <c r="AL215" s="0" t="n"/>
      <c r="AM215" s="0" t="n"/>
      <c r="AN215" s="0" t="n"/>
      <c r="AO215" s="0" t="n"/>
      <c r="AP215" s="0" t="n"/>
      <c r="AQ215" s="0" t="n"/>
      <c r="AR215" s="0" t="n"/>
      <c r="AS215" s="0" t="n"/>
      <c r="AT215" s="0" t="n"/>
      <c r="AU215" s="0" t="n"/>
      <c r="AV215" s="0" t="n"/>
      <c r="AW215" s="0" t="n"/>
      <c r="AX215" s="0" t="n"/>
      <c r="AY215" s="0" t="n"/>
      <c r="AZ215" s="0" t="n"/>
      <c r="BA215" s="0" t="n"/>
      <c r="BB215" s="0" t="n"/>
      <c r="BC215" s="0" t="n"/>
      <c r="BD215" s="0" t="n"/>
      <c r="BE215" s="0" t="n"/>
      <c r="BF215" s="0" t="n"/>
      <c r="BG215" s="0" t="n"/>
      <c r="BH215" s="0" t="n"/>
      <c r="BI215" s="0" t="n"/>
      <c r="BJ215" s="0" t="n"/>
      <c r="BK215" s="0" t="n"/>
      <c r="BL215" s="0" t="n"/>
      <c r="BM215" s="0" t="n"/>
      <c r="BN215" s="0" t="n"/>
      <c r="BO215" s="0" t="n"/>
      <c r="BP215" s="0" t="n"/>
    </row>
    <row hidden="false" ht="15" outlineLevel="0" r="216">
      <c r="A216" s="116" t="n">
        <f aca="false" ca="false" dt2D="false" dtr="false" t="normal">+A215+1</f>
        <v>197</v>
      </c>
      <c r="B216" s="117" t="n">
        <f aca="false" ca="false" dt2D="false" dtr="false" t="normal">+B215+1</f>
        <v>9</v>
      </c>
      <c r="C216" s="104" t="s">
        <v>78</v>
      </c>
      <c r="D216" s="117" t="s">
        <v>85</v>
      </c>
      <c r="E216" s="186" t="n">
        <f aca="false" ca="true" dt2D="false" dtr="false" t="normal">SUBTOTAL(9, F216:T216)</f>
        <v>4115348.42</v>
      </c>
      <c r="F216" s="114" t="n"/>
      <c r="G216" s="114" t="n"/>
      <c r="H216" s="114" t="n">
        <v>0</v>
      </c>
      <c r="I216" s="114" t="n"/>
      <c r="J216" s="114" t="n">
        <v>0</v>
      </c>
      <c r="K216" s="114" t="n"/>
      <c r="L216" s="114" t="n"/>
      <c r="M216" s="114" t="n">
        <v>0</v>
      </c>
      <c r="N216" s="114" t="n">
        <v>0</v>
      </c>
      <c r="O216" s="114" t="n"/>
      <c r="P216" s="114" t="n">
        <v>4078338.76</v>
      </c>
      <c r="Q216" s="114" t="n">
        <v>0</v>
      </c>
      <c r="R216" s="114" t="n"/>
      <c r="S216" s="114" t="n"/>
      <c r="T216" s="115" t="n">
        <v>37009.66</v>
      </c>
      <c r="U216" s="0" t="n"/>
      <c r="V216" s="0" t="n"/>
      <c r="W216" s="0" t="n"/>
      <c r="X216" s="0" t="n"/>
      <c r="Y216" s="0" t="n"/>
      <c r="Z216" s="0" t="n"/>
      <c r="AA216" s="0" t="n"/>
      <c r="AB216" s="0" t="n"/>
      <c r="AC216" s="0" t="n"/>
      <c r="AD216" s="0" t="n"/>
      <c r="AE216" s="0" t="n"/>
      <c r="AF216" s="0" t="n"/>
      <c r="AG216" s="0" t="n"/>
      <c r="AH216" s="0" t="n"/>
      <c r="AI216" s="0" t="n"/>
      <c r="AJ216" s="0" t="n"/>
      <c r="AK216" s="0" t="n"/>
      <c r="AL216" s="0" t="n"/>
      <c r="AM216" s="0" t="n"/>
      <c r="AN216" s="0" t="n"/>
      <c r="AO216" s="0" t="n"/>
      <c r="AP216" s="0" t="n"/>
      <c r="AQ216" s="0" t="n"/>
      <c r="AR216" s="0" t="n"/>
      <c r="AS216" s="0" t="n"/>
      <c r="AT216" s="0" t="n"/>
      <c r="AU216" s="0" t="n"/>
      <c r="AV216" s="0" t="n"/>
      <c r="AW216" s="0" t="n"/>
      <c r="AX216" s="0" t="n"/>
      <c r="AY216" s="0" t="n"/>
      <c r="AZ216" s="0" t="n"/>
      <c r="BA216" s="0" t="n"/>
      <c r="BB216" s="0" t="n"/>
      <c r="BC216" s="0" t="n"/>
      <c r="BD216" s="0" t="n"/>
      <c r="BE216" s="0" t="n"/>
      <c r="BF216" s="0" t="n"/>
      <c r="BG216" s="0" t="n"/>
      <c r="BH216" s="0" t="n"/>
      <c r="BI216" s="0" t="n"/>
      <c r="BJ216" s="0" t="n"/>
      <c r="BK216" s="0" t="n"/>
      <c r="BL216" s="0" t="n"/>
      <c r="BM216" s="0" t="n"/>
      <c r="BN216" s="0" t="n"/>
      <c r="BO216" s="0" t="n"/>
      <c r="BP216" s="0" t="n"/>
    </row>
    <row hidden="false" ht="15" outlineLevel="0" r="217">
      <c r="A217" s="116" t="n">
        <f aca="false" ca="false" dt2D="false" dtr="false" t="normal">+A216+1</f>
        <v>198</v>
      </c>
      <c r="B217" s="117" t="n">
        <f aca="false" ca="false" dt2D="false" dtr="false" t="normal">+B216+1</f>
        <v>10</v>
      </c>
      <c r="C217" s="104" t="s">
        <v>78</v>
      </c>
      <c r="D217" s="117" t="s">
        <v>313</v>
      </c>
      <c r="E217" s="186" t="n">
        <f aca="false" ca="true" dt2D="false" dtr="false" t="normal">SUBTOTAL(9, F217:T217)</f>
        <v>4652447.5600000005</v>
      </c>
      <c r="F217" s="114" t="n">
        <v>1431154.42</v>
      </c>
      <c r="G217" s="114" t="n">
        <v>676787.87</v>
      </c>
      <c r="H217" s="114" t="n"/>
      <c r="I217" s="114" t="n">
        <v>524666.75</v>
      </c>
      <c r="J217" s="114" t="n">
        <v>0</v>
      </c>
      <c r="K217" s="114" t="n"/>
      <c r="L217" s="114" t="n"/>
      <c r="M217" s="114" t="n">
        <v>0</v>
      </c>
      <c r="N217" s="114" t="n">
        <v>2019838.52</v>
      </c>
      <c r="O217" s="114" t="n">
        <v>0</v>
      </c>
      <c r="P217" s="114" t="n">
        <v>0</v>
      </c>
      <c r="Q217" s="114" t="n">
        <v>0</v>
      </c>
      <c r="R217" s="114" t="n"/>
      <c r="S217" s="114" t="n"/>
      <c r="T217" s="115" t="n"/>
      <c r="U217" s="0" t="n"/>
      <c r="V217" s="0" t="n"/>
      <c r="W217" s="0" t="n"/>
      <c r="X217" s="0" t="n"/>
      <c r="Y217" s="0" t="n"/>
      <c r="Z217" s="0" t="n"/>
      <c r="AA217" s="0" t="n"/>
      <c r="AB217" s="0" t="n"/>
      <c r="AC217" s="0" t="n"/>
      <c r="AD217" s="0" t="n"/>
      <c r="AE217" s="0" t="n"/>
      <c r="AF217" s="0" t="n"/>
      <c r="AG217" s="0" t="n"/>
      <c r="AH217" s="0" t="n"/>
      <c r="AI217" s="0" t="n"/>
      <c r="AJ217" s="0" t="n"/>
      <c r="AK217" s="0" t="n"/>
      <c r="AL217" s="0" t="n"/>
      <c r="AM217" s="0" t="n"/>
      <c r="AN217" s="0" t="n"/>
      <c r="AO217" s="0" t="n"/>
      <c r="AP217" s="0" t="n"/>
      <c r="AQ217" s="0" t="n"/>
      <c r="AR217" s="0" t="n"/>
      <c r="AS217" s="0" t="n"/>
      <c r="AT217" s="0" t="n"/>
      <c r="AU217" s="0" t="n"/>
      <c r="AV217" s="0" t="n"/>
      <c r="AW217" s="0" t="n"/>
      <c r="AX217" s="0" t="n"/>
      <c r="AY217" s="0" t="n"/>
      <c r="AZ217" s="0" t="n"/>
      <c r="BA217" s="0" t="n"/>
      <c r="BB217" s="0" t="n"/>
      <c r="BC217" s="0" t="n"/>
      <c r="BD217" s="0" t="n"/>
      <c r="BE217" s="0" t="n"/>
      <c r="BF217" s="0" t="n"/>
      <c r="BG217" s="0" t="n"/>
      <c r="BH217" s="0" t="n"/>
      <c r="BI217" s="0" t="n"/>
      <c r="BJ217" s="0" t="n"/>
      <c r="BK217" s="0" t="n"/>
      <c r="BL217" s="0" t="n"/>
      <c r="BM217" s="0" t="n"/>
      <c r="BN217" s="0" t="n"/>
      <c r="BO217" s="0" t="n"/>
      <c r="BP217" s="0" t="n"/>
    </row>
    <row hidden="false" ht="15" outlineLevel="0" r="218">
      <c r="A218" s="116" t="n">
        <f aca="false" ca="false" dt2D="false" dtr="false" t="normal">+A217+1</f>
        <v>199</v>
      </c>
      <c r="B218" s="117" t="n">
        <f aca="false" ca="false" dt2D="false" dtr="false" t="normal">+B217+1</f>
        <v>11</v>
      </c>
      <c r="C218" s="104" t="s">
        <v>78</v>
      </c>
      <c r="D218" s="117" t="s">
        <v>87</v>
      </c>
      <c r="E218" s="113" t="n">
        <f aca="false" ca="true" dt2D="false" dtr="false" t="normal">SUBTOTAL(9, F218:T218)</f>
        <v>1472824.81</v>
      </c>
      <c r="F218" s="114" t="n">
        <v>1440738</v>
      </c>
      <c r="G218" s="114" t="n"/>
      <c r="H218" s="114" t="n"/>
      <c r="I218" s="114" t="n">
        <v>0</v>
      </c>
      <c r="J218" s="114" t="n">
        <v>0</v>
      </c>
      <c r="K218" s="114" t="n"/>
      <c r="L218" s="114" t="n"/>
      <c r="M218" s="114" t="n"/>
      <c r="N218" s="114" t="n"/>
      <c r="O218" s="114" t="n">
        <v>0</v>
      </c>
      <c r="P218" s="114" t="n">
        <v>0</v>
      </c>
      <c r="Q218" s="114" t="n">
        <v>0</v>
      </c>
      <c r="R218" s="114" t="n"/>
      <c r="S218" s="114" t="n"/>
      <c r="T218" s="115" t="n">
        <v>32086.81</v>
      </c>
      <c r="U218" s="0" t="n"/>
      <c r="V218" s="0" t="n"/>
      <c r="W218" s="0" t="n"/>
      <c r="X218" s="0" t="n"/>
      <c r="Y218" s="0" t="n"/>
      <c r="Z218" s="0" t="n"/>
      <c r="AA218" s="0" t="n"/>
      <c r="AB218" s="0" t="n"/>
      <c r="AC218" s="0" t="n"/>
      <c r="AD218" s="0" t="n"/>
      <c r="AE218" s="0" t="n"/>
      <c r="AF218" s="0" t="n"/>
      <c r="AG218" s="0" t="n"/>
      <c r="AH218" s="0" t="n"/>
      <c r="AI218" s="0" t="n"/>
      <c r="AJ218" s="0" t="n"/>
      <c r="AK218" s="0" t="n"/>
      <c r="AL218" s="0" t="n"/>
      <c r="AM218" s="0" t="n"/>
      <c r="AN218" s="0" t="n"/>
      <c r="AO218" s="0" t="n"/>
      <c r="AP218" s="0" t="n"/>
      <c r="AQ218" s="0" t="n"/>
      <c r="AR218" s="0" t="n"/>
      <c r="AS218" s="0" t="n"/>
      <c r="AT218" s="0" t="n"/>
      <c r="AU218" s="0" t="n"/>
      <c r="AV218" s="0" t="n"/>
      <c r="AW218" s="0" t="n"/>
      <c r="AX218" s="0" t="n"/>
      <c r="AY218" s="0" t="n"/>
      <c r="AZ218" s="0" t="n"/>
      <c r="BA218" s="0" t="n"/>
      <c r="BB218" s="0" t="n"/>
      <c r="BC218" s="0" t="n"/>
      <c r="BD218" s="0" t="n"/>
      <c r="BE218" s="0" t="n"/>
      <c r="BF218" s="0" t="n"/>
      <c r="BG218" s="0" t="n"/>
      <c r="BH218" s="0" t="n"/>
      <c r="BI218" s="0" t="n"/>
      <c r="BJ218" s="0" t="n"/>
      <c r="BK218" s="0" t="n"/>
      <c r="BL218" s="0" t="n"/>
      <c r="BM218" s="0" t="n"/>
      <c r="BN218" s="0" t="n"/>
      <c r="BO218" s="0" t="n"/>
      <c r="BP218" s="0" t="n"/>
    </row>
    <row hidden="false" ht="15" outlineLevel="0" r="219">
      <c r="A219" s="116" t="n">
        <f aca="false" ca="false" dt2D="false" dtr="false" t="normal">+A218+1</f>
        <v>200</v>
      </c>
      <c r="B219" s="117" t="n">
        <f aca="false" ca="false" dt2D="false" dtr="false" t="normal">+B218+1</f>
        <v>12</v>
      </c>
      <c r="C219" s="104" t="s">
        <v>78</v>
      </c>
      <c r="D219" s="117" t="s">
        <v>314</v>
      </c>
      <c r="E219" s="113" t="n">
        <f aca="false" ca="true" dt2D="false" dtr="false" t="normal">SUBTOTAL(9, F219:T219)</f>
        <v>1265002.8900000001</v>
      </c>
      <c r="F219" s="114" t="n"/>
      <c r="G219" s="114" t="n">
        <v>598205.16</v>
      </c>
      <c r="H219" s="114" t="n">
        <v>0</v>
      </c>
      <c r="I219" s="114" t="n">
        <v>649302.38</v>
      </c>
      <c r="J219" s="114" t="n">
        <v>0</v>
      </c>
      <c r="K219" s="114" t="n"/>
      <c r="L219" s="114" t="n"/>
      <c r="M219" s="114" t="n">
        <v>0</v>
      </c>
      <c r="N219" s="114" t="n">
        <v>0</v>
      </c>
      <c r="O219" s="114" t="n">
        <v>0</v>
      </c>
      <c r="P219" s="114" t="n">
        <v>0</v>
      </c>
      <c r="Q219" s="114" t="n">
        <v>0</v>
      </c>
      <c r="R219" s="114" t="n"/>
      <c r="S219" s="114" t="n"/>
      <c r="T219" s="115" t="n">
        <v>17495.35</v>
      </c>
      <c r="U219" s="0" t="n"/>
      <c r="V219" s="0" t="n"/>
      <c r="W219" s="0" t="n"/>
      <c r="X219" s="0" t="n"/>
      <c r="Y219" s="0" t="n"/>
      <c r="Z219" s="0" t="n"/>
      <c r="AA219" s="0" t="n"/>
      <c r="AB219" s="0" t="n"/>
      <c r="AC219" s="0" t="n"/>
      <c r="AD219" s="0" t="n"/>
      <c r="AE219" s="0" t="n"/>
      <c r="AF219" s="0" t="n"/>
      <c r="AG219" s="0" t="n"/>
      <c r="AH219" s="0" t="n"/>
      <c r="AI219" s="0" t="n"/>
      <c r="AJ219" s="0" t="n"/>
      <c r="AK219" s="0" t="n"/>
      <c r="AL219" s="0" t="n"/>
      <c r="AM219" s="0" t="n"/>
      <c r="AN219" s="0" t="n"/>
      <c r="AO219" s="0" t="n"/>
      <c r="AP219" s="0" t="n"/>
      <c r="AQ219" s="0" t="n"/>
      <c r="AR219" s="0" t="n"/>
      <c r="AS219" s="0" t="n"/>
      <c r="AT219" s="0" t="n"/>
      <c r="AU219" s="0" t="n"/>
      <c r="AV219" s="0" t="n"/>
      <c r="AW219" s="0" t="n"/>
      <c r="AX219" s="0" t="n"/>
      <c r="AY219" s="0" t="n"/>
      <c r="AZ219" s="0" t="n"/>
      <c r="BA219" s="0" t="n"/>
      <c r="BB219" s="0" t="n"/>
      <c r="BC219" s="0" t="n"/>
      <c r="BD219" s="0" t="n"/>
      <c r="BE219" s="0" t="n"/>
      <c r="BF219" s="0" t="n"/>
      <c r="BG219" s="0" t="n"/>
      <c r="BH219" s="0" t="n"/>
      <c r="BI219" s="0" t="n"/>
      <c r="BJ219" s="0" t="n"/>
      <c r="BK219" s="0" t="n"/>
      <c r="BL219" s="0" t="n"/>
      <c r="BM219" s="0" t="n"/>
      <c r="BN219" s="0" t="n"/>
      <c r="BO219" s="0" t="n"/>
      <c r="BP219" s="0" t="n"/>
    </row>
    <row hidden="false" ht="15" outlineLevel="0" r="220">
      <c r="A220" s="116" t="n">
        <f aca="false" ca="false" dt2D="false" dtr="false" t="normal">+A219+1</f>
        <v>201</v>
      </c>
      <c r="B220" s="117" t="n">
        <f aca="false" ca="false" dt2D="false" dtr="false" t="normal">+B219+1</f>
        <v>13</v>
      </c>
      <c r="C220" s="104" t="s">
        <v>78</v>
      </c>
      <c r="D220" s="117" t="s">
        <v>95</v>
      </c>
      <c r="E220" s="113" t="n">
        <f aca="false" ca="true" dt2D="false" dtr="false" t="normal">SUBTOTAL(9, F220:T220)</f>
        <v>4657286.09</v>
      </c>
      <c r="F220" s="114" t="n">
        <v>2785412.36</v>
      </c>
      <c r="G220" s="114" t="n"/>
      <c r="H220" s="114" t="n"/>
      <c r="I220" s="114" t="n">
        <v>1797583.57</v>
      </c>
      <c r="J220" s="114" t="n">
        <v>0</v>
      </c>
      <c r="K220" s="114" t="n"/>
      <c r="L220" s="114" t="n"/>
      <c r="M220" s="114" t="n">
        <v>0</v>
      </c>
      <c r="N220" s="114" t="n">
        <v>0</v>
      </c>
      <c r="O220" s="114" t="n">
        <v>0</v>
      </c>
      <c r="P220" s="114" t="n">
        <v>0</v>
      </c>
      <c r="Q220" s="114" t="n">
        <v>0</v>
      </c>
      <c r="R220" s="114" t="n"/>
      <c r="S220" s="114" t="n"/>
      <c r="T220" s="115" t="n">
        <f aca="false" ca="false" dt2D="false" dtr="false" t="normal">47685.81+26604.35</f>
        <v>74290.16</v>
      </c>
      <c r="U220" s="0" t="n"/>
      <c r="V220" s="0" t="n"/>
      <c r="W220" s="0" t="n"/>
      <c r="X220" s="0" t="n"/>
      <c r="Y220" s="0" t="n"/>
      <c r="Z220" s="0" t="n"/>
      <c r="AA220" s="0" t="n"/>
      <c r="AB220" s="0" t="n"/>
      <c r="AC220" s="0" t="n"/>
      <c r="AD220" s="0" t="n"/>
      <c r="AE220" s="0" t="n"/>
      <c r="AF220" s="0" t="n"/>
      <c r="AG220" s="0" t="n"/>
      <c r="AH220" s="0" t="n"/>
      <c r="AI220" s="0" t="n"/>
      <c r="AJ220" s="0" t="n"/>
      <c r="AK220" s="0" t="n"/>
      <c r="AL220" s="0" t="n"/>
      <c r="AM220" s="0" t="n"/>
      <c r="AN220" s="0" t="n"/>
      <c r="AO220" s="0" t="n"/>
      <c r="AP220" s="0" t="n"/>
      <c r="AQ220" s="0" t="n"/>
      <c r="AR220" s="0" t="n"/>
      <c r="AS220" s="0" t="n"/>
      <c r="AT220" s="0" t="n"/>
      <c r="AU220" s="0" t="n"/>
      <c r="AV220" s="0" t="n"/>
      <c r="AW220" s="0" t="n"/>
      <c r="AX220" s="0" t="n"/>
      <c r="AY220" s="0" t="n"/>
      <c r="AZ220" s="0" t="n"/>
      <c r="BA220" s="0" t="n"/>
      <c r="BB220" s="0" t="n"/>
      <c r="BC220" s="0" t="n"/>
      <c r="BD220" s="0" t="n"/>
      <c r="BE220" s="0" t="n"/>
      <c r="BF220" s="0" t="n"/>
      <c r="BG220" s="0" t="n"/>
      <c r="BH220" s="0" t="n"/>
      <c r="BI220" s="0" t="n"/>
      <c r="BJ220" s="0" t="n"/>
      <c r="BK220" s="0" t="n"/>
      <c r="BL220" s="0" t="n"/>
      <c r="BM220" s="0" t="n"/>
      <c r="BN220" s="0" t="n"/>
      <c r="BO220" s="0" t="n"/>
      <c r="BP220" s="0" t="n"/>
    </row>
    <row hidden="false" ht="15" outlineLevel="0" r="221">
      <c r="A221" s="116" t="n">
        <f aca="false" ca="false" dt2D="false" dtr="false" t="normal">+A220+1</f>
        <v>202</v>
      </c>
      <c r="B221" s="117" t="n">
        <f aca="false" ca="false" dt2D="false" dtr="false" t="normal">+B220+1</f>
        <v>14</v>
      </c>
      <c r="C221" s="104" t="s">
        <v>78</v>
      </c>
      <c r="D221" s="117" t="s">
        <v>98</v>
      </c>
      <c r="E221" s="113" t="n">
        <f aca="false" ca="true" dt2D="false" dtr="false" t="normal">SUBTOTAL(9, F221:T221)</f>
        <v>998067.65</v>
      </c>
      <c r="F221" s="114" t="n"/>
      <c r="G221" s="114" t="n">
        <v>0</v>
      </c>
      <c r="H221" s="114" t="n">
        <v>0</v>
      </c>
      <c r="I221" s="114" t="n">
        <v>998067.65</v>
      </c>
      <c r="J221" s="114" t="n">
        <v>0</v>
      </c>
      <c r="K221" s="114" t="n"/>
      <c r="L221" s="114" t="n"/>
      <c r="M221" s="114" t="n">
        <v>0</v>
      </c>
      <c r="N221" s="114" t="n">
        <v>0</v>
      </c>
      <c r="O221" s="114" t="n"/>
      <c r="P221" s="114" t="n">
        <v>0</v>
      </c>
      <c r="Q221" s="114" t="n">
        <v>0</v>
      </c>
      <c r="R221" s="114" t="n"/>
      <c r="S221" s="114" t="n"/>
      <c r="T221" s="115" t="n"/>
      <c r="U221" s="0" t="n"/>
      <c r="V221" s="0" t="n"/>
      <c r="W221" s="0" t="n"/>
      <c r="X221" s="0" t="n"/>
      <c r="Y221" s="0" t="n"/>
      <c r="Z221" s="0" t="n"/>
      <c r="AA221" s="0" t="n"/>
      <c r="AB221" s="0" t="n"/>
      <c r="AC221" s="0" t="n"/>
      <c r="AD221" s="0" t="n"/>
      <c r="AE221" s="0" t="n"/>
      <c r="AF221" s="0" t="n"/>
      <c r="AG221" s="0" t="n"/>
      <c r="AH221" s="0" t="n"/>
      <c r="AI221" s="0" t="n"/>
      <c r="AJ221" s="0" t="n"/>
      <c r="AK221" s="0" t="n"/>
      <c r="AL221" s="0" t="n"/>
      <c r="AM221" s="0" t="n"/>
      <c r="AN221" s="0" t="n"/>
      <c r="AO221" s="0" t="n"/>
      <c r="AP221" s="0" t="n"/>
      <c r="AQ221" s="0" t="n"/>
      <c r="AR221" s="0" t="n"/>
      <c r="AS221" s="0" t="n"/>
      <c r="AT221" s="0" t="n"/>
      <c r="AU221" s="0" t="n"/>
      <c r="AV221" s="0" t="n"/>
      <c r="AW221" s="0" t="n"/>
      <c r="AX221" s="0" t="n"/>
      <c r="AY221" s="0" t="n"/>
      <c r="AZ221" s="0" t="n"/>
      <c r="BA221" s="0" t="n"/>
      <c r="BB221" s="0" t="n"/>
      <c r="BC221" s="0" t="n"/>
      <c r="BD221" s="0" t="n"/>
      <c r="BE221" s="0" t="n"/>
      <c r="BF221" s="0" t="n"/>
      <c r="BG221" s="0" t="n"/>
      <c r="BH221" s="0" t="n"/>
      <c r="BI221" s="0" t="n"/>
      <c r="BJ221" s="0" t="n"/>
      <c r="BK221" s="0" t="n"/>
      <c r="BL221" s="0" t="n"/>
      <c r="BM221" s="0" t="n"/>
      <c r="BN221" s="0" t="n"/>
      <c r="BO221" s="0" t="n"/>
      <c r="BP221" s="0" t="n"/>
    </row>
    <row hidden="false" ht="15" outlineLevel="0" r="222">
      <c r="A222" s="116" t="n">
        <f aca="false" ca="false" dt2D="false" dtr="false" t="normal">+A221+1</f>
        <v>203</v>
      </c>
      <c r="B222" s="117" t="n">
        <f aca="false" ca="false" dt2D="false" dtr="false" t="normal">+B221+1</f>
        <v>15</v>
      </c>
      <c r="C222" s="104" t="s">
        <v>78</v>
      </c>
      <c r="D222" s="117" t="s">
        <v>107</v>
      </c>
      <c r="E222" s="113" t="n">
        <f aca="false" ca="true" dt2D="false" dtr="false" t="normal">SUBTOTAL(9, F222:T222)</f>
        <v>8234860.98</v>
      </c>
      <c r="F222" s="114" t="n">
        <v>0</v>
      </c>
      <c r="G222" s="114" t="n">
        <v>0</v>
      </c>
      <c r="H222" s="114" t="n">
        <v>0</v>
      </c>
      <c r="I222" s="114" t="n">
        <v>0</v>
      </c>
      <c r="J222" s="114" t="n">
        <v>0</v>
      </c>
      <c r="K222" s="114" t="n"/>
      <c r="L222" s="114" t="n"/>
      <c r="M222" s="114" t="n">
        <v>0</v>
      </c>
      <c r="N222" s="114" t="n">
        <v>8234860.98</v>
      </c>
      <c r="O222" s="114" t="n">
        <v>0</v>
      </c>
      <c r="P222" s="114" t="n"/>
      <c r="Q222" s="114" t="n">
        <v>0</v>
      </c>
      <c r="R222" s="114" t="n"/>
      <c r="S222" s="114" t="n"/>
      <c r="T222" s="115" t="n"/>
      <c r="U222" s="0" t="n"/>
      <c r="V222" s="0" t="n"/>
      <c r="W222" s="0" t="n"/>
      <c r="X222" s="0" t="n"/>
      <c r="Y222" s="0" t="n"/>
      <c r="Z222" s="0" t="n"/>
      <c r="AA222" s="0" t="n"/>
      <c r="AB222" s="0" t="n"/>
      <c r="AC222" s="0" t="n"/>
      <c r="AD222" s="0" t="n"/>
      <c r="AE222" s="0" t="n"/>
      <c r="AF222" s="0" t="n"/>
      <c r="AG222" s="0" t="n"/>
      <c r="AH222" s="0" t="n"/>
      <c r="AI222" s="0" t="n"/>
      <c r="AJ222" s="0" t="n"/>
      <c r="AK222" s="0" t="n"/>
      <c r="AL222" s="0" t="n"/>
      <c r="AM222" s="0" t="n"/>
      <c r="AN222" s="0" t="n"/>
      <c r="AO222" s="0" t="n"/>
      <c r="AP222" s="0" t="n"/>
      <c r="AQ222" s="0" t="n"/>
      <c r="AR222" s="0" t="n"/>
      <c r="AS222" s="0" t="n"/>
      <c r="AT222" s="0" t="n"/>
      <c r="AU222" s="0" t="n"/>
      <c r="AV222" s="0" t="n"/>
      <c r="AW222" s="0" t="n"/>
      <c r="AX222" s="0" t="n"/>
      <c r="AY222" s="0" t="n"/>
      <c r="AZ222" s="0" t="n"/>
      <c r="BA222" s="0" t="n"/>
      <c r="BB222" s="0" t="n"/>
      <c r="BC222" s="0" t="n"/>
      <c r="BD222" s="0" t="n"/>
      <c r="BE222" s="0" t="n"/>
      <c r="BF222" s="0" t="n"/>
      <c r="BG222" s="0" t="n"/>
      <c r="BH222" s="0" t="n"/>
      <c r="BI222" s="0" t="n"/>
      <c r="BJ222" s="0" t="n"/>
      <c r="BK222" s="0" t="n"/>
      <c r="BL222" s="0" t="n"/>
      <c r="BM222" s="0" t="n"/>
      <c r="BN222" s="0" t="n"/>
      <c r="BO222" s="0" t="n"/>
      <c r="BP222" s="0" t="n"/>
    </row>
    <row hidden="false" ht="15" outlineLevel="0" r="223">
      <c r="A223" s="116" t="n">
        <f aca="false" ca="false" dt2D="false" dtr="false" t="normal">+A222+1</f>
        <v>204</v>
      </c>
      <c r="B223" s="117" t="n">
        <f aca="false" ca="false" dt2D="false" dtr="false" t="normal">+B222+1</f>
        <v>16</v>
      </c>
      <c r="C223" s="104" t="s">
        <v>78</v>
      </c>
      <c r="D223" s="117" t="s">
        <v>315</v>
      </c>
      <c r="E223" s="186" t="n">
        <f aca="false" ca="true" dt2D="false" dtr="false" t="normal">SUBTOTAL(9, F223:T223)</f>
        <v>8726659.43</v>
      </c>
      <c r="F223" s="114" t="n"/>
      <c r="G223" s="114" t="n">
        <v>0</v>
      </c>
      <c r="H223" s="114" t="n">
        <v>0</v>
      </c>
      <c r="I223" s="114" t="n"/>
      <c r="J223" s="114" t="n">
        <v>0</v>
      </c>
      <c r="K223" s="114" t="n"/>
      <c r="M223" s="114" t="n">
        <v>0</v>
      </c>
      <c r="N223" s="114" t="n">
        <v>8726659.43</v>
      </c>
      <c r="O223" s="114" t="n"/>
      <c r="P223" s="114" t="n">
        <v>0</v>
      </c>
      <c r="Q223" s="114" t="n">
        <v>0</v>
      </c>
      <c r="R223" s="114" t="n"/>
      <c r="S223" s="114" t="n"/>
      <c r="T223" s="115" t="n"/>
      <c r="U223" s="0" t="n"/>
      <c r="V223" s="0" t="n"/>
      <c r="W223" s="0" t="n"/>
      <c r="X223" s="0" t="n"/>
      <c r="Y223" s="0" t="n"/>
      <c r="Z223" s="0" t="n"/>
      <c r="AA223" s="0" t="n"/>
      <c r="AB223" s="0" t="n"/>
      <c r="AC223" s="0" t="n"/>
      <c r="AD223" s="0" t="n"/>
      <c r="AE223" s="0" t="n"/>
      <c r="AF223" s="0" t="n"/>
      <c r="AG223" s="0" t="n"/>
      <c r="AH223" s="0" t="n"/>
      <c r="AI223" s="0" t="n"/>
      <c r="AJ223" s="0" t="n"/>
      <c r="AK223" s="0" t="n"/>
      <c r="AL223" s="0" t="n"/>
      <c r="AM223" s="0" t="n"/>
      <c r="AN223" s="0" t="n"/>
      <c r="AO223" s="0" t="n"/>
      <c r="AP223" s="0" t="n"/>
      <c r="AQ223" s="0" t="n"/>
      <c r="AR223" s="0" t="n"/>
      <c r="AS223" s="0" t="n"/>
      <c r="AT223" s="0" t="n"/>
      <c r="AU223" s="0" t="n"/>
      <c r="AV223" s="0" t="n"/>
      <c r="AW223" s="0" t="n"/>
      <c r="AX223" s="0" t="n"/>
      <c r="AY223" s="0" t="n"/>
      <c r="AZ223" s="0" t="n"/>
      <c r="BA223" s="0" t="n"/>
      <c r="BB223" s="0" t="n"/>
      <c r="BC223" s="0" t="n"/>
      <c r="BD223" s="0" t="n"/>
      <c r="BE223" s="0" t="n"/>
      <c r="BF223" s="0" t="n"/>
      <c r="BG223" s="0" t="n"/>
      <c r="BH223" s="0" t="n"/>
      <c r="BI223" s="0" t="n"/>
      <c r="BJ223" s="0" t="n"/>
      <c r="BK223" s="0" t="n"/>
      <c r="BL223" s="0" t="n"/>
      <c r="BM223" s="0" t="n"/>
      <c r="BN223" s="0" t="n"/>
      <c r="BO223" s="0" t="n"/>
      <c r="BP223" s="0" t="n"/>
    </row>
    <row hidden="false" ht="15" outlineLevel="0" r="224">
      <c r="A224" s="116" t="n">
        <f aca="false" ca="false" dt2D="false" dtr="false" t="normal">+A223+1</f>
        <v>205</v>
      </c>
      <c r="B224" s="117" t="n">
        <f aca="false" ca="false" dt2D="false" dtr="false" t="normal">+B223+1</f>
        <v>17</v>
      </c>
      <c r="C224" s="104" t="s">
        <v>78</v>
      </c>
      <c r="D224" s="117" t="s">
        <v>316</v>
      </c>
      <c r="E224" s="113" t="n">
        <f aca="false" ca="true" dt2D="false" dtr="false" t="normal">SUBTOTAL(9, F224:T224)</f>
        <v>25012527.400000002</v>
      </c>
      <c r="F224" s="114" t="n">
        <v>5599179.59</v>
      </c>
      <c r="G224" s="114" t="n">
        <v>4577737.76</v>
      </c>
      <c r="H224" s="114" t="n">
        <v>0</v>
      </c>
      <c r="I224" s="114" t="n">
        <v>0</v>
      </c>
      <c r="J224" s="114" t="n">
        <v>0</v>
      </c>
      <c r="K224" s="114" t="n"/>
      <c r="L224" s="114" t="n"/>
      <c r="M224" s="114" t="n">
        <v>0</v>
      </c>
      <c r="N224" s="114" t="n">
        <v>7920633.25</v>
      </c>
      <c r="O224" s="114" t="n">
        <v>6914976.8</v>
      </c>
      <c r="P224" s="114" t="n">
        <v>0</v>
      </c>
      <c r="Q224" s="114" t="n">
        <v>0</v>
      </c>
      <c r="R224" s="114" t="n"/>
      <c r="S224" s="114" t="n"/>
      <c r="T224" s="115" t="n"/>
      <c r="U224" s="0" t="n"/>
      <c r="V224" s="0" t="n"/>
      <c r="W224" s="0" t="n"/>
      <c r="X224" s="0" t="n"/>
      <c r="Y224" s="0" t="n"/>
      <c r="Z224" s="0" t="n"/>
      <c r="AA224" s="0" t="n"/>
      <c r="AB224" s="0" t="n"/>
      <c r="AC224" s="0" t="n"/>
      <c r="AD224" s="0" t="n"/>
      <c r="AE224" s="0" t="n"/>
      <c r="AF224" s="0" t="n"/>
      <c r="AG224" s="0" t="n"/>
      <c r="AH224" s="0" t="n"/>
      <c r="AI224" s="0" t="n"/>
      <c r="AJ224" s="0" t="n"/>
      <c r="AK224" s="0" t="n"/>
      <c r="AL224" s="0" t="n"/>
      <c r="AM224" s="0" t="n"/>
      <c r="AN224" s="0" t="n"/>
      <c r="AO224" s="0" t="n"/>
      <c r="AP224" s="0" t="n"/>
      <c r="AQ224" s="0" t="n"/>
      <c r="AR224" s="0" t="n"/>
      <c r="AS224" s="0" t="n"/>
      <c r="AT224" s="0" t="n"/>
      <c r="AU224" s="0" t="n"/>
      <c r="AV224" s="0" t="n"/>
      <c r="AW224" s="0" t="n"/>
      <c r="AX224" s="0" t="n"/>
      <c r="AY224" s="0" t="n"/>
      <c r="AZ224" s="0" t="n"/>
      <c r="BA224" s="0" t="n"/>
      <c r="BB224" s="0" t="n"/>
      <c r="BC224" s="0" t="n"/>
      <c r="BD224" s="0" t="n"/>
      <c r="BE224" s="0" t="n"/>
      <c r="BF224" s="0" t="n"/>
      <c r="BG224" s="0" t="n"/>
      <c r="BH224" s="0" t="n"/>
      <c r="BI224" s="0" t="n"/>
      <c r="BJ224" s="0" t="n"/>
      <c r="BK224" s="0" t="n"/>
      <c r="BL224" s="0" t="n"/>
      <c r="BM224" s="0" t="n"/>
      <c r="BN224" s="0" t="n"/>
      <c r="BO224" s="0" t="n"/>
      <c r="BP224" s="0" t="n"/>
    </row>
    <row hidden="false" ht="15" outlineLevel="0" r="225">
      <c r="A225" s="116" t="n">
        <f aca="false" ca="false" dt2D="false" dtr="false" t="normal">+A224+1</f>
        <v>206</v>
      </c>
      <c r="B225" s="117" t="n">
        <f aca="false" ca="false" dt2D="false" dtr="false" t="normal">+B224+1</f>
        <v>18</v>
      </c>
      <c r="C225" s="104" t="s">
        <v>78</v>
      </c>
      <c r="D225" s="117" t="s">
        <v>317</v>
      </c>
      <c r="E225" s="113" t="n">
        <f aca="false" ca="true" dt2D="false" dtr="false" t="normal">SUBTOTAL(9, F225:T225)</f>
        <v>4321774.35</v>
      </c>
      <c r="F225" s="114" t="n">
        <v>0</v>
      </c>
      <c r="G225" s="114" t="n">
        <v>0</v>
      </c>
      <c r="H225" s="114" t="n"/>
      <c r="I225" s="114" t="n">
        <v>0</v>
      </c>
      <c r="J225" s="114" t="n">
        <v>0</v>
      </c>
      <c r="K225" s="114" t="n"/>
      <c r="L225" s="114" t="n"/>
      <c r="M225" s="114" t="n">
        <v>0</v>
      </c>
      <c r="N225" s="114" t="n">
        <v>0</v>
      </c>
      <c r="O225" s="114" t="n">
        <v>4285501.51</v>
      </c>
      <c r="P225" s="114" t="n">
        <v>0</v>
      </c>
      <c r="Q225" s="114" t="n">
        <v>0</v>
      </c>
      <c r="R225" s="114" t="n"/>
      <c r="S225" s="114" t="n"/>
      <c r="T225" s="115" t="n">
        <v>36272.84</v>
      </c>
      <c r="U225" s="0" t="n"/>
      <c r="V225" s="0" t="n"/>
      <c r="W225" s="0" t="n"/>
      <c r="X225" s="0" t="n"/>
      <c r="Y225" s="0" t="n"/>
      <c r="Z225" s="0" t="n"/>
      <c r="AA225" s="0" t="n"/>
      <c r="AB225" s="0" t="n"/>
      <c r="AC225" s="0" t="n"/>
      <c r="AD225" s="0" t="n"/>
      <c r="AE225" s="0" t="n"/>
      <c r="AF225" s="0" t="n"/>
      <c r="AG225" s="0" t="n"/>
      <c r="AH225" s="0" t="n"/>
      <c r="AI225" s="0" t="n"/>
      <c r="AJ225" s="0" t="n"/>
      <c r="AK225" s="0" t="n"/>
      <c r="AL225" s="0" t="n"/>
      <c r="AM225" s="0" t="n"/>
      <c r="AN225" s="0" t="n"/>
      <c r="AO225" s="0" t="n"/>
      <c r="AP225" s="0" t="n"/>
      <c r="AQ225" s="0" t="n"/>
      <c r="AR225" s="0" t="n"/>
      <c r="AS225" s="0" t="n"/>
      <c r="AT225" s="0" t="n"/>
      <c r="AU225" s="0" t="n"/>
      <c r="AV225" s="0" t="n"/>
      <c r="AW225" s="0" t="n"/>
      <c r="AX225" s="0" t="n"/>
      <c r="AY225" s="0" t="n"/>
      <c r="AZ225" s="0" t="n"/>
      <c r="BA225" s="0" t="n"/>
      <c r="BB225" s="0" t="n"/>
      <c r="BC225" s="0" t="n"/>
      <c r="BD225" s="0" t="n"/>
      <c r="BE225" s="0" t="n"/>
      <c r="BF225" s="0" t="n"/>
      <c r="BG225" s="0" t="n"/>
      <c r="BH225" s="0" t="n"/>
      <c r="BI225" s="0" t="n"/>
      <c r="BJ225" s="0" t="n"/>
      <c r="BK225" s="0" t="n"/>
      <c r="BL225" s="0" t="n"/>
      <c r="BM225" s="0" t="n"/>
      <c r="BN225" s="0" t="n"/>
      <c r="BO225" s="0" t="n"/>
      <c r="BP225" s="0" t="n"/>
    </row>
    <row hidden="false" ht="15" outlineLevel="0" r="226">
      <c r="A226" s="116" t="n">
        <f aca="false" ca="false" dt2D="false" dtr="false" t="normal">+A225+1</f>
        <v>207</v>
      </c>
      <c r="B226" s="117" t="n">
        <f aca="false" ca="false" dt2D="false" dtr="false" t="normal">+B225+1</f>
        <v>19</v>
      </c>
      <c r="C226" s="104" t="s">
        <v>78</v>
      </c>
      <c r="D226" s="117" t="s">
        <v>318</v>
      </c>
      <c r="E226" s="113" t="n">
        <f aca="false" ca="true" dt2D="false" dtr="false" t="normal">SUBTOTAL(9, F226:T226)</f>
        <v>9852311.08</v>
      </c>
      <c r="F226" s="114" t="n">
        <v>6213317.02</v>
      </c>
      <c r="G226" s="114" t="n">
        <v>0</v>
      </c>
      <c r="H226" s="114" t="n"/>
      <c r="I226" s="114" t="n">
        <v>3638994.06</v>
      </c>
      <c r="J226" s="114" t="n">
        <v>0</v>
      </c>
      <c r="K226" s="114" t="n"/>
      <c r="L226" s="114" t="n"/>
      <c r="M226" s="114" t="n">
        <v>0</v>
      </c>
      <c r="N226" s="114" t="n">
        <v>0</v>
      </c>
      <c r="O226" s="114" t="n">
        <v>0</v>
      </c>
      <c r="P226" s="114" t="n">
        <v>0</v>
      </c>
      <c r="Q226" s="114" t="n">
        <v>0</v>
      </c>
      <c r="R226" s="114" t="n"/>
      <c r="S226" s="114" t="n"/>
      <c r="T226" s="115" t="n"/>
      <c r="U226" s="0" t="n"/>
      <c r="V226" s="0" t="n"/>
      <c r="W226" s="0" t="n"/>
      <c r="X226" s="0" t="n"/>
      <c r="Y226" s="0" t="n"/>
      <c r="Z226" s="0" t="n"/>
      <c r="AA226" s="0" t="n"/>
      <c r="AB226" s="0" t="n"/>
      <c r="AC226" s="0" t="n"/>
      <c r="AD226" s="0" t="n"/>
      <c r="AE226" s="0" t="n"/>
      <c r="AF226" s="0" t="n"/>
      <c r="AG226" s="0" t="n"/>
      <c r="AH226" s="0" t="n"/>
      <c r="AI226" s="0" t="n"/>
      <c r="AJ226" s="0" t="n"/>
      <c r="AK226" s="0" t="n"/>
      <c r="AL226" s="0" t="n"/>
      <c r="AM226" s="0" t="n"/>
      <c r="AN226" s="0" t="n"/>
      <c r="AO226" s="0" t="n"/>
      <c r="AP226" s="0" t="n"/>
      <c r="AQ226" s="0" t="n"/>
      <c r="AR226" s="0" t="n"/>
      <c r="AS226" s="0" t="n"/>
      <c r="AT226" s="0" t="n"/>
      <c r="AU226" s="0" t="n"/>
      <c r="AV226" s="0" t="n"/>
      <c r="AW226" s="0" t="n"/>
      <c r="AX226" s="0" t="n"/>
      <c r="AY226" s="0" t="n"/>
      <c r="AZ226" s="0" t="n"/>
      <c r="BA226" s="0" t="n"/>
      <c r="BB226" s="0" t="n"/>
      <c r="BC226" s="0" t="n"/>
      <c r="BD226" s="0" t="n"/>
      <c r="BE226" s="0" t="n"/>
      <c r="BF226" s="0" t="n"/>
      <c r="BG226" s="0" t="n"/>
      <c r="BH226" s="0" t="n"/>
      <c r="BI226" s="0" t="n"/>
      <c r="BJ226" s="0" t="n"/>
      <c r="BK226" s="0" t="n"/>
      <c r="BL226" s="0" t="n"/>
      <c r="BM226" s="0" t="n"/>
      <c r="BN226" s="0" t="n"/>
      <c r="BO226" s="0" t="n"/>
      <c r="BP226" s="0" t="n"/>
    </row>
    <row hidden="false" ht="15" outlineLevel="0" r="227">
      <c r="A227" s="116" t="n">
        <f aca="false" ca="false" dt2D="false" dtr="false" t="normal">+A226+1</f>
        <v>208</v>
      </c>
      <c r="B227" s="117" t="n">
        <f aca="false" ca="false" dt2D="false" dtr="false" t="normal">+B226+1</f>
        <v>20</v>
      </c>
      <c r="C227" s="104" t="s">
        <v>78</v>
      </c>
      <c r="D227" s="117" t="s">
        <v>319</v>
      </c>
      <c r="E227" s="113" t="n">
        <f aca="false" ca="true" dt2D="false" dtr="false" t="normal">SUBTOTAL(9, F227:T227)</f>
        <v>9748997.29</v>
      </c>
      <c r="F227" s="114" t="n">
        <v>6214077.55</v>
      </c>
      <c r="G227" s="114" t="n">
        <v>0</v>
      </c>
      <c r="H227" s="114" t="n"/>
      <c r="I227" s="114" t="n">
        <v>3534919.74</v>
      </c>
      <c r="J227" s="114" t="n">
        <v>0</v>
      </c>
      <c r="K227" s="114" t="n"/>
      <c r="L227" s="114" t="n"/>
      <c r="M227" s="114" t="n">
        <v>0</v>
      </c>
      <c r="N227" s="114" t="n">
        <v>0</v>
      </c>
      <c r="O227" s="114" t="n">
        <v>0</v>
      </c>
      <c r="P227" s="114" t="n">
        <v>0</v>
      </c>
      <c r="Q227" s="114" t="n">
        <v>0</v>
      </c>
      <c r="R227" s="114" t="n"/>
      <c r="S227" s="114" t="n"/>
      <c r="T227" s="115" t="n"/>
      <c r="U227" s="0" t="n"/>
      <c r="V227" s="0" t="n"/>
      <c r="W227" s="0" t="n"/>
      <c r="X227" s="0" t="n"/>
      <c r="Y227" s="0" t="n"/>
      <c r="Z227" s="0" t="n"/>
      <c r="AA227" s="0" t="n"/>
      <c r="AB227" s="0" t="n"/>
      <c r="AC227" s="0" t="n"/>
      <c r="AD227" s="0" t="n"/>
      <c r="AE227" s="0" t="n"/>
      <c r="AF227" s="0" t="n"/>
      <c r="AG227" s="0" t="n"/>
      <c r="AH227" s="0" t="n"/>
      <c r="AI227" s="0" t="n"/>
      <c r="AJ227" s="0" t="n"/>
      <c r="AK227" s="0" t="n"/>
      <c r="AL227" s="0" t="n"/>
      <c r="AM227" s="0" t="n"/>
      <c r="AN227" s="0" t="n"/>
      <c r="AO227" s="0" t="n"/>
      <c r="AP227" s="0" t="n"/>
      <c r="AQ227" s="0" t="n"/>
      <c r="AR227" s="0" t="n"/>
      <c r="AS227" s="0" t="n"/>
      <c r="AT227" s="0" t="n"/>
      <c r="AU227" s="0" t="n"/>
      <c r="AV227" s="0" t="n"/>
      <c r="AW227" s="0" t="n"/>
      <c r="AX227" s="0" t="n"/>
      <c r="AY227" s="0" t="n"/>
      <c r="AZ227" s="0" t="n"/>
      <c r="BA227" s="0" t="n"/>
      <c r="BB227" s="0" t="n"/>
      <c r="BC227" s="0" t="n"/>
      <c r="BD227" s="0" t="n"/>
      <c r="BE227" s="0" t="n"/>
      <c r="BF227" s="0" t="n"/>
      <c r="BG227" s="0" t="n"/>
      <c r="BH227" s="0" t="n"/>
      <c r="BI227" s="0" t="n"/>
      <c r="BJ227" s="0" t="n"/>
      <c r="BK227" s="0" t="n"/>
      <c r="BL227" s="0" t="n"/>
      <c r="BM227" s="0" t="n"/>
      <c r="BN227" s="0" t="n"/>
      <c r="BO227" s="0" t="n"/>
      <c r="BP227" s="0" t="n"/>
    </row>
    <row hidden="false" ht="15" outlineLevel="0" r="228">
      <c r="A228" s="116" t="n">
        <f aca="false" ca="false" dt2D="false" dtr="false" t="normal">+A227+1</f>
        <v>209</v>
      </c>
      <c r="B228" s="117" t="n">
        <f aca="false" ca="false" dt2D="false" dtr="false" t="normal">+B227+1</f>
        <v>21</v>
      </c>
      <c r="C228" s="104" t="s">
        <v>78</v>
      </c>
      <c r="D228" s="117" t="s">
        <v>320</v>
      </c>
      <c r="E228" s="113" t="n">
        <f aca="false" ca="true" dt2D="false" dtr="false" t="normal">SUBTOTAL(9, F228:T228)</f>
        <v>9742557.66</v>
      </c>
      <c r="F228" s="114" t="n">
        <v>6221126</v>
      </c>
      <c r="G228" s="114" t="n">
        <v>0</v>
      </c>
      <c r="H228" s="114" t="n"/>
      <c r="I228" s="114" t="n">
        <v>3521431.66</v>
      </c>
      <c r="J228" s="114" t="n">
        <v>0</v>
      </c>
      <c r="K228" s="114" t="n"/>
      <c r="L228" s="114" t="n"/>
      <c r="M228" s="114" t="n">
        <v>0</v>
      </c>
      <c r="N228" s="114" t="n">
        <v>0</v>
      </c>
      <c r="O228" s="114" t="n">
        <v>0</v>
      </c>
      <c r="P228" s="114" t="n">
        <v>0</v>
      </c>
      <c r="Q228" s="114" t="n">
        <v>0</v>
      </c>
      <c r="R228" s="114" t="n"/>
      <c r="S228" s="114" t="n"/>
      <c r="T228" s="115" t="n"/>
      <c r="U228" s="0" t="n"/>
      <c r="V228" s="0" t="n"/>
      <c r="W228" s="0" t="n"/>
      <c r="X228" s="0" t="n"/>
      <c r="Y228" s="0" t="n"/>
      <c r="Z228" s="0" t="n"/>
      <c r="AA228" s="0" t="n"/>
      <c r="AB228" s="0" t="n"/>
      <c r="AC228" s="0" t="n"/>
      <c r="AD228" s="0" t="n"/>
      <c r="AE228" s="0" t="n"/>
      <c r="AF228" s="0" t="n"/>
      <c r="AG228" s="0" t="n"/>
      <c r="AH228" s="0" t="n"/>
      <c r="AI228" s="0" t="n"/>
      <c r="AJ228" s="0" t="n"/>
      <c r="AK228" s="0" t="n"/>
      <c r="AL228" s="0" t="n"/>
      <c r="AM228" s="0" t="n"/>
      <c r="AN228" s="0" t="n"/>
      <c r="AO228" s="0" t="n"/>
      <c r="AP228" s="0" t="n"/>
      <c r="AQ228" s="0" t="n"/>
      <c r="AR228" s="0" t="n"/>
      <c r="AS228" s="0" t="n"/>
      <c r="AT228" s="0" t="n"/>
      <c r="AU228" s="0" t="n"/>
      <c r="AV228" s="0" t="n"/>
      <c r="AW228" s="0" t="n"/>
      <c r="AX228" s="0" t="n"/>
      <c r="AY228" s="0" t="n"/>
      <c r="AZ228" s="0" t="n"/>
      <c r="BA228" s="0" t="n"/>
      <c r="BB228" s="0" t="n"/>
      <c r="BC228" s="0" t="n"/>
      <c r="BD228" s="0" t="n"/>
      <c r="BE228" s="0" t="n"/>
      <c r="BF228" s="0" t="n"/>
      <c r="BG228" s="0" t="n"/>
      <c r="BH228" s="0" t="n"/>
      <c r="BI228" s="0" t="n"/>
      <c r="BJ228" s="0" t="n"/>
      <c r="BK228" s="0" t="n"/>
      <c r="BL228" s="0" t="n"/>
      <c r="BM228" s="0" t="n"/>
      <c r="BN228" s="0" t="n"/>
      <c r="BO228" s="0" t="n"/>
      <c r="BP228" s="0" t="n"/>
    </row>
    <row hidden="false" ht="15" outlineLevel="0" r="229">
      <c r="A229" s="116" t="n">
        <f aca="false" ca="false" dt2D="false" dtr="false" t="normal">+A228+1</f>
        <v>210</v>
      </c>
      <c r="B229" s="117" t="n">
        <f aca="false" ca="false" dt2D="false" dtr="false" t="normal">+B228+1</f>
        <v>22</v>
      </c>
      <c r="C229" s="104" t="s">
        <v>78</v>
      </c>
      <c r="D229" s="117" t="s">
        <v>321</v>
      </c>
      <c r="E229" s="186" t="n">
        <f aca="false" ca="true" dt2D="false" dtr="false" t="normal">SUBTOTAL(9, F229:T229)</f>
        <v>9994822.190000001</v>
      </c>
      <c r="F229" s="114" t="n">
        <v>0</v>
      </c>
      <c r="G229" s="114" t="n">
        <v>0</v>
      </c>
      <c r="H229" s="114" t="n">
        <v>0</v>
      </c>
      <c r="I229" s="114" t="n">
        <v>0</v>
      </c>
      <c r="J229" s="114" t="n">
        <v>0</v>
      </c>
      <c r="K229" s="114" t="n"/>
      <c r="L229" s="114" t="n"/>
      <c r="M229" s="114" t="n">
        <v>0</v>
      </c>
      <c r="N229" s="114" t="n">
        <v>0</v>
      </c>
      <c r="O229" s="114" t="n">
        <v>0</v>
      </c>
      <c r="P229" s="114" t="n">
        <v>9867857.14</v>
      </c>
      <c r="Q229" s="114" t="n">
        <v>0</v>
      </c>
      <c r="R229" s="114" t="n">
        <v>102965.05</v>
      </c>
      <c r="S229" s="114" t="n">
        <v>24000</v>
      </c>
      <c r="T229" s="115" t="n"/>
      <c r="U229" s="0" t="n"/>
      <c r="V229" s="0" t="n"/>
      <c r="W229" s="0" t="n"/>
      <c r="X229" s="0" t="n"/>
      <c r="Y229" s="0" t="n"/>
      <c r="Z229" s="0" t="n"/>
      <c r="AA229" s="0" t="n"/>
      <c r="AB229" s="0" t="n"/>
      <c r="AC229" s="0" t="n"/>
      <c r="AD229" s="0" t="n"/>
      <c r="AE229" s="0" t="n"/>
      <c r="AF229" s="0" t="n"/>
      <c r="AG229" s="0" t="n"/>
      <c r="AH229" s="0" t="n"/>
      <c r="AI229" s="0" t="n"/>
      <c r="AJ229" s="0" t="n"/>
      <c r="AK229" s="0" t="n"/>
      <c r="AL229" s="0" t="n"/>
      <c r="AM229" s="0" t="n"/>
      <c r="AN229" s="0" t="n"/>
      <c r="AO229" s="0" t="n"/>
      <c r="AP229" s="0" t="n"/>
      <c r="AQ229" s="0" t="n"/>
      <c r="AR229" s="0" t="n"/>
      <c r="AS229" s="0" t="n"/>
      <c r="AT229" s="0" t="n"/>
      <c r="AU229" s="0" t="n"/>
      <c r="AV229" s="0" t="n"/>
      <c r="AW229" s="0" t="n"/>
      <c r="AX229" s="0" t="n"/>
      <c r="AY229" s="0" t="n"/>
      <c r="AZ229" s="0" t="n"/>
      <c r="BA229" s="0" t="n"/>
      <c r="BB229" s="0" t="n"/>
      <c r="BC229" s="0" t="n"/>
      <c r="BD229" s="0" t="n"/>
      <c r="BE229" s="0" t="n"/>
      <c r="BF229" s="0" t="n"/>
      <c r="BG229" s="0" t="n"/>
      <c r="BH229" s="0" t="n"/>
      <c r="BI229" s="0" t="n"/>
      <c r="BJ229" s="0" t="n"/>
      <c r="BK229" s="0" t="n"/>
      <c r="BL229" s="0" t="n"/>
      <c r="BM229" s="0" t="n"/>
      <c r="BN229" s="0" t="n"/>
      <c r="BO229" s="0" t="n"/>
      <c r="BP229" s="0" t="n"/>
    </row>
    <row hidden="false" ht="15" outlineLevel="0" r="230">
      <c r="A230" s="116" t="n">
        <f aca="false" ca="false" dt2D="false" dtr="false" t="normal">+A229+1</f>
        <v>211</v>
      </c>
      <c r="B230" s="117" t="n">
        <f aca="false" ca="false" dt2D="false" dtr="false" t="normal">+B229+1</f>
        <v>23</v>
      </c>
      <c r="C230" s="104" t="s">
        <v>78</v>
      </c>
      <c r="D230" s="117" t="s">
        <v>322</v>
      </c>
      <c r="E230" s="186" t="n">
        <f aca="false" ca="true" dt2D="false" dtr="false" t="normal">SUBTOTAL(9, F230:T230)</f>
        <v>4013909.7700000005</v>
      </c>
      <c r="F230" s="114" t="n"/>
      <c r="G230" s="114" t="n">
        <v>2639754.41</v>
      </c>
      <c r="H230" s="114" t="n">
        <v>0</v>
      </c>
      <c r="I230" s="114" t="n">
        <v>1374155.36</v>
      </c>
      <c r="J230" s="114" t="n">
        <v>0</v>
      </c>
      <c r="K230" s="114" t="n"/>
      <c r="L230" s="114" t="n"/>
      <c r="M230" s="114" t="n">
        <v>0</v>
      </c>
      <c r="N230" s="114" t="n">
        <v>0</v>
      </c>
      <c r="O230" s="114" t="n">
        <v>0</v>
      </c>
      <c r="P230" s="114" t="n">
        <v>0</v>
      </c>
      <c r="Q230" s="114" t="n">
        <v>0</v>
      </c>
      <c r="R230" s="114" t="n"/>
      <c r="S230" s="114" t="n"/>
      <c r="T230" s="115" t="n"/>
      <c r="U230" s="0" t="n"/>
      <c r="V230" s="0" t="n"/>
      <c r="W230" s="0" t="n"/>
      <c r="X230" s="0" t="n"/>
      <c r="Y230" s="0" t="n"/>
      <c r="Z230" s="0" t="n"/>
      <c r="AA230" s="0" t="n"/>
      <c r="AB230" s="0" t="n"/>
      <c r="AC230" s="0" t="n"/>
      <c r="AD230" s="0" t="n"/>
      <c r="AE230" s="0" t="n"/>
      <c r="AF230" s="0" t="n"/>
      <c r="AG230" s="0" t="n"/>
      <c r="AH230" s="0" t="n"/>
      <c r="AI230" s="0" t="n"/>
      <c r="AJ230" s="0" t="n"/>
      <c r="AK230" s="0" t="n"/>
      <c r="AL230" s="0" t="n"/>
      <c r="AM230" s="0" t="n"/>
      <c r="AN230" s="0" t="n"/>
      <c r="AO230" s="0" t="n"/>
      <c r="AP230" s="0" t="n"/>
      <c r="AQ230" s="0" t="n"/>
      <c r="AR230" s="0" t="n"/>
      <c r="AS230" s="0" t="n"/>
      <c r="AT230" s="0" t="n"/>
      <c r="AU230" s="0" t="n"/>
      <c r="AV230" s="0" t="n"/>
      <c r="AW230" s="0" t="n"/>
      <c r="AX230" s="0" t="n"/>
      <c r="AY230" s="0" t="n"/>
      <c r="AZ230" s="0" t="n"/>
      <c r="BA230" s="0" t="n"/>
      <c r="BB230" s="0" t="n"/>
      <c r="BC230" s="0" t="n"/>
      <c r="BD230" s="0" t="n"/>
      <c r="BE230" s="0" t="n"/>
      <c r="BF230" s="0" t="n"/>
      <c r="BG230" s="0" t="n"/>
      <c r="BH230" s="0" t="n"/>
      <c r="BI230" s="0" t="n"/>
      <c r="BJ230" s="0" t="n"/>
      <c r="BK230" s="0" t="n"/>
      <c r="BL230" s="0" t="n"/>
      <c r="BM230" s="0" t="n"/>
      <c r="BN230" s="0" t="n"/>
      <c r="BO230" s="0" t="n"/>
      <c r="BP230" s="0" t="n"/>
    </row>
    <row hidden="false" ht="15" outlineLevel="0" r="231">
      <c r="A231" s="116" t="n">
        <f aca="false" ca="false" dt2D="false" dtr="false" t="normal">+A230+1</f>
        <v>212</v>
      </c>
      <c r="B231" s="117" t="n">
        <f aca="false" ca="false" dt2D="false" dtr="false" t="normal">+B230+1</f>
        <v>24</v>
      </c>
      <c r="C231" s="104" t="s">
        <v>78</v>
      </c>
      <c r="D231" s="117" t="s">
        <v>323</v>
      </c>
      <c r="E231" s="113" t="n">
        <f aca="false" ca="true" dt2D="false" dtr="false" t="normal">SUBTOTAL(9, F231:T231)</f>
        <v>1850706.38</v>
      </c>
      <c r="F231" s="114" t="n">
        <v>0</v>
      </c>
      <c r="G231" s="114" t="n">
        <v>0</v>
      </c>
      <c r="H231" s="114" t="n"/>
      <c r="I231" s="114" t="n">
        <v>1740087.49</v>
      </c>
      <c r="J231" s="114" t="n">
        <v>0</v>
      </c>
      <c r="K231" s="114" t="n"/>
      <c r="L231" s="114" t="n"/>
      <c r="M231" s="114" t="n">
        <v>0</v>
      </c>
      <c r="N231" s="114" t="n">
        <v>0</v>
      </c>
      <c r="O231" s="114" t="n">
        <v>0</v>
      </c>
      <c r="P231" s="114" t="n">
        <v>0</v>
      </c>
      <c r="Q231" s="114" t="n">
        <v>0</v>
      </c>
      <c r="R231" s="114" t="n">
        <v>93622.89</v>
      </c>
      <c r="S231" s="114" t="n">
        <v>16996</v>
      </c>
      <c r="T231" s="115" t="n"/>
      <c r="U231" s="0" t="n"/>
      <c r="V231" s="0" t="n"/>
      <c r="W231" s="0" t="n"/>
      <c r="X231" s="0" t="n"/>
      <c r="Y231" s="0" t="n"/>
      <c r="Z231" s="0" t="n"/>
      <c r="AA231" s="0" t="n"/>
      <c r="AB231" s="0" t="n"/>
      <c r="AC231" s="0" t="n"/>
      <c r="AD231" s="0" t="n"/>
      <c r="AE231" s="0" t="n"/>
      <c r="AF231" s="0" t="n"/>
      <c r="AG231" s="0" t="n"/>
      <c r="AH231" s="0" t="n"/>
      <c r="AI231" s="0" t="n"/>
      <c r="AJ231" s="0" t="n"/>
      <c r="AK231" s="0" t="n"/>
      <c r="AL231" s="0" t="n"/>
      <c r="AM231" s="0" t="n"/>
      <c r="AN231" s="0" t="n"/>
      <c r="AO231" s="0" t="n"/>
      <c r="AP231" s="0" t="n"/>
      <c r="AQ231" s="0" t="n"/>
      <c r="AR231" s="0" t="n"/>
      <c r="AS231" s="0" t="n"/>
      <c r="AT231" s="0" t="n"/>
      <c r="AU231" s="0" t="n"/>
      <c r="AV231" s="0" t="n"/>
      <c r="AW231" s="0" t="n"/>
      <c r="AX231" s="0" t="n"/>
      <c r="AY231" s="0" t="n"/>
      <c r="AZ231" s="0" t="n"/>
      <c r="BA231" s="0" t="n"/>
      <c r="BB231" s="0" t="n"/>
      <c r="BC231" s="0" t="n"/>
      <c r="BD231" s="0" t="n"/>
      <c r="BE231" s="0" t="n"/>
      <c r="BF231" s="0" t="n"/>
      <c r="BG231" s="0" t="n"/>
      <c r="BH231" s="0" t="n"/>
      <c r="BI231" s="0" t="n"/>
      <c r="BJ231" s="0" t="n"/>
      <c r="BK231" s="0" t="n"/>
      <c r="BL231" s="0" t="n"/>
      <c r="BM231" s="0" t="n"/>
      <c r="BN231" s="0" t="n"/>
      <c r="BO231" s="0" t="n"/>
      <c r="BP231" s="0" t="n"/>
    </row>
    <row hidden="false" ht="15" outlineLevel="0" r="232">
      <c r="A232" s="116" t="n">
        <f aca="false" ca="false" dt2D="false" dtr="false" t="normal">+A231+1</f>
        <v>213</v>
      </c>
      <c r="B232" s="117" t="n">
        <f aca="false" ca="false" dt2D="false" dtr="false" t="normal">+B231+1</f>
        <v>25</v>
      </c>
      <c r="C232" s="104" t="s">
        <v>111</v>
      </c>
      <c r="D232" s="117" t="s">
        <v>324</v>
      </c>
      <c r="E232" s="113" t="n">
        <f aca="false" ca="true" dt2D="false" dtr="false" t="normal">SUBTOTAL(9, F232:T232)</f>
        <v>4776548.88</v>
      </c>
      <c r="F232" s="114" t="n">
        <v>0</v>
      </c>
      <c r="G232" s="114" t="n">
        <v>0</v>
      </c>
      <c r="H232" s="114" t="n">
        <v>0</v>
      </c>
      <c r="I232" s="114" t="n">
        <v>0</v>
      </c>
      <c r="J232" s="114" t="n">
        <v>0</v>
      </c>
      <c r="K232" s="114" t="n"/>
      <c r="L232" s="114" t="n"/>
      <c r="M232" s="114" t="n">
        <v>0</v>
      </c>
      <c r="N232" s="114" t="n">
        <v>4650900</v>
      </c>
      <c r="O232" s="114" t="n">
        <v>0</v>
      </c>
      <c r="P232" s="114" t="n">
        <v>0</v>
      </c>
      <c r="Q232" s="114" t="n">
        <v>0</v>
      </c>
      <c r="R232" s="114" t="n">
        <v>101648.88</v>
      </c>
      <c r="S232" s="114" t="n">
        <v>24000</v>
      </c>
      <c r="T232" s="115" t="n"/>
      <c r="U232" s="0" t="n"/>
      <c r="V232" s="0" t="n"/>
      <c r="W232" s="0" t="n"/>
      <c r="X232" s="0" t="n"/>
      <c r="Y232" s="0" t="n"/>
      <c r="Z232" s="0" t="n"/>
      <c r="AA232" s="0" t="n"/>
      <c r="AB232" s="0" t="n"/>
      <c r="AC232" s="0" t="n"/>
      <c r="AD232" s="0" t="n"/>
      <c r="AE232" s="0" t="n"/>
      <c r="AF232" s="0" t="n"/>
      <c r="AG232" s="0" t="n"/>
      <c r="AH232" s="0" t="n"/>
      <c r="AI232" s="0" t="n"/>
      <c r="AJ232" s="0" t="n"/>
      <c r="AK232" s="0" t="n"/>
      <c r="AL232" s="0" t="n"/>
      <c r="AM232" s="0" t="n"/>
      <c r="AN232" s="0" t="n"/>
      <c r="AO232" s="0" t="n"/>
      <c r="AP232" s="0" t="n"/>
      <c r="AQ232" s="0" t="n"/>
      <c r="AR232" s="0" t="n"/>
      <c r="AS232" s="0" t="n"/>
      <c r="AT232" s="0" t="n"/>
      <c r="AU232" s="0" t="n"/>
      <c r="AV232" s="0" t="n"/>
      <c r="AW232" s="0" t="n"/>
      <c r="AX232" s="0" t="n"/>
      <c r="AY232" s="0" t="n"/>
      <c r="AZ232" s="0" t="n"/>
      <c r="BA232" s="0" t="n"/>
      <c r="BB232" s="0" t="n"/>
      <c r="BC232" s="0" t="n"/>
      <c r="BD232" s="0" t="n"/>
      <c r="BE232" s="0" t="n"/>
      <c r="BF232" s="0" t="n"/>
      <c r="BG232" s="0" t="n"/>
      <c r="BH232" s="0" t="n"/>
      <c r="BI232" s="0" t="n"/>
      <c r="BJ232" s="0" t="n"/>
      <c r="BK232" s="0" t="n"/>
      <c r="BL232" s="0" t="n"/>
      <c r="BM232" s="0" t="n"/>
      <c r="BN232" s="0" t="n"/>
      <c r="BO232" s="0" t="n"/>
      <c r="BP232" s="0" t="n"/>
    </row>
    <row hidden="false" ht="15" outlineLevel="0" r="233">
      <c r="A233" s="116" t="n">
        <f aca="false" ca="false" dt2D="false" dtr="false" t="normal">+A232+1</f>
        <v>214</v>
      </c>
      <c r="B233" s="117" t="n">
        <f aca="false" ca="false" dt2D="false" dtr="false" t="normal">+B232+1</f>
        <v>26</v>
      </c>
      <c r="C233" s="104" t="s">
        <v>111</v>
      </c>
      <c r="D233" s="117" t="s">
        <v>113</v>
      </c>
      <c r="E233" s="113" t="n">
        <f aca="false" ca="true" dt2D="false" dtr="false" t="normal">SUBTOTAL(9, F233:T233)</f>
        <v>1346807.24</v>
      </c>
      <c r="F233" s="114" t="n"/>
      <c r="G233" s="114" t="n">
        <v>0</v>
      </c>
      <c r="H233" s="114" t="n"/>
      <c r="I233" s="114" t="n">
        <v>1320750.78</v>
      </c>
      <c r="J233" s="114" t="n">
        <v>0</v>
      </c>
      <c r="K233" s="114" t="n"/>
      <c r="L233" s="114" t="n"/>
      <c r="M233" s="114" t="n">
        <v>0</v>
      </c>
      <c r="N233" s="114" t="n"/>
      <c r="O233" s="114" t="n">
        <v>0</v>
      </c>
      <c r="P233" s="114" t="n">
        <v>0</v>
      </c>
      <c r="Q233" s="114" t="n">
        <v>0</v>
      </c>
      <c r="R233" s="114" t="n">
        <v>20056.46</v>
      </c>
      <c r="S233" s="114" t="n">
        <v>6000</v>
      </c>
      <c r="T233" s="115" t="n"/>
      <c r="U233" s="0" t="n"/>
      <c r="V233" s="0" t="n"/>
      <c r="W233" s="0" t="n"/>
      <c r="X233" s="0" t="n"/>
      <c r="Y233" s="0" t="n"/>
      <c r="Z233" s="0" t="n"/>
      <c r="AA233" s="0" t="n"/>
      <c r="AB233" s="0" t="n"/>
      <c r="AC233" s="0" t="n"/>
      <c r="AD233" s="0" t="n"/>
      <c r="AE233" s="0" t="n"/>
      <c r="AF233" s="0" t="n"/>
      <c r="AG233" s="0" t="n"/>
      <c r="AH233" s="0" t="n"/>
      <c r="AI233" s="0" t="n"/>
      <c r="AJ233" s="0" t="n"/>
      <c r="AK233" s="0" t="n"/>
      <c r="AL233" s="0" t="n"/>
      <c r="AM233" s="0" t="n"/>
      <c r="AN233" s="0" t="n"/>
      <c r="AO233" s="0" t="n"/>
      <c r="AP233" s="0" t="n"/>
      <c r="AQ233" s="0" t="n"/>
      <c r="AR233" s="0" t="n"/>
      <c r="AS233" s="0" t="n"/>
      <c r="AT233" s="0" t="n"/>
      <c r="AU233" s="0" t="n"/>
      <c r="AV233" s="0" t="n"/>
      <c r="AW233" s="0" t="n"/>
      <c r="AX233" s="0" t="n"/>
      <c r="AY233" s="0" t="n"/>
      <c r="AZ233" s="0" t="n"/>
      <c r="BA233" s="0" t="n"/>
      <c r="BB233" s="0" t="n"/>
      <c r="BC233" s="0" t="n"/>
      <c r="BD233" s="0" t="n"/>
      <c r="BE233" s="0" t="n"/>
      <c r="BF233" s="0" t="n"/>
      <c r="BG233" s="0" t="n"/>
      <c r="BH233" s="0" t="n"/>
      <c r="BI233" s="0" t="n"/>
      <c r="BJ233" s="0" t="n"/>
      <c r="BK233" s="0" t="n"/>
      <c r="BL233" s="0" t="n"/>
      <c r="BM233" s="0" t="n"/>
      <c r="BN233" s="0" t="n"/>
      <c r="BO233" s="0" t="n"/>
      <c r="BP233" s="0" t="n"/>
    </row>
    <row hidden="false" ht="15" outlineLevel="0" r="234">
      <c r="A234" s="116" t="n">
        <f aca="false" ca="false" dt2D="false" dtr="false" t="normal">+A233+1</f>
        <v>215</v>
      </c>
      <c r="B234" s="117" t="n">
        <f aca="false" ca="false" dt2D="false" dtr="false" t="normal">+B233+1</f>
        <v>27</v>
      </c>
      <c r="C234" s="104" t="s">
        <v>111</v>
      </c>
      <c r="D234" s="117" t="s">
        <v>325</v>
      </c>
      <c r="E234" s="186" t="n">
        <f aca="false" ca="true" dt2D="false" dtr="false" t="normal">SUBTOTAL(9, F234:T234)</f>
        <v>3711829.5</v>
      </c>
      <c r="F234" s="114" t="n">
        <v>0</v>
      </c>
      <c r="G234" s="114" t="n">
        <v>0</v>
      </c>
      <c r="H234" s="114" t="n">
        <v>0</v>
      </c>
      <c r="I234" s="114" t="n">
        <v>0</v>
      </c>
      <c r="J234" s="114" t="n">
        <v>0</v>
      </c>
      <c r="K234" s="114" t="n"/>
      <c r="L234" s="114" t="n"/>
      <c r="M234" s="114" t="n">
        <v>0</v>
      </c>
      <c r="N234" s="114" t="n">
        <v>3602673.51</v>
      </c>
      <c r="O234" s="114" t="n">
        <v>0</v>
      </c>
      <c r="P234" s="114" t="n">
        <v>0</v>
      </c>
      <c r="Q234" s="114" t="n">
        <v>0</v>
      </c>
      <c r="R234" s="114" t="n">
        <v>85155.99</v>
      </c>
      <c r="S234" s="114" t="n">
        <v>24000</v>
      </c>
      <c r="T234" s="115" t="n"/>
      <c r="U234" s="0" t="n"/>
      <c r="V234" s="0" t="n"/>
      <c r="W234" s="0" t="n"/>
      <c r="X234" s="0" t="n"/>
      <c r="Y234" s="0" t="n"/>
      <c r="Z234" s="0" t="n"/>
      <c r="AA234" s="0" t="n"/>
      <c r="AB234" s="0" t="n"/>
      <c r="AC234" s="0" t="n"/>
      <c r="AD234" s="0" t="n"/>
      <c r="AE234" s="0" t="n"/>
      <c r="AF234" s="0" t="n"/>
      <c r="AG234" s="0" t="n"/>
      <c r="AH234" s="0" t="n"/>
      <c r="AI234" s="0" t="n"/>
      <c r="AJ234" s="0" t="n"/>
      <c r="AK234" s="0" t="n"/>
      <c r="AL234" s="0" t="n"/>
      <c r="AM234" s="0" t="n"/>
      <c r="AN234" s="0" t="n"/>
      <c r="AO234" s="0" t="n"/>
      <c r="AP234" s="0" t="n"/>
      <c r="AQ234" s="0" t="n"/>
      <c r="AR234" s="0" t="n"/>
      <c r="AS234" s="0" t="n"/>
      <c r="AT234" s="0" t="n"/>
      <c r="AU234" s="0" t="n"/>
      <c r="AV234" s="0" t="n"/>
      <c r="AW234" s="0" t="n"/>
      <c r="AX234" s="0" t="n"/>
      <c r="AY234" s="0" t="n"/>
      <c r="AZ234" s="0" t="n"/>
      <c r="BA234" s="0" t="n"/>
      <c r="BB234" s="0" t="n"/>
      <c r="BC234" s="0" t="n"/>
      <c r="BD234" s="0" t="n"/>
      <c r="BE234" s="0" t="n"/>
      <c r="BF234" s="0" t="n"/>
      <c r="BG234" s="0" t="n"/>
      <c r="BH234" s="0" t="n"/>
      <c r="BI234" s="0" t="n"/>
      <c r="BJ234" s="0" t="n"/>
      <c r="BK234" s="0" t="n"/>
      <c r="BL234" s="0" t="n"/>
      <c r="BM234" s="0" t="n"/>
      <c r="BN234" s="0" t="n"/>
      <c r="BO234" s="0" t="n"/>
      <c r="BP234" s="0" t="n"/>
    </row>
    <row hidden="false" ht="15" outlineLevel="0" r="235">
      <c r="A235" s="116" t="n">
        <f aca="false" ca="false" dt2D="false" dtr="false" t="normal">+A234+1</f>
        <v>216</v>
      </c>
      <c r="B235" s="117" t="n">
        <f aca="false" ca="false" dt2D="false" dtr="false" t="normal">+B234+1</f>
        <v>28</v>
      </c>
      <c r="C235" s="104" t="s">
        <v>111</v>
      </c>
      <c r="D235" s="117" t="s">
        <v>326</v>
      </c>
      <c r="E235" s="186" t="n">
        <f aca="false" ca="true" dt2D="false" dtr="false" t="normal">SUBTOTAL(9, F235:T235)</f>
        <v>522174.08</v>
      </c>
      <c r="F235" s="114" t="n"/>
      <c r="G235" s="114" t="n">
        <v>0</v>
      </c>
      <c r="H235" s="114" t="n">
        <v>522174.08</v>
      </c>
      <c r="I235" s="114" t="n"/>
      <c r="J235" s="114" t="n"/>
      <c r="K235" s="114" t="n"/>
      <c r="L235" s="114" t="n"/>
      <c r="M235" s="114" t="n">
        <v>0</v>
      </c>
      <c r="N235" s="114" t="n">
        <v>0</v>
      </c>
      <c r="O235" s="114" t="n">
        <v>0</v>
      </c>
      <c r="P235" s="114" t="n">
        <v>0</v>
      </c>
      <c r="Q235" s="114" t="n">
        <v>0</v>
      </c>
      <c r="R235" s="114" t="n"/>
      <c r="S235" s="114" t="n"/>
      <c r="T235" s="115" t="n"/>
      <c r="U235" s="0" t="n"/>
      <c r="V235" s="0" t="n"/>
      <c r="W235" s="0" t="n"/>
      <c r="X235" s="0" t="n"/>
      <c r="Y235" s="0" t="n"/>
      <c r="Z235" s="0" t="n"/>
      <c r="AA235" s="0" t="n"/>
      <c r="AB235" s="0" t="n"/>
      <c r="AC235" s="0" t="n"/>
      <c r="AD235" s="0" t="n"/>
      <c r="AE235" s="0" t="n"/>
      <c r="AF235" s="0" t="n"/>
      <c r="AG235" s="0" t="n"/>
      <c r="AH235" s="0" t="n"/>
      <c r="AI235" s="0" t="n"/>
      <c r="AJ235" s="0" t="n"/>
      <c r="AK235" s="0" t="n"/>
      <c r="AL235" s="0" t="n"/>
      <c r="AM235" s="0" t="n"/>
      <c r="AN235" s="0" t="n"/>
      <c r="AO235" s="0" t="n"/>
      <c r="AP235" s="0" t="n"/>
      <c r="AQ235" s="0" t="n"/>
      <c r="AR235" s="0" t="n"/>
      <c r="AS235" s="0" t="n"/>
      <c r="AT235" s="0" t="n"/>
      <c r="AU235" s="0" t="n"/>
      <c r="AV235" s="0" t="n"/>
      <c r="AW235" s="0" t="n"/>
      <c r="AX235" s="0" t="n"/>
      <c r="AY235" s="0" t="n"/>
      <c r="AZ235" s="0" t="n"/>
      <c r="BA235" s="0" t="n"/>
      <c r="BB235" s="0" t="n"/>
      <c r="BC235" s="0" t="n"/>
      <c r="BD235" s="0" t="n"/>
      <c r="BE235" s="0" t="n"/>
      <c r="BF235" s="0" t="n"/>
      <c r="BG235" s="0" t="n"/>
      <c r="BH235" s="0" t="n"/>
      <c r="BI235" s="0" t="n"/>
      <c r="BJ235" s="0" t="n"/>
      <c r="BK235" s="0" t="n"/>
      <c r="BL235" s="0" t="n"/>
      <c r="BM235" s="0" t="n"/>
      <c r="BN235" s="0" t="n"/>
      <c r="BO235" s="0" t="n"/>
      <c r="BP235" s="0" t="n"/>
    </row>
    <row hidden="false" ht="15" outlineLevel="0" r="236">
      <c r="A236" s="116" t="n">
        <f aca="false" ca="false" dt2D="false" dtr="false" t="normal">+A235+1</f>
        <v>217</v>
      </c>
      <c r="B236" s="117" t="n">
        <f aca="false" ca="false" dt2D="false" dtr="false" t="normal">+B235+1</f>
        <v>29</v>
      </c>
      <c r="C236" s="104" t="s">
        <v>111</v>
      </c>
      <c r="D236" s="117" t="s">
        <v>327</v>
      </c>
      <c r="E236" s="186" t="n">
        <f aca="false" ca="true" dt2D="false" dtr="false" t="normal">SUBTOTAL(9, F236:T236)</f>
        <v>525018.3</v>
      </c>
      <c r="F236" s="114" t="n"/>
      <c r="G236" s="114" t="n">
        <v>0</v>
      </c>
      <c r="H236" s="114" t="n">
        <v>525018.3</v>
      </c>
      <c r="I236" s="114" t="n"/>
      <c r="J236" s="114" t="n"/>
      <c r="K236" s="114" t="n"/>
      <c r="L236" s="114" t="n"/>
      <c r="M236" s="114" t="n">
        <v>0</v>
      </c>
      <c r="N236" s="114" t="n">
        <v>0</v>
      </c>
      <c r="O236" s="114" t="n">
        <v>0</v>
      </c>
      <c r="P236" s="114" t="n">
        <v>0</v>
      </c>
      <c r="Q236" s="114" t="n">
        <v>0</v>
      </c>
      <c r="R236" s="114" t="n"/>
      <c r="S236" s="114" t="n"/>
      <c r="T236" s="115" t="n"/>
      <c r="U236" s="0" t="n"/>
      <c r="V236" s="0" t="n"/>
      <c r="W236" s="0" t="n"/>
      <c r="X236" s="0" t="n"/>
      <c r="Y236" s="0" t="n"/>
      <c r="Z236" s="0" t="n"/>
      <c r="AA236" s="0" t="n"/>
      <c r="AB236" s="0" t="n"/>
      <c r="AC236" s="0" t="n"/>
      <c r="AD236" s="0" t="n"/>
      <c r="AE236" s="0" t="n"/>
      <c r="AF236" s="0" t="n"/>
      <c r="AG236" s="0" t="n"/>
      <c r="AH236" s="0" t="n"/>
      <c r="AI236" s="0" t="n"/>
      <c r="AJ236" s="0" t="n"/>
      <c r="AK236" s="0" t="n"/>
      <c r="AL236" s="0" t="n"/>
      <c r="AM236" s="0" t="n"/>
      <c r="AN236" s="0" t="n"/>
      <c r="AO236" s="0" t="n"/>
      <c r="AP236" s="0" t="n"/>
      <c r="AQ236" s="0" t="n"/>
      <c r="AR236" s="0" t="n"/>
      <c r="AS236" s="0" t="n"/>
      <c r="AT236" s="0" t="n"/>
      <c r="AU236" s="0" t="n"/>
      <c r="AV236" s="0" t="n"/>
      <c r="AW236" s="0" t="n"/>
      <c r="AX236" s="0" t="n"/>
      <c r="AY236" s="0" t="n"/>
      <c r="AZ236" s="0" t="n"/>
      <c r="BA236" s="0" t="n"/>
      <c r="BB236" s="0" t="n"/>
      <c r="BC236" s="0" t="n"/>
      <c r="BD236" s="0" t="n"/>
      <c r="BE236" s="0" t="n"/>
      <c r="BF236" s="0" t="n"/>
      <c r="BG236" s="0" t="n"/>
      <c r="BH236" s="0" t="n"/>
      <c r="BI236" s="0" t="n"/>
      <c r="BJ236" s="0" t="n"/>
      <c r="BK236" s="0" t="n"/>
      <c r="BL236" s="0" t="n"/>
      <c r="BM236" s="0" t="n"/>
      <c r="BN236" s="0" t="n"/>
      <c r="BO236" s="0" t="n"/>
      <c r="BP236" s="0" t="n"/>
    </row>
    <row hidden="false" ht="15" outlineLevel="0" r="237">
      <c r="A237" s="116" t="n">
        <f aca="false" ca="false" dt2D="false" dtr="false" t="normal">+A236+1</f>
        <v>218</v>
      </c>
      <c r="B237" s="117" t="n">
        <f aca="false" ca="false" dt2D="false" dtr="false" t="normal">+B236+1</f>
        <v>30</v>
      </c>
      <c r="C237" s="104" t="s">
        <v>111</v>
      </c>
      <c r="D237" s="117" t="s">
        <v>328</v>
      </c>
      <c r="E237" s="186" t="n">
        <f aca="false" ca="true" dt2D="false" dtr="false" t="normal">SUBTOTAL(9, F237:T237)</f>
        <v>530931.97</v>
      </c>
      <c r="F237" s="114" t="n"/>
      <c r="G237" s="114" t="n"/>
      <c r="H237" s="114" t="n">
        <v>530931.97</v>
      </c>
      <c r="I237" s="114" t="n">
        <v>0</v>
      </c>
      <c r="J237" s="114" t="n">
        <v>0</v>
      </c>
      <c r="K237" s="114" t="n"/>
      <c r="L237" s="114" t="n"/>
      <c r="M237" s="114" t="n"/>
      <c r="N237" s="114" t="n"/>
      <c r="O237" s="114" t="n"/>
      <c r="P237" s="114" t="n"/>
      <c r="Q237" s="114" t="n"/>
      <c r="R237" s="114" t="n"/>
      <c r="S237" s="114" t="n"/>
      <c r="T237" s="115" t="n"/>
      <c r="U237" s="0" t="n"/>
      <c r="V237" s="0" t="n"/>
      <c r="W237" s="0" t="n"/>
      <c r="X237" s="0" t="n"/>
      <c r="Y237" s="0" t="n"/>
      <c r="Z237" s="0" t="n"/>
      <c r="AA237" s="0" t="n"/>
      <c r="AB237" s="0" t="n"/>
      <c r="AC237" s="0" t="n"/>
      <c r="AD237" s="0" t="n"/>
      <c r="AE237" s="0" t="n"/>
      <c r="AF237" s="0" t="n"/>
      <c r="AG237" s="0" t="n"/>
      <c r="AH237" s="0" t="n"/>
      <c r="AI237" s="0" t="n"/>
      <c r="AJ237" s="0" t="n"/>
      <c r="AK237" s="0" t="n"/>
      <c r="AL237" s="0" t="n"/>
      <c r="AM237" s="0" t="n"/>
      <c r="AN237" s="0" t="n"/>
      <c r="AO237" s="0" t="n"/>
      <c r="AP237" s="0" t="n"/>
      <c r="AQ237" s="0" t="n"/>
      <c r="AR237" s="0" t="n"/>
      <c r="AS237" s="0" t="n"/>
      <c r="AT237" s="0" t="n"/>
      <c r="AU237" s="0" t="n"/>
      <c r="AV237" s="0" t="n"/>
      <c r="AW237" s="0" t="n"/>
      <c r="AX237" s="0" t="n"/>
      <c r="AY237" s="0" t="n"/>
      <c r="AZ237" s="0" t="n"/>
      <c r="BA237" s="0" t="n"/>
      <c r="BB237" s="0" t="n"/>
      <c r="BC237" s="0" t="n"/>
      <c r="BD237" s="0" t="n"/>
      <c r="BE237" s="0" t="n"/>
      <c r="BF237" s="0" t="n"/>
      <c r="BG237" s="0" t="n"/>
      <c r="BH237" s="0" t="n"/>
      <c r="BI237" s="0" t="n"/>
      <c r="BJ237" s="0" t="n"/>
      <c r="BK237" s="0" t="n"/>
      <c r="BL237" s="0" t="n"/>
      <c r="BM237" s="0" t="n"/>
      <c r="BN237" s="0" t="n"/>
      <c r="BO237" s="0" t="n"/>
      <c r="BP237" s="0" t="n"/>
    </row>
    <row hidden="false" ht="15" outlineLevel="0" r="238">
      <c r="A238" s="116" t="n">
        <f aca="false" ca="false" dt2D="false" dtr="false" t="normal">+A237+1</f>
        <v>219</v>
      </c>
      <c r="B238" s="117" t="n">
        <f aca="false" ca="false" dt2D="false" dtr="false" t="normal">+B237+1</f>
        <v>31</v>
      </c>
      <c r="C238" s="104" t="s">
        <v>111</v>
      </c>
      <c r="D238" s="117" t="s">
        <v>329</v>
      </c>
      <c r="E238" s="186" t="n">
        <f aca="false" ca="true" dt2D="false" dtr="false" t="normal">SUBTOTAL(9, F238:T238)</f>
        <v>620897.1</v>
      </c>
      <c r="F238" s="114" t="n"/>
      <c r="G238" s="114" t="n">
        <v>0</v>
      </c>
      <c r="H238" s="114" t="n">
        <v>620897.1</v>
      </c>
      <c r="I238" s="114" t="n"/>
      <c r="J238" s="114" t="n">
        <v>0</v>
      </c>
      <c r="K238" s="114" t="n"/>
      <c r="L238" s="114" t="n"/>
      <c r="M238" s="114" t="n">
        <v>0</v>
      </c>
      <c r="N238" s="114" t="n">
        <v>0</v>
      </c>
      <c r="O238" s="114" t="n">
        <v>0</v>
      </c>
      <c r="P238" s="114" t="n">
        <v>0</v>
      </c>
      <c r="Q238" s="114" t="n">
        <v>0</v>
      </c>
      <c r="R238" s="114" t="n"/>
      <c r="S238" s="114" t="n"/>
      <c r="T238" s="115" t="n"/>
      <c r="U238" s="0" t="n"/>
      <c r="V238" s="0" t="n"/>
      <c r="W238" s="0" t="n"/>
      <c r="X238" s="0" t="n"/>
      <c r="Y238" s="0" t="n"/>
      <c r="Z238" s="0" t="n"/>
      <c r="AA238" s="0" t="n"/>
      <c r="AB238" s="0" t="n"/>
      <c r="AC238" s="0" t="n"/>
      <c r="AD238" s="0" t="n"/>
      <c r="AE238" s="0" t="n"/>
      <c r="AF238" s="0" t="n"/>
      <c r="AG238" s="0" t="n"/>
      <c r="AH238" s="0" t="n"/>
      <c r="AI238" s="0" t="n"/>
      <c r="AJ238" s="0" t="n"/>
      <c r="AK238" s="0" t="n"/>
      <c r="AL238" s="0" t="n"/>
      <c r="AM238" s="0" t="n"/>
      <c r="AN238" s="0" t="n"/>
      <c r="AO238" s="0" t="n"/>
      <c r="AP238" s="0" t="n"/>
      <c r="AQ238" s="0" t="n"/>
      <c r="AR238" s="0" t="n"/>
      <c r="AS238" s="0" t="n"/>
      <c r="AT238" s="0" t="n"/>
      <c r="AU238" s="0" t="n"/>
      <c r="AV238" s="0" t="n"/>
      <c r="AW238" s="0" t="n"/>
      <c r="AX238" s="0" t="n"/>
      <c r="AY238" s="0" t="n"/>
      <c r="AZ238" s="0" t="n"/>
      <c r="BA238" s="0" t="n"/>
      <c r="BB238" s="0" t="n"/>
      <c r="BC238" s="0" t="n"/>
      <c r="BD238" s="0" t="n"/>
      <c r="BE238" s="0" t="n"/>
      <c r="BF238" s="0" t="n"/>
      <c r="BG238" s="0" t="n"/>
      <c r="BH238" s="0" t="n"/>
      <c r="BI238" s="0" t="n"/>
      <c r="BJ238" s="0" t="n"/>
      <c r="BK238" s="0" t="n"/>
      <c r="BL238" s="0" t="n"/>
      <c r="BM238" s="0" t="n"/>
      <c r="BN238" s="0" t="n"/>
      <c r="BO238" s="0" t="n"/>
      <c r="BP238" s="0" t="n"/>
    </row>
    <row hidden="false" ht="15" outlineLevel="0" r="239">
      <c r="A239" s="116" t="n">
        <f aca="false" ca="false" dt2D="false" dtr="false" t="normal">+A238+1</f>
        <v>220</v>
      </c>
      <c r="B239" s="117" t="n">
        <f aca="false" ca="false" dt2D="false" dtr="false" t="normal">+B238+1</f>
        <v>32</v>
      </c>
      <c r="C239" s="104" t="s">
        <v>111</v>
      </c>
      <c r="D239" s="117" t="s">
        <v>330</v>
      </c>
      <c r="E239" s="186" t="n">
        <f aca="false" ca="true" dt2D="false" dtr="false" t="normal">SUBTOTAL(9, F239:T239)</f>
        <v>21087152.25</v>
      </c>
      <c r="F239" s="114" t="n"/>
      <c r="G239" s="114" t="n"/>
      <c r="H239" s="114" t="n"/>
      <c r="I239" s="114" t="n"/>
      <c r="J239" s="114" t="n"/>
      <c r="K239" s="114" t="n"/>
      <c r="L239" s="114" t="n"/>
      <c r="M239" s="114" t="n">
        <v>20793974.4</v>
      </c>
      <c r="N239" s="114" t="n"/>
      <c r="O239" s="114" t="n"/>
      <c r="P239" s="114" t="n"/>
      <c r="Q239" s="114" t="n"/>
      <c r="R239" s="114" t="n">
        <v>270017.85</v>
      </c>
      <c r="S239" s="114" t="n">
        <v>23160</v>
      </c>
      <c r="T239" s="115" t="n"/>
      <c r="U239" s="0" t="n"/>
      <c r="V239" s="0" t="n"/>
      <c r="W239" s="0" t="n"/>
      <c r="X239" s="0" t="n"/>
      <c r="Y239" s="0" t="n"/>
      <c r="Z239" s="0" t="n"/>
      <c r="AA239" s="0" t="n"/>
      <c r="AB239" s="0" t="n"/>
      <c r="AC239" s="0" t="n"/>
      <c r="AD239" s="0" t="n"/>
      <c r="AE239" s="0" t="n"/>
      <c r="AF239" s="0" t="n"/>
      <c r="AG239" s="0" t="n"/>
      <c r="AH239" s="0" t="n"/>
      <c r="AI239" s="0" t="n"/>
      <c r="AJ239" s="0" t="n"/>
      <c r="AK239" s="0" t="n"/>
      <c r="AL239" s="0" t="n"/>
      <c r="AM239" s="0" t="n"/>
      <c r="AN239" s="0" t="n"/>
      <c r="AO239" s="0" t="n"/>
      <c r="AP239" s="0" t="n"/>
      <c r="AQ239" s="0" t="n"/>
      <c r="AR239" s="0" t="n"/>
      <c r="AS239" s="0" t="n"/>
      <c r="AT239" s="0" t="n"/>
      <c r="AU239" s="0" t="n"/>
      <c r="AV239" s="0" t="n"/>
      <c r="AW239" s="0" t="n"/>
      <c r="AX239" s="0" t="n"/>
      <c r="AY239" s="0" t="n"/>
      <c r="AZ239" s="0" t="n"/>
      <c r="BA239" s="0" t="n"/>
      <c r="BB239" s="0" t="n"/>
      <c r="BC239" s="0" t="n"/>
      <c r="BD239" s="0" t="n"/>
      <c r="BE239" s="0" t="n"/>
      <c r="BF239" s="0" t="n"/>
      <c r="BG239" s="0" t="n"/>
      <c r="BH239" s="0" t="n"/>
      <c r="BI239" s="0" t="n"/>
      <c r="BJ239" s="0" t="n"/>
      <c r="BK239" s="0" t="n"/>
      <c r="BL239" s="0" t="n"/>
      <c r="BM239" s="0" t="n"/>
      <c r="BN239" s="0" t="n"/>
      <c r="BO239" s="0" t="n"/>
      <c r="BP239" s="0" t="n"/>
    </row>
    <row hidden="false" ht="15" outlineLevel="0" r="240">
      <c r="A240" s="116" t="n">
        <f aca="false" ca="false" dt2D="false" dtr="false" t="normal">+A239+1</f>
        <v>221</v>
      </c>
      <c r="B240" s="117" t="n">
        <f aca="false" ca="false" dt2D="false" dtr="false" t="normal">+B239+1</f>
        <v>33</v>
      </c>
      <c r="C240" s="104" t="s">
        <v>111</v>
      </c>
      <c r="D240" s="117" t="s">
        <v>332</v>
      </c>
      <c r="E240" s="186" t="n">
        <f aca="false" ca="true" dt2D="false" dtr="false" t="normal">SUBTOTAL(9, F240:T240)</f>
        <v>14097787.42</v>
      </c>
      <c r="F240" s="114" t="n"/>
      <c r="G240" s="114" t="n"/>
      <c r="H240" s="114" t="n"/>
      <c r="I240" s="114" t="n"/>
      <c r="J240" s="114" t="n"/>
      <c r="K240" s="114" t="n"/>
      <c r="L240" s="114" t="n"/>
      <c r="M240" s="114" t="n">
        <v>13862649.6</v>
      </c>
      <c r="N240" s="114" t="n"/>
      <c r="O240" s="114" t="n"/>
      <c r="P240" s="114" t="n"/>
      <c r="Q240" s="114" t="n"/>
      <c r="R240" s="114" t="n">
        <v>211977.82</v>
      </c>
      <c r="S240" s="114" t="n">
        <v>23160</v>
      </c>
      <c r="T240" s="115" t="n"/>
      <c r="U240" s="0" t="n"/>
      <c r="V240" s="0" t="n"/>
      <c r="W240" s="0" t="n"/>
      <c r="X240" s="0" t="n"/>
      <c r="Y240" s="0" t="n"/>
      <c r="Z240" s="0" t="n"/>
      <c r="AA240" s="0" t="n"/>
      <c r="AB240" s="0" t="n"/>
      <c r="AC240" s="0" t="n"/>
      <c r="AD240" s="0" t="n"/>
      <c r="AE240" s="0" t="n"/>
      <c r="AF240" s="0" t="n"/>
      <c r="AG240" s="0" t="n"/>
      <c r="AH240" s="0" t="n"/>
      <c r="AI240" s="0" t="n"/>
      <c r="AJ240" s="0" t="n"/>
      <c r="AK240" s="0" t="n"/>
      <c r="AL240" s="0" t="n"/>
      <c r="AM240" s="0" t="n"/>
      <c r="AN240" s="0" t="n"/>
      <c r="AO240" s="0" t="n"/>
      <c r="AP240" s="0" t="n"/>
      <c r="AQ240" s="0" t="n"/>
      <c r="AR240" s="0" t="n"/>
      <c r="AS240" s="0" t="n"/>
      <c r="AT240" s="0" t="n"/>
      <c r="AU240" s="0" t="n"/>
      <c r="AV240" s="0" t="n"/>
      <c r="AW240" s="0" t="n"/>
      <c r="AX240" s="0" t="n"/>
      <c r="AY240" s="0" t="n"/>
      <c r="AZ240" s="0" t="n"/>
      <c r="BA240" s="0" t="n"/>
      <c r="BB240" s="0" t="n"/>
      <c r="BC240" s="0" t="n"/>
      <c r="BD240" s="0" t="n"/>
      <c r="BE240" s="0" t="n"/>
      <c r="BF240" s="0" t="n"/>
      <c r="BG240" s="0" t="n"/>
      <c r="BH240" s="0" t="n"/>
      <c r="BI240" s="0" t="n"/>
      <c r="BJ240" s="0" t="n"/>
      <c r="BK240" s="0" t="n"/>
      <c r="BL240" s="0" t="n"/>
      <c r="BM240" s="0" t="n"/>
      <c r="BN240" s="0" t="n"/>
      <c r="BO240" s="0" t="n"/>
      <c r="BP240" s="0" t="n"/>
    </row>
    <row hidden="false" ht="15" outlineLevel="0" r="241">
      <c r="A241" s="116" t="n">
        <f aca="false" ca="false" dt2D="false" dtr="false" t="normal">+A240+1</f>
        <v>222</v>
      </c>
      <c r="B241" s="117" t="n">
        <f aca="false" ca="false" dt2D="false" dtr="false" t="normal">+B240+1</f>
        <v>34</v>
      </c>
      <c r="C241" s="104" t="s">
        <v>111</v>
      </c>
      <c r="D241" s="117" t="s">
        <v>333</v>
      </c>
      <c r="E241" s="186" t="n">
        <f aca="false" ca="true" dt2D="false" dtr="false" t="normal">SUBTOTAL(9, F241:T241)</f>
        <v>16895315.3</v>
      </c>
      <c r="F241" s="106" t="n"/>
      <c r="G241" s="114" t="n"/>
      <c r="H241" s="114" t="n">
        <v>2398261.2</v>
      </c>
      <c r="I241" s="114" t="n"/>
      <c r="J241" s="114" t="n"/>
      <c r="K241" s="114" t="n"/>
      <c r="L241" s="114" t="n"/>
      <c r="M241" s="114" t="n">
        <v>0</v>
      </c>
      <c r="N241" s="114" t="n">
        <v>14009088.38</v>
      </c>
      <c r="O241" s="114" t="n">
        <v>0</v>
      </c>
      <c r="P241" s="114" t="n">
        <v>0</v>
      </c>
      <c r="Q241" s="114" t="n">
        <v>0</v>
      </c>
      <c r="R241" s="114" t="n">
        <v>339099.7</v>
      </c>
      <c r="S241" s="114" t="n">
        <v>9600</v>
      </c>
      <c r="T241" s="115" t="n">
        <f aca="false" ca="false" dt2D="false" dtr="false" t="normal">32899.63+106366.39</f>
        <v>139266.02</v>
      </c>
      <c r="U241" s="0" t="n"/>
      <c r="V241" s="0" t="n"/>
      <c r="W241" s="0" t="n"/>
      <c r="X241" s="0" t="n"/>
      <c r="Y241" s="0" t="n"/>
      <c r="Z241" s="0" t="n"/>
      <c r="AA241" s="0" t="n"/>
      <c r="AB241" s="0" t="n"/>
      <c r="AC241" s="0" t="n"/>
      <c r="AD241" s="0" t="n"/>
      <c r="AE241" s="0" t="n"/>
      <c r="AF241" s="0" t="n"/>
      <c r="AG241" s="0" t="n"/>
      <c r="AH241" s="0" t="n"/>
      <c r="AI241" s="0" t="n"/>
      <c r="AJ241" s="0" t="n"/>
      <c r="AK241" s="0" t="n"/>
      <c r="AL241" s="0" t="n"/>
      <c r="AM241" s="0" t="n"/>
      <c r="AN241" s="0" t="n"/>
      <c r="AO241" s="0" t="n"/>
      <c r="AP241" s="0" t="n"/>
      <c r="AQ241" s="0" t="n"/>
      <c r="AR241" s="0" t="n"/>
      <c r="AS241" s="0" t="n"/>
      <c r="AT241" s="0" t="n"/>
      <c r="AU241" s="0" t="n"/>
      <c r="AV241" s="0" t="n"/>
      <c r="AW241" s="0" t="n"/>
      <c r="AX241" s="0" t="n"/>
      <c r="AY241" s="0" t="n"/>
      <c r="AZ241" s="0" t="n"/>
      <c r="BA241" s="0" t="n"/>
      <c r="BB241" s="0" t="n"/>
      <c r="BC241" s="0" t="n"/>
      <c r="BD241" s="0" t="n"/>
      <c r="BE241" s="0" t="n"/>
      <c r="BF241" s="0" t="n"/>
      <c r="BG241" s="0" t="n"/>
      <c r="BH241" s="0" t="n"/>
      <c r="BI241" s="0" t="n"/>
      <c r="BJ241" s="0" t="n"/>
      <c r="BK241" s="0" t="n"/>
      <c r="BL241" s="0" t="n"/>
      <c r="BM241" s="0" t="n"/>
      <c r="BN241" s="0" t="n"/>
      <c r="BO241" s="0" t="n"/>
      <c r="BP241" s="0" t="n"/>
    </row>
    <row hidden="false" ht="15" outlineLevel="0" r="242">
      <c r="A242" s="116" t="n">
        <f aca="false" ca="false" dt2D="false" dtr="false" t="normal">+A241+1</f>
        <v>223</v>
      </c>
      <c r="B242" s="117" t="n">
        <f aca="false" ca="false" dt2D="false" dtr="false" t="normal">+B241+1</f>
        <v>35</v>
      </c>
      <c r="C242" s="104" t="s">
        <v>111</v>
      </c>
      <c r="D242" s="117" t="s">
        <v>334</v>
      </c>
      <c r="E242" s="113" t="n">
        <f aca="false" ca="true" dt2D="false" dtr="false" t="normal">SUBTOTAL(9, F242:T242)</f>
        <v>9050356.685307486</v>
      </c>
      <c r="F242" s="114" t="n">
        <v>0</v>
      </c>
      <c r="G242" s="114" t="n">
        <v>0</v>
      </c>
      <c r="H242" s="114" t="n">
        <v>0</v>
      </c>
      <c r="I242" s="114" t="n">
        <v>0</v>
      </c>
      <c r="J242" s="114" t="n">
        <v>0</v>
      </c>
      <c r="K242" s="114" t="n"/>
      <c r="L242" s="114" t="n"/>
      <c r="M242" s="114" t="n">
        <v>0</v>
      </c>
      <c r="N242" s="114" t="n">
        <v>8882109.84</v>
      </c>
      <c r="O242" s="114" t="n">
        <v>0</v>
      </c>
      <c r="P242" s="114" t="n">
        <v>0</v>
      </c>
      <c r="Q242" s="114" t="n">
        <v>0</v>
      </c>
      <c r="R242" s="114" t="n">
        <v>144246.845307486</v>
      </c>
      <c r="S242" s="114" t="n">
        <v>24000</v>
      </c>
      <c r="T242" s="115" t="n"/>
      <c r="U242" s="0" t="n"/>
      <c r="V242" s="0" t="n"/>
      <c r="W242" s="0" t="n"/>
      <c r="X242" s="0" t="n"/>
      <c r="Y242" s="0" t="n"/>
      <c r="Z242" s="0" t="n"/>
      <c r="AA242" s="0" t="n"/>
      <c r="AB242" s="0" t="n"/>
      <c r="AC242" s="0" t="n"/>
      <c r="AD242" s="0" t="n"/>
      <c r="AE242" s="0" t="n"/>
      <c r="AF242" s="0" t="n"/>
      <c r="AG242" s="0" t="n"/>
      <c r="AH242" s="0" t="n"/>
      <c r="AI242" s="0" t="n"/>
      <c r="AJ242" s="0" t="n"/>
      <c r="AK242" s="0" t="n"/>
      <c r="AL242" s="0" t="n"/>
      <c r="AM242" s="0" t="n"/>
      <c r="AN242" s="0" t="n"/>
      <c r="AO242" s="0" t="n"/>
      <c r="AP242" s="0" t="n"/>
      <c r="AQ242" s="0" t="n"/>
      <c r="AR242" s="0" t="n"/>
      <c r="AS242" s="0" t="n"/>
      <c r="AT242" s="0" t="n"/>
      <c r="AU242" s="0" t="n"/>
      <c r="AV242" s="0" t="n"/>
      <c r="AW242" s="0" t="n"/>
      <c r="AX242" s="0" t="n"/>
      <c r="AY242" s="0" t="n"/>
      <c r="AZ242" s="0" t="n"/>
      <c r="BA242" s="0" t="n"/>
      <c r="BB242" s="0" t="n"/>
      <c r="BC242" s="0" t="n"/>
      <c r="BD242" s="0" t="n"/>
      <c r="BE242" s="0" t="n"/>
      <c r="BF242" s="0" t="n"/>
      <c r="BG242" s="0" t="n"/>
      <c r="BH242" s="0" t="n"/>
      <c r="BI242" s="0" t="n"/>
      <c r="BJ242" s="0" t="n"/>
      <c r="BK242" s="0" t="n"/>
      <c r="BL242" s="0" t="n"/>
      <c r="BM242" s="0" t="n"/>
      <c r="BN242" s="0" t="n"/>
      <c r="BO242" s="0" t="n"/>
      <c r="BP242" s="0" t="n"/>
    </row>
    <row customFormat="true" hidden="false" ht="15" outlineLevel="0" r="243" s="129">
      <c r="A243" s="116" t="n">
        <f aca="false" ca="false" dt2D="false" dtr="false" t="normal">+A242+1</f>
        <v>224</v>
      </c>
      <c r="B243" s="117" t="n">
        <f aca="false" ca="false" dt2D="false" dtr="false" t="normal">+B242+1</f>
        <v>36</v>
      </c>
      <c r="C243" s="104" t="s">
        <v>111</v>
      </c>
      <c r="D243" s="117" t="s">
        <v>335</v>
      </c>
      <c r="E243" s="113" t="n">
        <f aca="false" ca="true" dt2D="false" dtr="false" t="normal">SUBTOTAL(9, F243:T243)</f>
        <v>3508963.12</v>
      </c>
      <c r="F243" s="114" t="n">
        <v>3508963.12</v>
      </c>
      <c r="G243" s="114" t="n"/>
      <c r="H243" s="114" t="n"/>
      <c r="I243" s="114" t="n"/>
      <c r="J243" s="114" t="n"/>
      <c r="K243" s="114" t="n"/>
      <c r="L243" s="114" t="n"/>
      <c r="M243" s="114" t="n"/>
      <c r="N243" s="114" t="n"/>
      <c r="O243" s="114" t="n"/>
      <c r="P243" s="114" t="n"/>
      <c r="Q243" s="114" t="n"/>
      <c r="R243" s="114" t="n"/>
      <c r="S243" s="114" t="n"/>
      <c r="T243" s="115" t="n"/>
      <c r="U243" s="0" t="n"/>
      <c r="V243" s="0" t="n"/>
      <c r="W243" s="0" t="n"/>
      <c r="X243" s="0" t="n"/>
      <c r="Y243" s="0" t="n"/>
      <c r="Z243" s="0" t="n"/>
      <c r="AA243" s="0" t="n"/>
      <c r="AB243" s="0" t="n"/>
      <c r="AC243" s="0" t="n"/>
      <c r="AD243" s="0" t="n"/>
      <c r="AE243" s="0" t="n"/>
      <c r="AF243" s="0" t="n"/>
      <c r="AG243" s="0" t="n"/>
      <c r="AH243" s="0" t="n"/>
      <c r="AI243" s="0" t="n"/>
      <c r="AJ243" s="0" t="n"/>
      <c r="AK243" s="0" t="n"/>
      <c r="AL243" s="0" t="n"/>
      <c r="AM243" s="0" t="n"/>
      <c r="AN243" s="0" t="n"/>
      <c r="AO243" s="0" t="n"/>
      <c r="AP243" s="0" t="n"/>
      <c r="AQ243" s="0" t="n"/>
      <c r="AR243" s="0" t="n"/>
      <c r="AS243" s="0" t="n"/>
      <c r="AT243" s="0" t="n"/>
      <c r="AU243" s="0" t="n"/>
      <c r="AV243" s="0" t="n"/>
      <c r="AW243" s="0" t="n"/>
      <c r="AX243" s="0" t="n"/>
      <c r="AY243" s="0" t="n"/>
      <c r="AZ243" s="0" t="n"/>
      <c r="BA243" s="0" t="n"/>
      <c r="BB243" s="0" t="n"/>
      <c r="BC243" s="0" t="n"/>
      <c r="BD243" s="0" t="n"/>
      <c r="BE243" s="0" t="n"/>
      <c r="BF243" s="0" t="n"/>
      <c r="BG243" s="0" t="n"/>
      <c r="BH243" s="0" t="n"/>
      <c r="BI243" s="0" t="n"/>
      <c r="BJ243" s="0" t="n"/>
      <c r="BK243" s="0" t="n"/>
      <c r="BL243" s="0" t="n"/>
      <c r="BM243" s="0" t="n"/>
      <c r="BN243" s="0" t="n"/>
      <c r="BO243" s="0" t="n"/>
      <c r="BP243" s="0" t="n"/>
    </row>
    <row hidden="false" ht="15" outlineLevel="0" r="244">
      <c r="A244" s="116" t="n">
        <f aca="false" ca="false" dt2D="false" dtr="false" t="normal">+A243+1</f>
        <v>225</v>
      </c>
      <c r="B244" s="117" t="n">
        <f aca="false" ca="false" dt2D="false" dtr="false" t="normal">+B243+1</f>
        <v>37</v>
      </c>
      <c r="C244" s="104" t="s">
        <v>111</v>
      </c>
      <c r="D244" s="117" t="s">
        <v>129</v>
      </c>
      <c r="E244" s="186" t="n">
        <f aca="false" ca="true" dt2D="false" dtr="false" t="normal">SUBTOTAL(9, F244:T244)</f>
        <v>13790763.79</v>
      </c>
      <c r="F244" s="114" t="n">
        <v>4434982.51</v>
      </c>
      <c r="G244" s="114" t="n"/>
      <c r="H244" s="114" t="n"/>
      <c r="I244" s="114" t="n"/>
      <c r="J244" s="114" t="n"/>
      <c r="K244" s="114" t="n"/>
      <c r="L244" s="114" t="n"/>
      <c r="M244" s="114" t="n">
        <v>0</v>
      </c>
      <c r="N244" s="114" t="n">
        <v>9355781.28</v>
      </c>
      <c r="O244" s="114" t="n">
        <v>0</v>
      </c>
      <c r="P244" s="114" t="n">
        <v>0</v>
      </c>
      <c r="Q244" s="114" t="n">
        <v>0</v>
      </c>
      <c r="R244" s="114" t="n"/>
      <c r="S244" s="114" t="n"/>
      <c r="T244" s="115" t="n"/>
      <c r="U244" s="0" t="n"/>
      <c r="V244" s="0" t="n"/>
      <c r="W244" s="0" t="n"/>
      <c r="X244" s="0" t="n"/>
      <c r="Y244" s="0" t="n"/>
      <c r="Z244" s="0" t="n"/>
      <c r="AA244" s="0" t="n"/>
      <c r="AB244" s="0" t="n"/>
      <c r="AC244" s="0" t="n"/>
      <c r="AD244" s="0" t="n"/>
      <c r="AE244" s="0" t="n"/>
      <c r="AF244" s="0" t="n"/>
      <c r="AG244" s="0" t="n"/>
      <c r="AH244" s="0" t="n"/>
      <c r="AI244" s="0" t="n"/>
      <c r="AJ244" s="0" t="n"/>
      <c r="AK244" s="0" t="n"/>
      <c r="AL244" s="0" t="n"/>
      <c r="AM244" s="0" t="n"/>
      <c r="AN244" s="0" t="n"/>
      <c r="AO244" s="0" t="n"/>
      <c r="AP244" s="0" t="n"/>
      <c r="AQ244" s="0" t="n"/>
      <c r="AR244" s="0" t="n"/>
      <c r="AS244" s="0" t="n"/>
      <c r="AT244" s="0" t="n"/>
      <c r="AU244" s="0" t="n"/>
      <c r="AV244" s="0" t="n"/>
      <c r="AW244" s="0" t="n"/>
      <c r="AX244" s="0" t="n"/>
      <c r="AY244" s="0" t="n"/>
      <c r="AZ244" s="0" t="n"/>
      <c r="BA244" s="0" t="n"/>
      <c r="BB244" s="0" t="n"/>
      <c r="BC244" s="0" t="n"/>
      <c r="BD244" s="0" t="n"/>
      <c r="BE244" s="0" t="n"/>
      <c r="BF244" s="0" t="n"/>
      <c r="BG244" s="0" t="n"/>
      <c r="BH244" s="0" t="n"/>
      <c r="BI244" s="0" t="n"/>
      <c r="BJ244" s="0" t="n"/>
      <c r="BK244" s="0" t="n"/>
      <c r="BL244" s="0" t="n"/>
      <c r="BM244" s="0" t="n"/>
      <c r="BN244" s="0" t="n"/>
      <c r="BO244" s="0" t="n"/>
      <c r="BP244" s="0" t="n"/>
    </row>
    <row hidden="false" ht="15" outlineLevel="0" r="245">
      <c r="A245" s="116" t="n">
        <f aca="false" ca="false" dt2D="false" dtr="false" t="normal">+A244+1</f>
        <v>226</v>
      </c>
      <c r="B245" s="117" t="n">
        <f aca="false" ca="false" dt2D="false" dtr="false" t="normal">+B244+1</f>
        <v>38</v>
      </c>
      <c r="C245" s="104" t="s">
        <v>111</v>
      </c>
      <c r="D245" s="117" t="s">
        <v>131</v>
      </c>
      <c r="E245" s="113" t="n">
        <f aca="false" ca="true" dt2D="false" dtr="false" t="normal">SUBTOTAL(9, F245:T245)</f>
        <v>869774.96</v>
      </c>
      <c r="F245" s="114" t="n"/>
      <c r="G245" s="114" t="n"/>
      <c r="H245" s="114" t="n"/>
      <c r="I245" s="114" t="n"/>
      <c r="J245" s="114" t="n">
        <v>869774.96</v>
      </c>
      <c r="K245" s="114" t="n"/>
      <c r="L245" s="114" t="n"/>
      <c r="M245" s="114" t="n">
        <v>0</v>
      </c>
      <c r="N245" s="114" t="n">
        <v>0</v>
      </c>
      <c r="O245" s="114" t="n">
        <v>0</v>
      </c>
      <c r="P245" s="114" t="n">
        <v>0</v>
      </c>
      <c r="Q245" s="114" t="n">
        <v>0</v>
      </c>
      <c r="R245" s="114" t="n"/>
      <c r="S245" s="114" t="n"/>
      <c r="T245" s="115" t="n"/>
      <c r="U245" s="0" t="n"/>
      <c r="V245" s="0" t="n"/>
      <c r="W245" s="0" t="n"/>
      <c r="X245" s="0" t="n"/>
      <c r="Y245" s="0" t="n"/>
      <c r="Z245" s="0" t="n"/>
      <c r="AA245" s="0" t="n"/>
      <c r="AB245" s="0" t="n"/>
      <c r="AC245" s="0" t="n"/>
      <c r="AD245" s="0" t="n"/>
      <c r="AE245" s="0" t="n"/>
      <c r="AF245" s="0" t="n"/>
      <c r="AG245" s="0" t="n"/>
      <c r="AH245" s="0" t="n"/>
      <c r="AI245" s="0" t="n"/>
      <c r="AJ245" s="0" t="n"/>
      <c r="AK245" s="0" t="n"/>
      <c r="AL245" s="0" t="n"/>
      <c r="AM245" s="0" t="n"/>
      <c r="AN245" s="0" t="n"/>
      <c r="AO245" s="0" t="n"/>
      <c r="AP245" s="0" t="n"/>
      <c r="AQ245" s="0" t="n"/>
      <c r="AR245" s="0" t="n"/>
      <c r="AS245" s="0" t="n"/>
      <c r="AT245" s="0" t="n"/>
      <c r="AU245" s="0" t="n"/>
      <c r="AV245" s="0" t="n"/>
      <c r="AW245" s="0" t="n"/>
      <c r="AX245" s="0" t="n"/>
      <c r="AY245" s="0" t="n"/>
      <c r="AZ245" s="0" t="n"/>
      <c r="BA245" s="0" t="n"/>
      <c r="BB245" s="0" t="n"/>
      <c r="BC245" s="0" t="n"/>
      <c r="BD245" s="0" t="n"/>
      <c r="BE245" s="0" t="n"/>
      <c r="BF245" s="0" t="n"/>
      <c r="BG245" s="0" t="n"/>
      <c r="BH245" s="0" t="n"/>
      <c r="BI245" s="0" t="n"/>
      <c r="BJ245" s="0" t="n"/>
      <c r="BK245" s="0" t="n"/>
      <c r="BL245" s="0" t="n"/>
      <c r="BM245" s="0" t="n"/>
      <c r="BN245" s="0" t="n"/>
      <c r="BO245" s="0" t="n"/>
      <c r="BP245" s="0" t="n"/>
    </row>
    <row hidden="false" ht="15" outlineLevel="0" r="246">
      <c r="A246" s="116" t="n">
        <f aca="false" ca="false" dt2D="false" dtr="false" t="normal">+A245+1</f>
        <v>227</v>
      </c>
      <c r="B246" s="117" t="n">
        <f aca="false" ca="false" dt2D="false" dtr="false" t="normal">+B245+1</f>
        <v>39</v>
      </c>
      <c r="C246" s="104" t="s">
        <v>111</v>
      </c>
      <c r="D246" s="117" t="s">
        <v>122</v>
      </c>
      <c r="E246" s="113" t="n">
        <f aca="false" ca="true" dt2D="false" dtr="false" t="normal">SUBTOTAL(9, F246:T246)</f>
        <v>1634481.86</v>
      </c>
      <c r="F246" s="114" t="n"/>
      <c r="G246" s="114" t="n"/>
      <c r="H246" s="114" t="n">
        <v>1620199.79</v>
      </c>
      <c r="I246" s="114" t="n"/>
      <c r="J246" s="114" t="n"/>
      <c r="K246" s="114" t="n"/>
      <c r="L246" s="114" t="n"/>
      <c r="M246" s="114" t="n">
        <v>0</v>
      </c>
      <c r="N246" s="114" t="n"/>
      <c r="O246" s="114" t="n"/>
      <c r="P246" s="114" t="n"/>
      <c r="Q246" s="114" t="n"/>
      <c r="R246" s="114" t="n"/>
      <c r="S246" s="114" t="n"/>
      <c r="T246" s="115" t="n">
        <v>14282.07</v>
      </c>
      <c r="U246" s="0" t="n"/>
      <c r="V246" s="0" t="n"/>
      <c r="W246" s="0" t="n"/>
      <c r="X246" s="0" t="n"/>
      <c r="Y246" s="0" t="n"/>
      <c r="Z246" s="0" t="n"/>
      <c r="AA246" s="0" t="n"/>
      <c r="AB246" s="0" t="n"/>
      <c r="AC246" s="0" t="n"/>
      <c r="AD246" s="0" t="n"/>
      <c r="AE246" s="0" t="n"/>
      <c r="AF246" s="0" t="n"/>
      <c r="AG246" s="0" t="n"/>
      <c r="AH246" s="0" t="n"/>
      <c r="AI246" s="0" t="n"/>
      <c r="AJ246" s="0" t="n"/>
      <c r="AK246" s="0" t="n"/>
      <c r="AL246" s="0" t="n"/>
      <c r="AM246" s="0" t="n"/>
      <c r="AN246" s="0" t="n"/>
      <c r="AO246" s="0" t="n"/>
      <c r="AP246" s="0" t="n"/>
      <c r="AQ246" s="0" t="n"/>
      <c r="AR246" s="0" t="n"/>
      <c r="AS246" s="0" t="n"/>
      <c r="AT246" s="0" t="n"/>
      <c r="AU246" s="0" t="n"/>
      <c r="AV246" s="0" t="n"/>
      <c r="AW246" s="0" t="n"/>
      <c r="AX246" s="0" t="n"/>
      <c r="AY246" s="0" t="n"/>
      <c r="AZ246" s="0" t="n"/>
      <c r="BA246" s="0" t="n"/>
      <c r="BB246" s="0" t="n"/>
      <c r="BC246" s="0" t="n"/>
      <c r="BD246" s="0" t="n"/>
      <c r="BE246" s="0" t="n"/>
      <c r="BF246" s="0" t="n"/>
      <c r="BG246" s="0" t="n"/>
      <c r="BH246" s="0" t="n"/>
      <c r="BI246" s="0" t="n"/>
      <c r="BJ246" s="0" t="n"/>
      <c r="BK246" s="0" t="n"/>
      <c r="BL246" s="0" t="n"/>
      <c r="BM246" s="0" t="n"/>
      <c r="BN246" s="0" t="n"/>
      <c r="BO246" s="0" t="n"/>
      <c r="BP246" s="0" t="n"/>
    </row>
    <row hidden="false" ht="15" outlineLevel="0" r="247">
      <c r="A247" s="116" t="n">
        <f aca="false" ca="false" dt2D="false" dtr="false" t="normal">+A246+1</f>
        <v>228</v>
      </c>
      <c r="B247" s="117" t="n">
        <f aca="false" ca="false" dt2D="false" dtr="false" t="normal">+B246+1</f>
        <v>40</v>
      </c>
      <c r="C247" s="104" t="s">
        <v>111</v>
      </c>
      <c r="D247" s="117" t="s">
        <v>336</v>
      </c>
      <c r="E247" s="186" t="n">
        <f aca="false" ca="true" dt2D="false" dtr="false" t="normal">SUBTOTAL(9, F247:T247)</f>
        <v>4289744.53</v>
      </c>
      <c r="F247" s="114" t="n"/>
      <c r="G247" s="114" t="n"/>
      <c r="H247" s="114" t="n">
        <v>1021002.86</v>
      </c>
      <c r="I247" s="114" t="n"/>
      <c r="J247" s="114" t="n">
        <v>0</v>
      </c>
      <c r="K247" s="114" t="n"/>
      <c r="L247" s="114" t="n"/>
      <c r="M247" s="114" t="n">
        <v>0</v>
      </c>
      <c r="N247" s="114" t="n"/>
      <c r="O247" s="114" t="n">
        <v>0</v>
      </c>
      <c r="P247" s="114" t="n">
        <v>3268741.67</v>
      </c>
      <c r="Q247" s="114" t="n"/>
      <c r="R247" s="114" t="n"/>
      <c r="S247" s="114" t="n"/>
      <c r="T247" s="115" t="n"/>
      <c r="U247" s="0" t="n"/>
      <c r="V247" s="0" t="n"/>
      <c r="W247" s="0" t="n"/>
      <c r="X247" s="0" t="n"/>
      <c r="Y247" s="0" t="n"/>
      <c r="Z247" s="0" t="n"/>
      <c r="AA247" s="0" t="n"/>
      <c r="AB247" s="0" t="n"/>
      <c r="AC247" s="0" t="n"/>
      <c r="AD247" s="0" t="n"/>
      <c r="AE247" s="0" t="n"/>
      <c r="AF247" s="0" t="n"/>
      <c r="AG247" s="0" t="n"/>
      <c r="AH247" s="0" t="n"/>
      <c r="AI247" s="0" t="n"/>
      <c r="AJ247" s="0" t="n"/>
      <c r="AK247" s="0" t="n"/>
      <c r="AL247" s="0" t="n"/>
      <c r="AM247" s="0" t="n"/>
      <c r="AN247" s="0" t="n"/>
      <c r="AO247" s="0" t="n"/>
      <c r="AP247" s="0" t="n"/>
      <c r="AQ247" s="0" t="n"/>
      <c r="AR247" s="0" t="n"/>
      <c r="AS247" s="0" t="n"/>
      <c r="AT247" s="0" t="n"/>
      <c r="AU247" s="0" t="n"/>
      <c r="AV247" s="0" t="n"/>
      <c r="AW247" s="0" t="n"/>
      <c r="AX247" s="0" t="n"/>
      <c r="AY247" s="0" t="n"/>
      <c r="AZ247" s="0" t="n"/>
      <c r="BA247" s="0" t="n"/>
      <c r="BB247" s="0" t="n"/>
      <c r="BC247" s="0" t="n"/>
      <c r="BD247" s="0" t="n"/>
      <c r="BE247" s="0" t="n"/>
      <c r="BF247" s="0" t="n"/>
      <c r="BG247" s="0" t="n"/>
      <c r="BH247" s="0" t="n"/>
      <c r="BI247" s="0" t="n"/>
      <c r="BJ247" s="0" t="n"/>
      <c r="BK247" s="0" t="n"/>
      <c r="BL247" s="0" t="n"/>
      <c r="BM247" s="0" t="n"/>
      <c r="BN247" s="0" t="n"/>
      <c r="BO247" s="0" t="n"/>
      <c r="BP247" s="0" t="n"/>
    </row>
    <row hidden="false" ht="15" outlineLevel="0" r="248">
      <c r="A248" s="116" t="n">
        <f aca="false" ca="false" dt2D="false" dtr="false" t="normal">+A247+1</f>
        <v>229</v>
      </c>
      <c r="B248" s="117" t="n">
        <f aca="false" ca="false" dt2D="false" dtr="false" t="normal">+B247+1</f>
        <v>41</v>
      </c>
      <c r="C248" s="104" t="s">
        <v>111</v>
      </c>
      <c r="D248" s="117" t="s">
        <v>132</v>
      </c>
      <c r="E248" s="113" t="n">
        <f aca="false" ca="true" dt2D="false" dtr="false" t="normal">SUBTOTAL(9, F248:T248)</f>
        <v>21394398.21</v>
      </c>
      <c r="F248" s="114" t="n"/>
      <c r="G248" s="114" t="n">
        <v>0</v>
      </c>
      <c r="H248" s="114" t="n"/>
      <c r="I248" s="114" t="n"/>
      <c r="J248" s="114" t="n">
        <v>0</v>
      </c>
      <c r="K248" s="114" t="n"/>
      <c r="L248" s="114" t="n"/>
      <c r="M248" s="114" t="n">
        <v>0</v>
      </c>
      <c r="N248" s="114" t="n"/>
      <c r="O248" s="114" t="n">
        <v>0</v>
      </c>
      <c r="P248" s="114" t="n">
        <v>21288932.28</v>
      </c>
      <c r="Q248" s="114" t="n">
        <v>0</v>
      </c>
      <c r="R248" s="114" t="n"/>
      <c r="S248" s="114" t="n"/>
      <c r="T248" s="115" t="n">
        <v>105465.93</v>
      </c>
      <c r="U248" s="0" t="n"/>
      <c r="V248" s="0" t="n"/>
      <c r="W248" s="0" t="n"/>
      <c r="X248" s="0" t="n"/>
      <c r="Y248" s="0" t="n"/>
      <c r="Z248" s="0" t="n"/>
      <c r="AA248" s="0" t="n"/>
      <c r="AB248" s="0" t="n"/>
      <c r="AC248" s="0" t="n"/>
      <c r="AD248" s="0" t="n"/>
      <c r="AE248" s="0" t="n"/>
      <c r="AF248" s="0" t="n"/>
      <c r="AG248" s="0" t="n"/>
      <c r="AH248" s="0" t="n"/>
      <c r="AI248" s="0" t="n"/>
      <c r="AJ248" s="0" t="n"/>
      <c r="AK248" s="0" t="n"/>
      <c r="AL248" s="0" t="n"/>
      <c r="AM248" s="0" t="n"/>
      <c r="AN248" s="0" t="n"/>
      <c r="AO248" s="0" t="n"/>
      <c r="AP248" s="0" t="n"/>
      <c r="AQ248" s="0" t="n"/>
      <c r="AR248" s="0" t="n"/>
      <c r="AS248" s="0" t="n"/>
      <c r="AT248" s="0" t="n"/>
      <c r="AU248" s="0" t="n"/>
      <c r="AV248" s="0" t="n"/>
      <c r="AW248" s="0" t="n"/>
      <c r="AX248" s="0" t="n"/>
      <c r="AY248" s="0" t="n"/>
      <c r="AZ248" s="0" t="n"/>
      <c r="BA248" s="0" t="n"/>
      <c r="BB248" s="0" t="n"/>
      <c r="BC248" s="0" t="n"/>
      <c r="BD248" s="0" t="n"/>
      <c r="BE248" s="0" t="n"/>
      <c r="BF248" s="0" t="n"/>
      <c r="BG248" s="0" t="n"/>
      <c r="BH248" s="0" t="n"/>
      <c r="BI248" s="0" t="n"/>
      <c r="BJ248" s="0" t="n"/>
      <c r="BK248" s="0" t="n"/>
      <c r="BL248" s="0" t="n"/>
      <c r="BM248" s="0" t="n"/>
      <c r="BN248" s="0" t="n"/>
      <c r="BO248" s="0" t="n"/>
      <c r="BP248" s="0" t="n"/>
    </row>
    <row hidden="false" ht="15" outlineLevel="0" r="249">
      <c r="A249" s="116" t="n">
        <f aca="false" ca="false" dt2D="false" dtr="false" t="normal">+A248+1</f>
        <v>230</v>
      </c>
      <c r="B249" s="117" t="n">
        <f aca="false" ca="false" dt2D="false" dtr="false" t="normal">+B248+1</f>
        <v>42</v>
      </c>
      <c r="C249" s="104" t="s">
        <v>111</v>
      </c>
      <c r="D249" s="117" t="s">
        <v>133</v>
      </c>
      <c r="E249" s="113" t="n">
        <f aca="false" ca="true" dt2D="false" dtr="false" t="normal">SUBTOTAL(9, F249:T249)</f>
        <v>6217970.3</v>
      </c>
      <c r="F249" s="114" t="n">
        <v>3795804.42</v>
      </c>
      <c r="G249" s="114" t="n">
        <v>0</v>
      </c>
      <c r="H249" s="114" t="n"/>
      <c r="I249" s="114" t="n">
        <v>2422165.88</v>
      </c>
      <c r="J249" s="114" t="n">
        <v>0</v>
      </c>
      <c r="K249" s="114" t="n"/>
      <c r="L249" s="114" t="n"/>
      <c r="M249" s="114" t="n">
        <v>0</v>
      </c>
      <c r="N249" s="114" t="n"/>
      <c r="O249" s="114" t="n">
        <v>0</v>
      </c>
      <c r="P249" s="114" t="n"/>
      <c r="Q249" s="114" t="n">
        <v>0</v>
      </c>
      <c r="R249" s="114" t="n"/>
      <c r="S249" s="114" t="n"/>
      <c r="T249" s="115" t="n"/>
      <c r="U249" s="0" t="n"/>
      <c r="V249" s="0" t="n"/>
      <c r="W249" s="0" t="n"/>
      <c r="X249" s="0" t="n"/>
      <c r="Y249" s="0" t="n"/>
      <c r="Z249" s="0" t="n"/>
      <c r="AA249" s="0" t="n"/>
      <c r="AB249" s="0" t="n"/>
      <c r="AC249" s="0" t="n"/>
      <c r="AD249" s="0" t="n"/>
      <c r="AE249" s="0" t="n"/>
      <c r="AF249" s="0" t="n"/>
      <c r="AG249" s="0" t="n"/>
      <c r="AH249" s="0" t="n"/>
      <c r="AI249" s="0" t="n"/>
      <c r="AJ249" s="0" t="n"/>
      <c r="AK249" s="0" t="n"/>
      <c r="AL249" s="0" t="n"/>
      <c r="AM249" s="0" t="n"/>
      <c r="AN249" s="0" t="n"/>
      <c r="AO249" s="0" t="n"/>
      <c r="AP249" s="0" t="n"/>
      <c r="AQ249" s="0" t="n"/>
      <c r="AR249" s="0" t="n"/>
      <c r="AS249" s="0" t="n"/>
      <c r="AT249" s="0" t="n"/>
      <c r="AU249" s="0" t="n"/>
      <c r="AV249" s="0" t="n"/>
      <c r="AW249" s="0" t="n"/>
      <c r="AX249" s="0" t="n"/>
      <c r="AY249" s="0" t="n"/>
      <c r="AZ249" s="0" t="n"/>
      <c r="BA249" s="0" t="n"/>
      <c r="BB249" s="0" t="n"/>
      <c r="BC249" s="0" t="n"/>
      <c r="BD249" s="0" t="n"/>
      <c r="BE249" s="0" t="n"/>
      <c r="BF249" s="0" t="n"/>
      <c r="BG249" s="0" t="n"/>
      <c r="BH249" s="0" t="n"/>
      <c r="BI249" s="0" t="n"/>
      <c r="BJ249" s="0" t="n"/>
      <c r="BK249" s="0" t="n"/>
      <c r="BL249" s="0" t="n"/>
      <c r="BM249" s="0" t="n"/>
      <c r="BN249" s="0" t="n"/>
      <c r="BO249" s="0" t="n"/>
      <c r="BP249" s="0" t="n"/>
    </row>
    <row hidden="false" ht="15" outlineLevel="0" r="250">
      <c r="A250" s="116" t="n">
        <f aca="false" ca="false" dt2D="false" dtr="false" t="normal">+A249+1</f>
        <v>231</v>
      </c>
      <c r="B250" s="117" t="n">
        <f aca="false" ca="false" dt2D="false" dtr="false" t="normal">+B249+1</f>
        <v>43</v>
      </c>
      <c r="C250" s="104" t="s">
        <v>111</v>
      </c>
      <c r="D250" s="117" t="s">
        <v>337</v>
      </c>
      <c r="E250" s="113" t="n">
        <f aca="false" ca="true" dt2D="false" dtr="false" t="normal">SUBTOTAL(9, F250:T250)</f>
        <v>2553789.8600000003</v>
      </c>
      <c r="F250" s="114" t="n"/>
      <c r="G250" s="114" t="n">
        <v>0</v>
      </c>
      <c r="H250" s="114" t="n"/>
      <c r="I250" s="114" t="n">
        <v>2451411.64</v>
      </c>
      <c r="J250" s="114" t="n"/>
      <c r="K250" s="114" t="n"/>
      <c r="L250" s="114" t="n"/>
      <c r="M250" s="114" t="n">
        <v>0</v>
      </c>
      <c r="N250" s="114" t="n"/>
      <c r="O250" s="114" t="n">
        <v>0</v>
      </c>
      <c r="P250" s="114" t="n"/>
      <c r="Q250" s="114" t="n">
        <v>0</v>
      </c>
      <c r="R250" s="114" t="n">
        <v>96378.22</v>
      </c>
      <c r="S250" s="114" t="n">
        <v>6000</v>
      </c>
      <c r="T250" s="115" t="n"/>
      <c r="U250" s="0" t="n"/>
      <c r="V250" s="0" t="n"/>
      <c r="W250" s="0" t="n"/>
      <c r="X250" s="0" t="n"/>
      <c r="Y250" s="0" t="n"/>
      <c r="Z250" s="0" t="n"/>
      <c r="AA250" s="0" t="n"/>
      <c r="AB250" s="0" t="n"/>
      <c r="AC250" s="0" t="n"/>
      <c r="AD250" s="0" t="n"/>
      <c r="AE250" s="0" t="n"/>
      <c r="AF250" s="0" t="n"/>
      <c r="AG250" s="0" t="n"/>
      <c r="AH250" s="0" t="n"/>
      <c r="AI250" s="0" t="n"/>
      <c r="AJ250" s="0" t="n"/>
      <c r="AK250" s="0" t="n"/>
      <c r="AL250" s="0" t="n"/>
      <c r="AM250" s="0" t="n"/>
      <c r="AN250" s="0" t="n"/>
      <c r="AO250" s="0" t="n"/>
      <c r="AP250" s="0" t="n"/>
      <c r="AQ250" s="0" t="n"/>
      <c r="AR250" s="0" t="n"/>
      <c r="AS250" s="0" t="n"/>
      <c r="AT250" s="0" t="n"/>
      <c r="AU250" s="0" t="n"/>
      <c r="AV250" s="0" t="n"/>
      <c r="AW250" s="0" t="n"/>
      <c r="AX250" s="0" t="n"/>
      <c r="AY250" s="0" t="n"/>
      <c r="AZ250" s="0" t="n"/>
      <c r="BA250" s="0" t="n"/>
      <c r="BB250" s="0" t="n"/>
      <c r="BC250" s="0" t="n"/>
      <c r="BD250" s="0" t="n"/>
      <c r="BE250" s="0" t="n"/>
      <c r="BF250" s="0" t="n"/>
      <c r="BG250" s="0" t="n"/>
      <c r="BH250" s="0" t="n"/>
      <c r="BI250" s="0" t="n"/>
      <c r="BJ250" s="0" t="n"/>
      <c r="BK250" s="0" t="n"/>
      <c r="BL250" s="0" t="n"/>
      <c r="BM250" s="0" t="n"/>
      <c r="BN250" s="0" t="n"/>
      <c r="BO250" s="0" t="n"/>
      <c r="BP250" s="0" t="n"/>
    </row>
    <row hidden="false" ht="15" outlineLevel="0" r="251">
      <c r="A251" s="116" t="n">
        <f aca="false" ca="false" dt2D="false" dtr="false" t="normal">+A250+1</f>
        <v>232</v>
      </c>
      <c r="B251" s="117" t="n">
        <f aca="false" ca="false" dt2D="false" dtr="false" t="normal">+B250+1</f>
        <v>44</v>
      </c>
      <c r="C251" s="104" t="s">
        <v>111</v>
      </c>
      <c r="D251" s="117" t="s">
        <v>135</v>
      </c>
      <c r="E251" s="113" t="n">
        <f aca="false" ca="true" dt2D="false" dtr="false" t="normal">SUBTOTAL(9, F251:T251)</f>
        <v>7129845.5600000005</v>
      </c>
      <c r="F251" s="114" t="n">
        <v>3308322.58</v>
      </c>
      <c r="G251" s="114" t="n">
        <v>2035764.2</v>
      </c>
      <c r="H251" s="114" t="n">
        <v>882116.62</v>
      </c>
      <c r="I251" s="114" t="n">
        <v>903642.16</v>
      </c>
      <c r="J251" s="114" t="n">
        <v>0</v>
      </c>
      <c r="K251" s="114" t="n"/>
      <c r="L251" s="114" t="n"/>
      <c r="M251" s="114" t="n">
        <v>0</v>
      </c>
      <c r="N251" s="114" t="n">
        <v>0</v>
      </c>
      <c r="O251" s="114" t="n">
        <v>0</v>
      </c>
      <c r="P251" s="114" t="n"/>
      <c r="Q251" s="114" t="n">
        <v>0</v>
      </c>
      <c r="R251" s="114" t="n"/>
      <c r="S251" s="114" t="n"/>
      <c r="T251" s="115" t="n"/>
      <c r="U251" s="0" t="n"/>
      <c r="V251" s="0" t="n"/>
      <c r="W251" s="0" t="n"/>
      <c r="X251" s="0" t="n"/>
      <c r="Y251" s="0" t="n"/>
      <c r="Z251" s="0" t="n"/>
      <c r="AA251" s="0" t="n"/>
      <c r="AB251" s="0" t="n"/>
      <c r="AC251" s="0" t="n"/>
      <c r="AD251" s="0" t="n"/>
      <c r="AE251" s="0" t="n"/>
      <c r="AF251" s="0" t="n"/>
      <c r="AG251" s="0" t="n"/>
      <c r="AH251" s="0" t="n"/>
      <c r="AI251" s="0" t="n"/>
      <c r="AJ251" s="0" t="n"/>
      <c r="AK251" s="0" t="n"/>
      <c r="AL251" s="0" t="n"/>
      <c r="AM251" s="0" t="n"/>
      <c r="AN251" s="0" t="n"/>
      <c r="AO251" s="0" t="n"/>
      <c r="AP251" s="0" t="n"/>
      <c r="AQ251" s="0" t="n"/>
      <c r="AR251" s="0" t="n"/>
      <c r="AS251" s="0" t="n"/>
      <c r="AT251" s="0" t="n"/>
      <c r="AU251" s="0" t="n"/>
      <c r="AV251" s="0" t="n"/>
      <c r="AW251" s="0" t="n"/>
      <c r="AX251" s="0" t="n"/>
      <c r="AY251" s="0" t="n"/>
      <c r="AZ251" s="0" t="n"/>
      <c r="BA251" s="0" t="n"/>
      <c r="BB251" s="0" t="n"/>
      <c r="BC251" s="0" t="n"/>
      <c r="BD251" s="0" t="n"/>
      <c r="BE251" s="0" t="n"/>
      <c r="BF251" s="0" t="n"/>
      <c r="BG251" s="0" t="n"/>
      <c r="BH251" s="0" t="n"/>
      <c r="BI251" s="0" t="n"/>
      <c r="BJ251" s="0" t="n"/>
      <c r="BK251" s="0" t="n"/>
      <c r="BL251" s="0" t="n"/>
      <c r="BM251" s="0" t="n"/>
      <c r="BN251" s="0" t="n"/>
      <c r="BO251" s="0" t="n"/>
      <c r="BP251" s="0" t="n"/>
    </row>
    <row hidden="false" ht="15" outlineLevel="0" r="252">
      <c r="A252" s="116" t="n">
        <f aca="false" ca="false" dt2D="false" dtr="false" t="normal">+A251+1</f>
        <v>233</v>
      </c>
      <c r="B252" s="117" t="n">
        <f aca="false" ca="false" dt2D="false" dtr="false" t="normal">+B251+1</f>
        <v>45</v>
      </c>
      <c r="C252" s="104" t="s">
        <v>111</v>
      </c>
      <c r="D252" s="117" t="s">
        <v>338</v>
      </c>
      <c r="E252" s="186" t="n">
        <f aca="false" ca="true" dt2D="false" dtr="false" t="normal">SUBTOTAL(9, F252:T252)</f>
        <v>14942570.33</v>
      </c>
      <c r="F252" s="114" t="n">
        <v>0</v>
      </c>
      <c r="G252" s="114" t="n">
        <v>0</v>
      </c>
      <c r="H252" s="114" t="n">
        <v>0</v>
      </c>
      <c r="I252" s="114" t="n"/>
      <c r="J252" s="114" t="n">
        <v>0</v>
      </c>
      <c r="K252" s="114" t="n"/>
      <c r="L252" s="114" t="n"/>
      <c r="M252" s="114" t="n"/>
      <c r="N252" s="114" t="n">
        <v>2182360.9</v>
      </c>
      <c r="O252" s="114" t="n">
        <v>0</v>
      </c>
      <c r="P252" s="114" t="n">
        <v>10009863.22</v>
      </c>
      <c r="Q252" s="114" t="n">
        <v>2520155.45</v>
      </c>
      <c r="R252" s="114" t="n">
        <v>212190.76</v>
      </c>
      <c r="S252" s="114" t="n">
        <v>18000</v>
      </c>
      <c r="T252" s="115" t="n"/>
      <c r="U252" s="0" t="n"/>
      <c r="V252" s="0" t="n"/>
      <c r="W252" s="0" t="n"/>
      <c r="X252" s="0" t="n"/>
      <c r="Y252" s="0" t="n"/>
      <c r="Z252" s="0" t="n"/>
      <c r="AA252" s="0" t="n"/>
      <c r="AB252" s="0" t="n"/>
      <c r="AC252" s="0" t="n"/>
      <c r="AD252" s="0" t="n"/>
      <c r="AE252" s="0" t="n"/>
      <c r="AF252" s="0" t="n"/>
      <c r="AG252" s="0" t="n"/>
      <c r="AH252" s="0" t="n"/>
      <c r="AI252" s="0" t="n"/>
      <c r="AJ252" s="0" t="n"/>
      <c r="AK252" s="0" t="n"/>
      <c r="AL252" s="0" t="n"/>
      <c r="AM252" s="0" t="n"/>
      <c r="AN252" s="0" t="n"/>
      <c r="AO252" s="0" t="n"/>
      <c r="AP252" s="0" t="n"/>
      <c r="AQ252" s="0" t="n"/>
      <c r="AR252" s="0" t="n"/>
      <c r="AS252" s="0" t="n"/>
      <c r="AT252" s="0" t="n"/>
      <c r="AU252" s="0" t="n"/>
      <c r="AV252" s="0" t="n"/>
      <c r="AW252" s="0" t="n"/>
      <c r="AX252" s="0" t="n"/>
      <c r="AY252" s="0" t="n"/>
      <c r="AZ252" s="0" t="n"/>
      <c r="BA252" s="0" t="n"/>
      <c r="BB252" s="0" t="n"/>
      <c r="BC252" s="0" t="n"/>
      <c r="BD252" s="0" t="n"/>
      <c r="BE252" s="0" t="n"/>
      <c r="BF252" s="0" t="n"/>
      <c r="BG252" s="0" t="n"/>
      <c r="BH252" s="0" t="n"/>
      <c r="BI252" s="0" t="n"/>
      <c r="BJ252" s="0" t="n"/>
      <c r="BK252" s="0" t="n"/>
      <c r="BL252" s="0" t="n"/>
      <c r="BM252" s="0" t="n"/>
      <c r="BN252" s="0" t="n"/>
      <c r="BO252" s="0" t="n"/>
      <c r="BP252" s="0" t="n"/>
    </row>
    <row hidden="false" ht="15" outlineLevel="0" r="253">
      <c r="A253" s="116" t="n">
        <f aca="false" ca="false" dt2D="false" dtr="false" t="normal">+A252+1</f>
        <v>234</v>
      </c>
      <c r="B253" s="117" t="n">
        <f aca="false" ca="false" dt2D="false" dtr="false" t="normal">+B252+1</f>
        <v>46</v>
      </c>
      <c r="C253" s="104" t="s">
        <v>111</v>
      </c>
      <c r="D253" s="117" t="s">
        <v>339</v>
      </c>
      <c r="E253" s="113" t="n">
        <f aca="false" ca="true" dt2D="false" dtr="false" t="normal">SUBTOTAL(9, F253:T253)</f>
        <v>950120</v>
      </c>
      <c r="F253" s="114" t="n">
        <v>0</v>
      </c>
      <c r="G253" s="114" t="n">
        <v>0</v>
      </c>
      <c r="H253" s="114" t="n">
        <v>0</v>
      </c>
      <c r="I253" s="114" t="n">
        <v>0</v>
      </c>
      <c r="J253" s="114" t="n">
        <v>950120</v>
      </c>
      <c r="K253" s="114" t="n"/>
      <c r="L253" s="114" t="n"/>
      <c r="M253" s="114" t="n">
        <v>0</v>
      </c>
      <c r="N253" s="114" t="n">
        <v>0</v>
      </c>
      <c r="O253" s="114" t="n">
        <v>0</v>
      </c>
      <c r="P253" s="114" t="n">
        <v>0</v>
      </c>
      <c r="Q253" s="114" t="n"/>
      <c r="R253" s="114" t="n"/>
      <c r="S253" s="114" t="n"/>
      <c r="T253" s="115" t="n"/>
      <c r="U253" s="0" t="n"/>
      <c r="V253" s="0" t="n"/>
      <c r="W253" s="0" t="n"/>
      <c r="X253" s="0" t="n"/>
      <c r="Y253" s="0" t="n"/>
      <c r="Z253" s="0" t="n"/>
      <c r="AA253" s="0" t="n"/>
      <c r="AB253" s="0" t="n"/>
      <c r="AC253" s="0" t="n"/>
      <c r="AD253" s="0" t="n"/>
      <c r="AE253" s="0" t="n"/>
      <c r="AF253" s="0" t="n"/>
      <c r="AG253" s="0" t="n"/>
      <c r="AH253" s="0" t="n"/>
      <c r="AI253" s="0" t="n"/>
      <c r="AJ253" s="0" t="n"/>
      <c r="AK253" s="0" t="n"/>
      <c r="AL253" s="0" t="n"/>
      <c r="AM253" s="0" t="n"/>
      <c r="AN253" s="0" t="n"/>
      <c r="AO253" s="0" t="n"/>
      <c r="AP253" s="0" t="n"/>
      <c r="AQ253" s="0" t="n"/>
      <c r="AR253" s="0" t="n"/>
      <c r="AS253" s="0" t="n"/>
      <c r="AT253" s="0" t="n"/>
      <c r="AU253" s="0" t="n"/>
      <c r="AV253" s="0" t="n"/>
      <c r="AW253" s="0" t="n"/>
      <c r="AX253" s="0" t="n"/>
      <c r="AY253" s="0" t="n"/>
      <c r="AZ253" s="0" t="n"/>
      <c r="BA253" s="0" t="n"/>
      <c r="BB253" s="0" t="n"/>
      <c r="BC253" s="0" t="n"/>
      <c r="BD253" s="0" t="n"/>
      <c r="BE253" s="0" t="n"/>
      <c r="BF253" s="0" t="n"/>
      <c r="BG253" s="0" t="n"/>
      <c r="BH253" s="0" t="n"/>
      <c r="BI253" s="0" t="n"/>
      <c r="BJ253" s="0" t="n"/>
      <c r="BK253" s="0" t="n"/>
      <c r="BL253" s="0" t="n"/>
      <c r="BM253" s="0" t="n"/>
      <c r="BN253" s="0" t="n"/>
      <c r="BO253" s="0" t="n"/>
      <c r="BP253" s="0" t="n"/>
    </row>
    <row hidden="false" ht="15" outlineLevel="0" r="254">
      <c r="A254" s="116" t="n">
        <f aca="false" ca="false" dt2D="false" dtr="false" t="normal">+A253+1</f>
        <v>235</v>
      </c>
      <c r="B254" s="117" t="n">
        <f aca="false" ca="false" dt2D="false" dtr="false" t="normal">+B253+1</f>
        <v>47</v>
      </c>
      <c r="C254" s="104" t="s">
        <v>111</v>
      </c>
      <c r="D254" s="117" t="s">
        <v>340</v>
      </c>
      <c r="E254" s="186" t="n">
        <f aca="false" ca="true" dt2D="false" dtr="false" t="normal">SUBTOTAL(9, F254:T254)</f>
        <v>5220768.84</v>
      </c>
      <c r="F254" s="114" t="n"/>
      <c r="G254" s="114" t="n"/>
      <c r="H254" s="114" t="n">
        <v>1355646.84</v>
      </c>
      <c r="I254" s="114" t="n"/>
      <c r="J254" s="114" t="n"/>
      <c r="K254" s="114" t="n"/>
      <c r="L254" s="114" t="n"/>
      <c r="M254" s="114" t="n">
        <v>0</v>
      </c>
      <c r="N254" s="114" t="n">
        <v>3865122</v>
      </c>
      <c r="O254" s="114" t="n">
        <v>0</v>
      </c>
      <c r="P254" s="114" t="n"/>
      <c r="Q254" s="114" t="n"/>
      <c r="R254" s="114" t="n"/>
      <c r="S254" s="114" t="n"/>
      <c r="T254" s="115" t="n"/>
      <c r="U254" s="0" t="n"/>
      <c r="V254" s="0" t="n"/>
      <c r="W254" s="0" t="n"/>
      <c r="X254" s="0" t="n"/>
      <c r="Y254" s="0" t="n"/>
      <c r="Z254" s="0" t="n"/>
      <c r="AA254" s="0" t="n"/>
      <c r="AB254" s="0" t="n"/>
      <c r="AC254" s="0" t="n"/>
      <c r="AD254" s="0" t="n"/>
      <c r="AE254" s="0" t="n"/>
      <c r="AF254" s="0" t="n"/>
      <c r="AG254" s="0" t="n"/>
      <c r="AH254" s="0" t="n"/>
      <c r="AI254" s="0" t="n"/>
      <c r="AJ254" s="0" t="n"/>
      <c r="AK254" s="0" t="n"/>
      <c r="AL254" s="0" t="n"/>
      <c r="AM254" s="0" t="n"/>
      <c r="AN254" s="0" t="n"/>
      <c r="AO254" s="0" t="n"/>
      <c r="AP254" s="0" t="n"/>
      <c r="AQ254" s="0" t="n"/>
      <c r="AR254" s="0" t="n"/>
      <c r="AS254" s="0" t="n"/>
      <c r="AT254" s="0" t="n"/>
      <c r="AU254" s="0" t="n"/>
      <c r="AV254" s="0" t="n"/>
      <c r="AW254" s="0" t="n"/>
      <c r="AX254" s="0" t="n"/>
      <c r="AY254" s="0" t="n"/>
      <c r="AZ254" s="0" t="n"/>
      <c r="BA254" s="0" t="n"/>
      <c r="BB254" s="0" t="n"/>
      <c r="BC254" s="0" t="n"/>
      <c r="BD254" s="0" t="n"/>
      <c r="BE254" s="0" t="n"/>
      <c r="BF254" s="0" t="n"/>
      <c r="BG254" s="0" t="n"/>
      <c r="BH254" s="0" t="n"/>
      <c r="BI254" s="0" t="n"/>
      <c r="BJ254" s="0" t="n"/>
      <c r="BK254" s="0" t="n"/>
      <c r="BL254" s="0" t="n"/>
      <c r="BM254" s="0" t="n"/>
      <c r="BN254" s="0" t="n"/>
      <c r="BO254" s="0" t="n"/>
      <c r="BP254" s="0" t="n"/>
    </row>
    <row hidden="false" ht="15" outlineLevel="0" r="255">
      <c r="A255" s="116" t="n">
        <f aca="false" ca="false" dt2D="false" dtr="false" t="normal">+A254+1</f>
        <v>236</v>
      </c>
      <c r="B255" s="117" t="n">
        <f aca="false" ca="false" dt2D="false" dtr="false" t="normal">+B254+1</f>
        <v>48</v>
      </c>
      <c r="C255" s="104" t="s">
        <v>111</v>
      </c>
      <c r="D255" s="117" t="s">
        <v>342</v>
      </c>
      <c r="E255" s="113" t="n">
        <f aca="false" ca="true" dt2D="false" dtr="false" t="normal">SUBTOTAL(9, F255:T255)</f>
        <v>16398542.43</v>
      </c>
      <c r="F255" s="114" t="n">
        <v>0</v>
      </c>
      <c r="G255" s="114" t="n">
        <v>0</v>
      </c>
      <c r="H255" s="114" t="n">
        <v>0</v>
      </c>
      <c r="I255" s="114" t="n">
        <v>0</v>
      </c>
      <c r="J255" s="114" t="n">
        <v>1554723.07</v>
      </c>
      <c r="K255" s="114" t="n"/>
      <c r="L255" s="114" t="n"/>
      <c r="M255" s="114" t="n">
        <v>0</v>
      </c>
      <c r="N255" s="114" t="n">
        <v>0</v>
      </c>
      <c r="O255" s="114" t="n">
        <v>0</v>
      </c>
      <c r="P255" s="114" t="n"/>
      <c r="Q255" s="114" t="n">
        <v>14843819.36</v>
      </c>
      <c r="R255" s="114" t="n"/>
      <c r="S255" s="114" t="n"/>
      <c r="T255" s="115" t="n"/>
      <c r="U255" s="0" t="n"/>
      <c r="V255" s="0" t="n"/>
      <c r="W255" s="0" t="n"/>
      <c r="X255" s="0" t="n"/>
      <c r="Y255" s="0" t="n"/>
      <c r="Z255" s="0" t="n"/>
      <c r="AA255" s="0" t="n"/>
      <c r="AB255" s="0" t="n"/>
      <c r="AC255" s="0" t="n"/>
      <c r="AD255" s="0" t="n"/>
      <c r="AE255" s="0" t="n"/>
      <c r="AF255" s="0" t="n"/>
      <c r="AG255" s="0" t="n"/>
      <c r="AH255" s="0" t="n"/>
      <c r="AI255" s="0" t="n"/>
      <c r="AJ255" s="0" t="n"/>
      <c r="AK255" s="0" t="n"/>
      <c r="AL255" s="0" t="n"/>
      <c r="AM255" s="0" t="n"/>
      <c r="AN255" s="0" t="n"/>
      <c r="AO255" s="0" t="n"/>
      <c r="AP255" s="0" t="n"/>
      <c r="AQ255" s="0" t="n"/>
      <c r="AR255" s="0" t="n"/>
      <c r="AS255" s="0" t="n"/>
      <c r="AT255" s="0" t="n"/>
      <c r="AU255" s="0" t="n"/>
      <c r="AV255" s="0" t="n"/>
      <c r="AW255" s="0" t="n"/>
      <c r="AX255" s="0" t="n"/>
      <c r="AY255" s="0" t="n"/>
      <c r="AZ255" s="0" t="n"/>
      <c r="BA255" s="0" t="n"/>
      <c r="BB255" s="0" t="n"/>
      <c r="BC255" s="0" t="n"/>
      <c r="BD255" s="0" t="n"/>
      <c r="BE255" s="0" t="n"/>
      <c r="BF255" s="0" t="n"/>
      <c r="BG255" s="0" t="n"/>
      <c r="BH255" s="0" t="n"/>
      <c r="BI255" s="0" t="n"/>
      <c r="BJ255" s="0" t="n"/>
      <c r="BK255" s="0" t="n"/>
      <c r="BL255" s="0" t="n"/>
      <c r="BM255" s="0" t="n"/>
      <c r="BN255" s="0" t="n"/>
      <c r="BO255" s="0" t="n"/>
      <c r="BP255" s="0" t="n"/>
    </row>
    <row hidden="false" ht="15" outlineLevel="0" r="256">
      <c r="A256" s="116" t="n">
        <f aca="false" ca="false" dt2D="false" dtr="false" t="normal">+A255+1</f>
        <v>237</v>
      </c>
      <c r="B256" s="117" t="n">
        <f aca="false" ca="false" dt2D="false" dtr="false" t="normal">+B255+1</f>
        <v>49</v>
      </c>
      <c r="C256" s="104" t="s">
        <v>111</v>
      </c>
      <c r="D256" s="117" t="s">
        <v>343</v>
      </c>
      <c r="E256" s="186" t="n">
        <f aca="false" ca="true" dt2D="false" dtr="false" t="normal">SUBTOTAL(9, F256:T256)</f>
        <v>25543712.86</v>
      </c>
      <c r="F256" s="114" t="n">
        <v>6875735.22</v>
      </c>
      <c r="G256" s="114" t="n">
        <v>3918496.3</v>
      </c>
      <c r="H256" s="114" t="n">
        <v>3290123.15</v>
      </c>
      <c r="I256" s="114" t="n">
        <v>2154394.91</v>
      </c>
      <c r="J256" s="114" t="n">
        <v>0</v>
      </c>
      <c r="K256" s="114" t="n"/>
      <c r="L256" s="114" t="n"/>
      <c r="M256" s="114" t="n"/>
      <c r="N256" s="114" t="n">
        <v>9062303.33</v>
      </c>
      <c r="O256" s="114" t="n">
        <v>0</v>
      </c>
      <c r="P256" s="114" t="n">
        <v>0</v>
      </c>
      <c r="Q256" s="114" t="n">
        <v>0</v>
      </c>
      <c r="R256" s="114" t="n">
        <v>218659.95</v>
      </c>
      <c r="S256" s="114" t="n">
        <v>24000</v>
      </c>
      <c r="T256" s="115" t="n"/>
      <c r="U256" s="0" t="n"/>
      <c r="V256" s="0" t="n"/>
      <c r="W256" s="0" t="n"/>
      <c r="X256" s="0" t="n"/>
      <c r="Y256" s="0" t="n"/>
      <c r="Z256" s="0" t="n"/>
      <c r="AA256" s="0" t="n"/>
      <c r="AB256" s="0" t="n"/>
      <c r="AC256" s="0" t="n"/>
      <c r="AD256" s="0" t="n"/>
      <c r="AE256" s="0" t="n"/>
      <c r="AF256" s="0" t="n"/>
      <c r="AG256" s="0" t="n"/>
      <c r="AH256" s="0" t="n"/>
      <c r="AI256" s="0" t="n"/>
      <c r="AJ256" s="0" t="n"/>
      <c r="AK256" s="0" t="n"/>
      <c r="AL256" s="0" t="n"/>
      <c r="AM256" s="0" t="n"/>
      <c r="AN256" s="0" t="n"/>
      <c r="AO256" s="0" t="n"/>
      <c r="AP256" s="0" t="n"/>
      <c r="AQ256" s="0" t="n"/>
      <c r="AR256" s="0" t="n"/>
      <c r="AS256" s="0" t="n"/>
      <c r="AT256" s="0" t="n"/>
      <c r="AU256" s="0" t="n"/>
      <c r="AV256" s="0" t="n"/>
      <c r="AW256" s="0" t="n"/>
      <c r="AX256" s="0" t="n"/>
      <c r="AY256" s="0" t="n"/>
      <c r="AZ256" s="0" t="n"/>
      <c r="BA256" s="0" t="n"/>
      <c r="BB256" s="0" t="n"/>
      <c r="BC256" s="0" t="n"/>
      <c r="BD256" s="0" t="n"/>
      <c r="BE256" s="0" t="n"/>
      <c r="BF256" s="0" t="n"/>
      <c r="BG256" s="0" t="n"/>
      <c r="BH256" s="0" t="n"/>
      <c r="BI256" s="0" t="n"/>
      <c r="BJ256" s="0" t="n"/>
      <c r="BK256" s="0" t="n"/>
      <c r="BL256" s="0" t="n"/>
      <c r="BM256" s="0" t="n"/>
      <c r="BN256" s="0" t="n"/>
      <c r="BO256" s="0" t="n"/>
      <c r="BP256" s="0" t="n"/>
    </row>
    <row hidden="false" ht="15" outlineLevel="0" r="257">
      <c r="A257" s="116" t="n">
        <f aca="false" ca="false" dt2D="false" dtr="false" t="normal">+A256+1</f>
        <v>238</v>
      </c>
      <c r="B257" s="117" t="n">
        <f aca="false" ca="false" dt2D="false" dtr="false" t="normal">+B256+1</f>
        <v>50</v>
      </c>
      <c r="C257" s="104" t="s">
        <v>111</v>
      </c>
      <c r="D257" s="117" t="s">
        <v>344</v>
      </c>
      <c r="E257" s="186" t="n">
        <f aca="false" ca="true" dt2D="false" dtr="false" t="normal">SUBTOTAL(9, F257:T257)</f>
        <v>7988406.0600000005</v>
      </c>
      <c r="F257" s="114" t="n"/>
      <c r="G257" s="114" t="n"/>
      <c r="H257" s="114" t="n"/>
      <c r="I257" s="114" t="n"/>
      <c r="J257" s="114" t="n"/>
      <c r="K257" s="114" t="n"/>
      <c r="L257" s="114" t="n"/>
      <c r="M257" s="114" t="n"/>
      <c r="N257" s="114" t="n">
        <v>7724626.69</v>
      </c>
      <c r="O257" s="114" t="n"/>
      <c r="P257" s="114" t="n"/>
      <c r="Q257" s="114" t="n"/>
      <c r="R257" s="114" t="n">
        <v>239779.37</v>
      </c>
      <c r="S257" s="114" t="n">
        <v>24000</v>
      </c>
      <c r="T257" s="115" t="n"/>
      <c r="U257" s="0" t="n"/>
      <c r="V257" s="0" t="n"/>
      <c r="W257" s="0" t="n"/>
      <c r="X257" s="0" t="n"/>
      <c r="Y257" s="0" t="n"/>
      <c r="Z257" s="0" t="n"/>
      <c r="AA257" s="0" t="n"/>
      <c r="AB257" s="0" t="n"/>
      <c r="AC257" s="0" t="n"/>
      <c r="AD257" s="0" t="n"/>
      <c r="AE257" s="0" t="n"/>
      <c r="AF257" s="0" t="n"/>
      <c r="AG257" s="0" t="n"/>
      <c r="AH257" s="0" t="n"/>
      <c r="AI257" s="0" t="n"/>
      <c r="AJ257" s="0" t="n"/>
      <c r="AK257" s="0" t="n"/>
      <c r="AL257" s="0" t="n"/>
      <c r="AM257" s="0" t="n"/>
      <c r="AN257" s="0" t="n"/>
      <c r="AO257" s="0" t="n"/>
      <c r="AP257" s="0" t="n"/>
      <c r="AQ257" s="0" t="n"/>
      <c r="AR257" s="0" t="n"/>
      <c r="AS257" s="0" t="n"/>
      <c r="AT257" s="0" t="n"/>
      <c r="AU257" s="0" t="n"/>
      <c r="AV257" s="0" t="n"/>
      <c r="AW257" s="0" t="n"/>
      <c r="AX257" s="0" t="n"/>
      <c r="AY257" s="0" t="n"/>
      <c r="AZ257" s="0" t="n"/>
      <c r="BA257" s="0" t="n"/>
      <c r="BB257" s="0" t="n"/>
      <c r="BC257" s="0" t="n"/>
      <c r="BD257" s="0" t="n"/>
      <c r="BE257" s="0" t="n"/>
      <c r="BF257" s="0" t="n"/>
      <c r="BG257" s="0" t="n"/>
      <c r="BH257" s="0" t="n"/>
      <c r="BI257" s="0" t="n"/>
      <c r="BJ257" s="0" t="n"/>
      <c r="BK257" s="0" t="n"/>
      <c r="BL257" s="0" t="n"/>
      <c r="BM257" s="0" t="n"/>
      <c r="BN257" s="0" t="n"/>
      <c r="BO257" s="0" t="n"/>
      <c r="BP257" s="0" t="n"/>
    </row>
    <row hidden="false" ht="15" outlineLevel="0" r="258">
      <c r="A258" s="116" t="n">
        <f aca="false" ca="false" dt2D="false" dtr="false" t="normal">+A257+1</f>
        <v>239</v>
      </c>
      <c r="B258" s="117" t="n">
        <f aca="false" ca="false" dt2D="false" dtr="false" t="normal">+B257+1</f>
        <v>51</v>
      </c>
      <c r="C258" s="104" t="s">
        <v>111</v>
      </c>
      <c r="D258" s="117" t="s">
        <v>346</v>
      </c>
      <c r="E258" s="186" t="n">
        <f aca="false" ca="true" dt2D="false" dtr="false" t="normal">SUBTOTAL(9, F258:T258)</f>
        <v>10694243.400000002</v>
      </c>
      <c r="F258" s="114" t="n"/>
      <c r="G258" s="114" t="n"/>
      <c r="H258" s="114" t="n">
        <v>1713863.8</v>
      </c>
      <c r="I258" s="114" t="n"/>
      <c r="J258" s="114" t="n"/>
      <c r="K258" s="114" t="n"/>
      <c r="L258" s="114" t="n"/>
      <c r="M258" s="114" t="n">
        <v>0</v>
      </c>
      <c r="N258" s="114" t="n">
        <v>8587544.47</v>
      </c>
      <c r="O258" s="114" t="n">
        <v>0</v>
      </c>
      <c r="P258" s="114" t="n">
        <v>0</v>
      </c>
      <c r="Q258" s="114" t="n">
        <v>0</v>
      </c>
      <c r="R258" s="114" t="n">
        <v>384835.13</v>
      </c>
      <c r="S258" s="114" t="n">
        <v>8000</v>
      </c>
      <c r="T258" s="115" t="n"/>
      <c r="U258" s="0" t="n"/>
      <c r="V258" s="0" t="n"/>
      <c r="W258" s="0" t="n"/>
      <c r="X258" s="0" t="n"/>
      <c r="Y258" s="0" t="n"/>
      <c r="Z258" s="0" t="n"/>
      <c r="AA258" s="0" t="n"/>
      <c r="AB258" s="0" t="n"/>
      <c r="AC258" s="0" t="n"/>
      <c r="AD258" s="0" t="n"/>
      <c r="AE258" s="0" t="n"/>
      <c r="AF258" s="0" t="n"/>
      <c r="AG258" s="0" t="n"/>
      <c r="AH258" s="0" t="n"/>
      <c r="AI258" s="0" t="n"/>
      <c r="AJ258" s="0" t="n"/>
      <c r="AK258" s="0" t="n"/>
      <c r="AL258" s="0" t="n"/>
      <c r="AM258" s="0" t="n"/>
      <c r="AN258" s="0" t="n"/>
      <c r="AO258" s="0" t="n"/>
      <c r="AP258" s="0" t="n"/>
      <c r="AQ258" s="0" t="n"/>
      <c r="AR258" s="0" t="n"/>
      <c r="AS258" s="0" t="n"/>
      <c r="AT258" s="0" t="n"/>
      <c r="AU258" s="0" t="n"/>
      <c r="AV258" s="0" t="n"/>
      <c r="AW258" s="0" t="n"/>
      <c r="AX258" s="0" t="n"/>
      <c r="AY258" s="0" t="n"/>
      <c r="AZ258" s="0" t="n"/>
      <c r="BA258" s="0" t="n"/>
      <c r="BB258" s="0" t="n"/>
      <c r="BC258" s="0" t="n"/>
      <c r="BD258" s="0" t="n"/>
      <c r="BE258" s="0" t="n"/>
      <c r="BF258" s="0" t="n"/>
      <c r="BG258" s="0" t="n"/>
      <c r="BH258" s="0" t="n"/>
      <c r="BI258" s="0" t="n"/>
      <c r="BJ258" s="0" t="n"/>
      <c r="BK258" s="0" t="n"/>
      <c r="BL258" s="0" t="n"/>
      <c r="BM258" s="0" t="n"/>
      <c r="BN258" s="0" t="n"/>
      <c r="BO258" s="0" t="n"/>
      <c r="BP258" s="0" t="n"/>
    </row>
    <row hidden="false" ht="15" outlineLevel="0" r="259">
      <c r="A259" s="116" t="n">
        <f aca="false" ca="false" dt2D="false" dtr="false" t="normal">+A258+1</f>
        <v>240</v>
      </c>
      <c r="B259" s="117" t="n">
        <f aca="false" ca="false" dt2D="false" dtr="false" t="normal">+B258+1</f>
        <v>52</v>
      </c>
      <c r="C259" s="104" t="s">
        <v>111</v>
      </c>
      <c r="D259" s="117" t="s">
        <v>348</v>
      </c>
      <c r="E259" s="113" t="n">
        <f aca="false" ca="true" dt2D="false" dtr="false" t="normal">SUBTOTAL(9, F259:T259)</f>
        <v>20897027.44</v>
      </c>
      <c r="F259" s="114" t="n">
        <v>4390563.84</v>
      </c>
      <c r="G259" s="114" t="n">
        <v>3052029.01</v>
      </c>
      <c r="H259" s="114" t="n">
        <v>1727150.4</v>
      </c>
      <c r="I259" s="114" t="n">
        <v>1510543.31</v>
      </c>
      <c r="J259" s="114" t="n"/>
      <c r="K259" s="114" t="n"/>
      <c r="L259" s="114" t="n"/>
      <c r="M259" s="114" t="n">
        <v>0</v>
      </c>
      <c r="N259" s="114" t="n">
        <v>0</v>
      </c>
      <c r="O259" s="114" t="n">
        <v>0</v>
      </c>
      <c r="P259" s="114" t="n">
        <v>0</v>
      </c>
      <c r="Q259" s="114" t="n">
        <v>9155754.39</v>
      </c>
      <c r="R259" s="114" t="n">
        <v>1031786.49</v>
      </c>
      <c r="S259" s="114" t="n">
        <v>29200</v>
      </c>
      <c r="T259" s="115" t="n"/>
      <c r="U259" s="0" t="n"/>
      <c r="V259" s="0" t="n"/>
      <c r="W259" s="0" t="n"/>
      <c r="X259" s="0" t="n"/>
      <c r="Y259" s="0" t="n"/>
      <c r="Z259" s="0" t="n"/>
      <c r="AA259" s="0" t="n"/>
      <c r="AB259" s="0" t="n"/>
      <c r="AC259" s="0" t="n"/>
      <c r="AD259" s="0" t="n"/>
      <c r="AE259" s="0" t="n"/>
      <c r="AF259" s="0" t="n"/>
      <c r="AG259" s="0" t="n"/>
      <c r="AH259" s="0" t="n"/>
      <c r="AI259" s="0" t="n"/>
      <c r="AJ259" s="0" t="n"/>
      <c r="AK259" s="0" t="n"/>
      <c r="AL259" s="0" t="n"/>
      <c r="AM259" s="0" t="n"/>
      <c r="AN259" s="0" t="n"/>
      <c r="AO259" s="0" t="n"/>
      <c r="AP259" s="0" t="n"/>
      <c r="AQ259" s="0" t="n"/>
      <c r="AR259" s="0" t="n"/>
      <c r="AS259" s="0" t="n"/>
      <c r="AT259" s="0" t="n"/>
      <c r="AU259" s="0" t="n"/>
      <c r="AV259" s="0" t="n"/>
      <c r="AW259" s="0" t="n"/>
      <c r="AX259" s="0" t="n"/>
      <c r="AY259" s="0" t="n"/>
      <c r="AZ259" s="0" t="n"/>
      <c r="BA259" s="0" t="n"/>
      <c r="BB259" s="0" t="n"/>
      <c r="BC259" s="0" t="n"/>
      <c r="BD259" s="0" t="n"/>
      <c r="BE259" s="0" t="n"/>
      <c r="BF259" s="0" t="n"/>
      <c r="BG259" s="0" t="n"/>
      <c r="BH259" s="0" t="n"/>
      <c r="BI259" s="0" t="n"/>
      <c r="BJ259" s="0" t="n"/>
      <c r="BK259" s="0" t="n"/>
      <c r="BL259" s="0" t="n"/>
      <c r="BM259" s="0" t="n"/>
      <c r="BN259" s="0" t="n"/>
      <c r="BO259" s="0" t="n"/>
      <c r="BP259" s="0" t="n"/>
    </row>
    <row hidden="false" ht="15" outlineLevel="0" r="260">
      <c r="A260" s="116" t="n">
        <f aca="false" ca="false" dt2D="false" dtr="false" t="normal">+A259+1</f>
        <v>241</v>
      </c>
      <c r="B260" s="117" t="n">
        <f aca="false" ca="false" dt2D="false" dtr="false" t="normal">+B259+1</f>
        <v>53</v>
      </c>
      <c r="C260" s="104" t="s">
        <v>111</v>
      </c>
      <c r="D260" s="117" t="s">
        <v>138</v>
      </c>
      <c r="E260" s="113" t="n">
        <f aca="false" ca="true" dt2D="false" dtr="false" t="normal">SUBTOTAL(9, F260:T260)</f>
        <v>15205863.189999998</v>
      </c>
      <c r="F260" s="114" t="n"/>
      <c r="G260" s="114" t="n">
        <v>5603246.21</v>
      </c>
      <c r="H260" s="114" t="n">
        <v>2551720.82</v>
      </c>
      <c r="I260" s="114" t="n">
        <v>3180773.21</v>
      </c>
      <c r="J260" s="114" t="n"/>
      <c r="K260" s="114" t="n"/>
      <c r="L260" s="114" t="n"/>
      <c r="M260" s="114" t="n">
        <v>0</v>
      </c>
      <c r="N260" s="114" t="n">
        <v>0</v>
      </c>
      <c r="O260" s="114" t="n">
        <v>0</v>
      </c>
      <c r="P260" s="114" t="n">
        <v>0</v>
      </c>
      <c r="Q260" s="114" t="n">
        <v>3870122.95</v>
      </c>
      <c r="R260" s="114" t="n"/>
      <c r="S260" s="114" t="n"/>
      <c r="T260" s="115" t="n"/>
      <c r="U260" s="0" t="n"/>
      <c r="V260" s="0" t="n"/>
      <c r="W260" s="0" t="n"/>
      <c r="X260" s="0" t="n"/>
      <c r="Y260" s="0" t="n"/>
      <c r="Z260" s="0" t="n"/>
      <c r="AA260" s="0" t="n"/>
      <c r="AB260" s="0" t="n"/>
      <c r="AC260" s="0" t="n"/>
      <c r="AD260" s="0" t="n"/>
      <c r="AE260" s="0" t="n"/>
      <c r="AF260" s="0" t="n"/>
      <c r="AG260" s="0" t="n"/>
      <c r="AH260" s="0" t="n"/>
      <c r="AI260" s="0" t="n"/>
      <c r="AJ260" s="0" t="n"/>
      <c r="AK260" s="0" t="n"/>
      <c r="AL260" s="0" t="n"/>
      <c r="AM260" s="0" t="n"/>
      <c r="AN260" s="0" t="n"/>
      <c r="AO260" s="0" t="n"/>
      <c r="AP260" s="0" t="n"/>
      <c r="AQ260" s="0" t="n"/>
      <c r="AR260" s="0" t="n"/>
      <c r="AS260" s="0" t="n"/>
      <c r="AT260" s="0" t="n"/>
      <c r="AU260" s="0" t="n"/>
      <c r="AV260" s="0" t="n"/>
      <c r="AW260" s="0" t="n"/>
      <c r="AX260" s="0" t="n"/>
      <c r="AY260" s="0" t="n"/>
      <c r="AZ260" s="0" t="n"/>
      <c r="BA260" s="0" t="n"/>
      <c r="BB260" s="0" t="n"/>
      <c r="BC260" s="0" t="n"/>
      <c r="BD260" s="0" t="n"/>
      <c r="BE260" s="0" t="n"/>
      <c r="BF260" s="0" t="n"/>
      <c r="BG260" s="0" t="n"/>
      <c r="BH260" s="0" t="n"/>
      <c r="BI260" s="0" t="n"/>
      <c r="BJ260" s="0" t="n"/>
      <c r="BK260" s="0" t="n"/>
      <c r="BL260" s="0" t="n"/>
      <c r="BM260" s="0" t="n"/>
      <c r="BN260" s="0" t="n"/>
      <c r="BO260" s="0" t="n"/>
      <c r="BP260" s="0" t="n"/>
    </row>
    <row hidden="false" ht="15" outlineLevel="0" r="261">
      <c r="A261" s="116" t="n">
        <f aca="false" ca="false" dt2D="false" dtr="false" t="normal">+A260+1</f>
        <v>242</v>
      </c>
      <c r="B261" s="117" t="n">
        <f aca="false" ca="false" dt2D="false" dtr="false" t="normal">+B260+1</f>
        <v>54</v>
      </c>
      <c r="C261" s="104" t="s">
        <v>111</v>
      </c>
      <c r="D261" s="117" t="s">
        <v>350</v>
      </c>
      <c r="E261" s="113" t="n">
        <f aca="false" ca="true" dt2D="false" dtr="false" t="normal">SUBTOTAL(9, F261:T261)</f>
        <v>1990601.96</v>
      </c>
      <c r="F261" s="114" t="n">
        <v>0</v>
      </c>
      <c r="G261" s="114" t="n">
        <v>0</v>
      </c>
      <c r="H261" s="114" t="n">
        <v>0</v>
      </c>
      <c r="I261" s="114" t="n">
        <v>0</v>
      </c>
      <c r="J261" s="114" t="n">
        <v>1990601.96</v>
      </c>
      <c r="K261" s="114" t="n"/>
      <c r="L261" s="114" t="n"/>
      <c r="M261" s="114" t="n">
        <v>0</v>
      </c>
      <c r="N261" s="114" t="n">
        <v>0</v>
      </c>
      <c r="O261" s="114" t="n">
        <v>0</v>
      </c>
      <c r="P261" s="114" t="n">
        <v>0</v>
      </c>
      <c r="Q261" s="114" t="n">
        <v>0</v>
      </c>
      <c r="R261" s="114" t="n"/>
      <c r="S261" s="114" t="n"/>
      <c r="T261" s="115" t="n"/>
      <c r="U261" s="0" t="n"/>
      <c r="V261" s="0" t="n"/>
      <c r="W261" s="0" t="n"/>
      <c r="X261" s="0" t="n"/>
      <c r="Y261" s="0" t="n"/>
      <c r="Z261" s="0" t="n"/>
      <c r="AA261" s="0" t="n"/>
      <c r="AB261" s="0" t="n"/>
      <c r="AC261" s="0" t="n"/>
      <c r="AD261" s="0" t="n"/>
      <c r="AE261" s="0" t="n"/>
      <c r="AF261" s="0" t="n"/>
      <c r="AG261" s="0" t="n"/>
      <c r="AH261" s="0" t="n"/>
      <c r="AI261" s="0" t="n"/>
      <c r="AJ261" s="0" t="n"/>
      <c r="AK261" s="0" t="n"/>
      <c r="AL261" s="0" t="n"/>
      <c r="AM261" s="0" t="n"/>
      <c r="AN261" s="0" t="n"/>
      <c r="AO261" s="0" t="n"/>
      <c r="AP261" s="0" t="n"/>
      <c r="AQ261" s="0" t="n"/>
      <c r="AR261" s="0" t="n"/>
      <c r="AS261" s="0" t="n"/>
      <c r="AT261" s="0" t="n"/>
      <c r="AU261" s="0" t="n"/>
      <c r="AV261" s="0" t="n"/>
      <c r="AW261" s="0" t="n"/>
      <c r="AX261" s="0" t="n"/>
      <c r="AY261" s="0" t="n"/>
      <c r="AZ261" s="0" t="n"/>
      <c r="BA261" s="0" t="n"/>
      <c r="BB261" s="0" t="n"/>
      <c r="BC261" s="0" t="n"/>
      <c r="BD261" s="0" t="n"/>
      <c r="BE261" s="0" t="n"/>
      <c r="BF261" s="0" t="n"/>
      <c r="BG261" s="0" t="n"/>
      <c r="BH261" s="0" t="n"/>
      <c r="BI261" s="0" t="n"/>
      <c r="BJ261" s="0" t="n"/>
      <c r="BK261" s="0" t="n"/>
      <c r="BL261" s="0" t="n"/>
      <c r="BM261" s="0" t="n"/>
      <c r="BN261" s="0" t="n"/>
      <c r="BO261" s="0" t="n"/>
      <c r="BP261" s="0" t="n"/>
    </row>
    <row hidden="false" ht="15" outlineLevel="0" r="262">
      <c r="A262" s="116" t="n">
        <f aca="false" ca="false" dt2D="false" dtr="false" t="normal">+A261+1</f>
        <v>243</v>
      </c>
      <c r="B262" s="117" t="n">
        <f aca="false" ca="false" dt2D="false" dtr="false" t="normal">+B261+1</f>
        <v>55</v>
      </c>
      <c r="C262" s="104" t="s">
        <v>111</v>
      </c>
      <c r="D262" s="117" t="s">
        <v>351</v>
      </c>
      <c r="E262" s="186" t="n">
        <f aca="false" ca="true" dt2D="false" dtr="false" t="normal">SUBTOTAL(9, F262:T262)</f>
        <v>1808139.5</v>
      </c>
      <c r="F262" s="114" t="n"/>
      <c r="G262" s="114" t="n"/>
      <c r="H262" s="114" t="n">
        <v>1749772.5</v>
      </c>
      <c r="I262" s="114" t="n"/>
      <c r="J262" s="114" t="n"/>
      <c r="K262" s="114" t="n"/>
      <c r="L262" s="114" t="n"/>
      <c r="M262" s="114" t="n">
        <v>0</v>
      </c>
      <c r="N262" s="114" t="n">
        <v>0</v>
      </c>
      <c r="O262" s="114" t="n">
        <v>0</v>
      </c>
      <c r="P262" s="114" t="n">
        <v>0</v>
      </c>
      <c r="Q262" s="114" t="n">
        <v>0</v>
      </c>
      <c r="R262" s="114" t="n">
        <v>40450.54</v>
      </c>
      <c r="S262" s="114" t="n">
        <v>6000</v>
      </c>
      <c r="T262" s="115" t="n">
        <v>11916.46</v>
      </c>
      <c r="U262" s="0" t="n"/>
      <c r="V262" s="0" t="n"/>
      <c r="W262" s="0" t="n"/>
      <c r="X262" s="0" t="n"/>
      <c r="Y262" s="0" t="n"/>
      <c r="Z262" s="0" t="n"/>
      <c r="AA262" s="0" t="n"/>
      <c r="AB262" s="0" t="n"/>
      <c r="AC262" s="0" t="n"/>
      <c r="AD262" s="0" t="n"/>
      <c r="AE262" s="0" t="n"/>
      <c r="AF262" s="0" t="n"/>
      <c r="AG262" s="0" t="n"/>
      <c r="AH262" s="0" t="n"/>
      <c r="AI262" s="0" t="n"/>
      <c r="AJ262" s="0" t="n"/>
      <c r="AK262" s="0" t="n"/>
      <c r="AL262" s="0" t="n"/>
      <c r="AM262" s="0" t="n"/>
      <c r="AN262" s="0" t="n"/>
      <c r="AO262" s="0" t="n"/>
      <c r="AP262" s="0" t="n"/>
      <c r="AQ262" s="0" t="n"/>
      <c r="AR262" s="0" t="n"/>
      <c r="AS262" s="0" t="n"/>
      <c r="AT262" s="0" t="n"/>
      <c r="AU262" s="0" t="n"/>
      <c r="AV262" s="0" t="n"/>
      <c r="AW262" s="0" t="n"/>
      <c r="AX262" s="0" t="n"/>
      <c r="AY262" s="0" t="n"/>
      <c r="AZ262" s="0" t="n"/>
      <c r="BA262" s="0" t="n"/>
      <c r="BB262" s="0" t="n"/>
      <c r="BC262" s="0" t="n"/>
      <c r="BD262" s="0" t="n"/>
      <c r="BE262" s="0" t="n"/>
      <c r="BF262" s="0" t="n"/>
      <c r="BG262" s="0" t="n"/>
      <c r="BH262" s="0" t="n"/>
      <c r="BI262" s="0" t="n"/>
      <c r="BJ262" s="0" t="n"/>
      <c r="BK262" s="0" t="n"/>
      <c r="BL262" s="0" t="n"/>
      <c r="BM262" s="0" t="n"/>
      <c r="BN262" s="0" t="n"/>
      <c r="BO262" s="0" t="n"/>
      <c r="BP262" s="0" t="n"/>
    </row>
    <row hidden="false" ht="15" outlineLevel="0" r="263">
      <c r="A263" s="116" t="n">
        <f aca="false" ca="false" dt2D="false" dtr="false" t="normal">+A262+1</f>
        <v>244</v>
      </c>
      <c r="B263" s="117" t="n">
        <f aca="false" ca="false" dt2D="false" dtr="false" t="normal">+B262+1</f>
        <v>56</v>
      </c>
      <c r="C263" s="104" t="s">
        <v>111</v>
      </c>
      <c r="D263" s="117" t="s">
        <v>143</v>
      </c>
      <c r="E263" s="186" t="n">
        <f aca="false" ca="true" dt2D="false" dtr="false" t="normal">SUBTOTAL(9, F263:T263)</f>
        <v>15271354.73</v>
      </c>
      <c r="F263" s="114" t="n"/>
      <c r="G263" s="114" t="n"/>
      <c r="H263" s="114" t="n"/>
      <c r="I263" s="114" t="n"/>
      <c r="J263" s="114" t="n"/>
      <c r="K263" s="114" t="n"/>
      <c r="L263" s="114" t="n"/>
      <c r="M263" s="114" t="n"/>
      <c r="N263" s="114" t="n"/>
      <c r="O263" s="114" t="n"/>
      <c r="P263" s="114" t="n">
        <v>15271354.73</v>
      </c>
      <c r="Q263" s="114" t="n">
        <v>0</v>
      </c>
      <c r="R263" s="114" t="n"/>
      <c r="S263" s="114" t="n"/>
      <c r="T263" s="115" t="n"/>
      <c r="U263" s="0" t="n"/>
      <c r="V263" s="0" t="n"/>
      <c r="W263" s="0" t="n"/>
      <c r="X263" s="0" t="n"/>
      <c r="Y263" s="0" t="n"/>
      <c r="Z263" s="0" t="n"/>
      <c r="AA263" s="0" t="n"/>
      <c r="AB263" s="0" t="n"/>
      <c r="AC263" s="0" t="n"/>
      <c r="AD263" s="0" t="n"/>
      <c r="AE263" s="0" t="n"/>
      <c r="AF263" s="0" t="n"/>
      <c r="AG263" s="0" t="n"/>
      <c r="AH263" s="0" t="n"/>
      <c r="AI263" s="0" t="n"/>
      <c r="AJ263" s="0" t="n"/>
      <c r="AK263" s="0" t="n"/>
      <c r="AL263" s="0" t="n"/>
      <c r="AM263" s="0" t="n"/>
      <c r="AN263" s="0" t="n"/>
      <c r="AO263" s="0" t="n"/>
      <c r="AP263" s="0" t="n"/>
      <c r="AQ263" s="0" t="n"/>
      <c r="AR263" s="0" t="n"/>
      <c r="AS263" s="0" t="n"/>
      <c r="AT263" s="0" t="n"/>
      <c r="AU263" s="0" t="n"/>
      <c r="AV263" s="0" t="n"/>
      <c r="AW263" s="0" t="n"/>
      <c r="AX263" s="0" t="n"/>
      <c r="AY263" s="0" t="n"/>
      <c r="AZ263" s="0" t="n"/>
      <c r="BA263" s="0" t="n"/>
      <c r="BB263" s="0" t="n"/>
      <c r="BC263" s="0" t="n"/>
      <c r="BD263" s="0" t="n"/>
      <c r="BE263" s="0" t="n"/>
      <c r="BF263" s="0" t="n"/>
      <c r="BG263" s="0" t="n"/>
      <c r="BH263" s="0" t="n"/>
      <c r="BI263" s="0" t="n"/>
      <c r="BJ263" s="0" t="n"/>
      <c r="BK263" s="0" t="n"/>
      <c r="BL263" s="0" t="n"/>
      <c r="BM263" s="0" t="n"/>
      <c r="BN263" s="0" t="n"/>
      <c r="BO263" s="0" t="n"/>
      <c r="BP263" s="0" t="n"/>
    </row>
    <row hidden="false" ht="15" outlineLevel="0" r="264">
      <c r="A264" s="116" t="n">
        <f aca="false" ca="false" dt2D="false" dtr="false" t="normal">+A263+1</f>
        <v>245</v>
      </c>
      <c r="B264" s="117" t="n">
        <f aca="false" ca="false" dt2D="false" dtr="false" t="normal">+B263+1</f>
        <v>57</v>
      </c>
      <c r="C264" s="104" t="s">
        <v>111</v>
      </c>
      <c r="D264" s="117" t="s">
        <v>352</v>
      </c>
      <c r="E264" s="113" t="n">
        <f aca="false" ca="true" dt2D="false" dtr="false" t="normal">SUBTOTAL(9, F264:T264)</f>
        <v>4629807.88</v>
      </c>
      <c r="F264" s="114" t="n">
        <v>4565506.96</v>
      </c>
      <c r="G264" s="114" t="n">
        <v>0</v>
      </c>
      <c r="H264" s="114" t="n">
        <v>0</v>
      </c>
      <c r="I264" s="114" t="n">
        <v>0</v>
      </c>
      <c r="J264" s="114" t="n"/>
      <c r="K264" s="114" t="n"/>
      <c r="L264" s="114" t="n"/>
      <c r="M264" s="114" t="n">
        <v>0</v>
      </c>
      <c r="N264" s="114" t="n">
        <v>0</v>
      </c>
      <c r="O264" s="114" t="n">
        <v>0</v>
      </c>
      <c r="P264" s="114" t="n">
        <v>0</v>
      </c>
      <c r="Q264" s="114" t="n">
        <v>0</v>
      </c>
      <c r="R264" s="114" t="n">
        <v>40300.92</v>
      </c>
      <c r="S264" s="114" t="n">
        <v>24000</v>
      </c>
      <c r="T264" s="115" t="n"/>
      <c r="U264" s="0" t="n"/>
      <c r="V264" s="0" t="n"/>
      <c r="W264" s="0" t="n"/>
      <c r="X264" s="0" t="n"/>
      <c r="Y264" s="0" t="n"/>
      <c r="Z264" s="0" t="n"/>
      <c r="AA264" s="0" t="n"/>
      <c r="AB264" s="0" t="n"/>
      <c r="AC264" s="0" t="n"/>
      <c r="AD264" s="0" t="n"/>
      <c r="AE264" s="0" t="n"/>
      <c r="AF264" s="0" t="n"/>
      <c r="AG264" s="0" t="n"/>
      <c r="AH264" s="0" t="n"/>
      <c r="AI264" s="0" t="n"/>
      <c r="AJ264" s="0" t="n"/>
      <c r="AK264" s="0" t="n"/>
      <c r="AL264" s="0" t="n"/>
      <c r="AM264" s="0" t="n"/>
      <c r="AN264" s="0" t="n"/>
      <c r="AO264" s="0" t="n"/>
      <c r="AP264" s="0" t="n"/>
      <c r="AQ264" s="0" t="n"/>
      <c r="AR264" s="0" t="n"/>
      <c r="AS264" s="0" t="n"/>
      <c r="AT264" s="0" t="n"/>
      <c r="AU264" s="0" t="n"/>
      <c r="AV264" s="0" t="n"/>
      <c r="AW264" s="0" t="n"/>
      <c r="AX264" s="0" t="n"/>
      <c r="AY264" s="0" t="n"/>
      <c r="AZ264" s="0" t="n"/>
      <c r="BA264" s="0" t="n"/>
      <c r="BB264" s="0" t="n"/>
      <c r="BC264" s="0" t="n"/>
      <c r="BD264" s="0" t="n"/>
      <c r="BE264" s="0" t="n"/>
      <c r="BF264" s="0" t="n"/>
      <c r="BG264" s="0" t="n"/>
      <c r="BH264" s="0" t="n"/>
      <c r="BI264" s="0" t="n"/>
      <c r="BJ264" s="0" t="n"/>
      <c r="BK264" s="0" t="n"/>
      <c r="BL264" s="0" t="n"/>
      <c r="BM264" s="0" t="n"/>
      <c r="BN264" s="0" t="n"/>
      <c r="BO264" s="0" t="n"/>
      <c r="BP264" s="0" t="n"/>
    </row>
    <row hidden="false" ht="15" outlineLevel="0" r="265">
      <c r="A265" s="116" t="n">
        <f aca="false" ca="false" dt2D="false" dtr="false" t="normal">+A264+1</f>
        <v>246</v>
      </c>
      <c r="B265" s="117" t="n">
        <f aca="false" ca="false" dt2D="false" dtr="false" t="normal">+B264+1</f>
        <v>58</v>
      </c>
      <c r="C265" s="104" t="s">
        <v>111</v>
      </c>
      <c r="D265" s="117" t="s">
        <v>353</v>
      </c>
      <c r="E265" s="113" t="n">
        <f aca="false" ca="true" dt2D="false" dtr="false" t="normal">SUBTOTAL(9, F265:T265)</f>
        <v>1142099.19</v>
      </c>
      <c r="F265" s="114" t="n">
        <v>0</v>
      </c>
      <c r="G265" s="114" t="n">
        <v>1100224.76</v>
      </c>
      <c r="H265" s="114" t="n"/>
      <c r="I265" s="114" t="n"/>
      <c r="J265" s="114" t="n"/>
      <c r="K265" s="114" t="n"/>
      <c r="L265" s="114" t="n"/>
      <c r="M265" s="114" t="n">
        <v>0</v>
      </c>
      <c r="N265" s="114" t="n">
        <v>0</v>
      </c>
      <c r="O265" s="114" t="n">
        <v>0</v>
      </c>
      <c r="P265" s="114" t="n"/>
      <c r="Q265" s="114" t="n">
        <v>0</v>
      </c>
      <c r="R265" s="114" t="n"/>
      <c r="S265" s="114" t="n"/>
      <c r="T265" s="115" t="n">
        <v>41874.43</v>
      </c>
      <c r="U265" s="0" t="n"/>
      <c r="V265" s="0" t="n"/>
      <c r="W265" s="0" t="n"/>
      <c r="X265" s="0" t="n"/>
      <c r="Y265" s="0" t="n"/>
      <c r="Z265" s="0" t="n"/>
      <c r="AA265" s="0" t="n"/>
      <c r="AB265" s="0" t="n"/>
      <c r="AC265" s="0" t="n"/>
      <c r="AD265" s="0" t="n"/>
      <c r="AE265" s="0" t="n"/>
      <c r="AF265" s="0" t="n"/>
      <c r="AG265" s="0" t="n"/>
      <c r="AH265" s="0" t="n"/>
      <c r="AI265" s="0" t="n"/>
      <c r="AJ265" s="0" t="n"/>
      <c r="AK265" s="0" t="n"/>
      <c r="AL265" s="0" t="n"/>
      <c r="AM265" s="0" t="n"/>
      <c r="AN265" s="0" t="n"/>
      <c r="AO265" s="0" t="n"/>
      <c r="AP265" s="0" t="n"/>
      <c r="AQ265" s="0" t="n"/>
      <c r="AR265" s="0" t="n"/>
      <c r="AS265" s="0" t="n"/>
      <c r="AT265" s="0" t="n"/>
      <c r="AU265" s="0" t="n"/>
      <c r="AV265" s="0" t="n"/>
      <c r="AW265" s="0" t="n"/>
      <c r="AX265" s="0" t="n"/>
      <c r="AY265" s="0" t="n"/>
      <c r="AZ265" s="0" t="n"/>
      <c r="BA265" s="0" t="n"/>
      <c r="BB265" s="0" t="n"/>
      <c r="BC265" s="0" t="n"/>
      <c r="BD265" s="0" t="n"/>
      <c r="BE265" s="0" t="n"/>
      <c r="BF265" s="0" t="n"/>
      <c r="BG265" s="0" t="n"/>
      <c r="BH265" s="0" t="n"/>
      <c r="BI265" s="0" t="n"/>
      <c r="BJ265" s="0" t="n"/>
      <c r="BK265" s="0" t="n"/>
      <c r="BL265" s="0" t="n"/>
      <c r="BM265" s="0" t="n"/>
      <c r="BN265" s="0" t="n"/>
      <c r="BO265" s="0" t="n"/>
      <c r="BP265" s="0" t="n"/>
    </row>
    <row hidden="false" ht="15" outlineLevel="0" r="266">
      <c r="A266" s="116" t="n">
        <f aca="false" ca="false" dt2D="false" dtr="false" t="normal">+A265+1</f>
        <v>247</v>
      </c>
      <c r="B266" s="117" t="n">
        <f aca="false" ca="false" dt2D="false" dtr="false" t="normal">+B265+1</f>
        <v>59</v>
      </c>
      <c r="C266" s="104" t="s">
        <v>111</v>
      </c>
      <c r="D266" s="117" t="s">
        <v>145</v>
      </c>
      <c r="E266" s="186" t="n">
        <f aca="false" ca="true" dt2D="false" dtr="false" t="normal">SUBTOTAL(9, F266:T266)</f>
        <v>22799005.56</v>
      </c>
      <c r="F266" s="114" t="n"/>
      <c r="G266" s="114" t="n"/>
      <c r="H266" s="114" t="n"/>
      <c r="I266" s="114" t="n"/>
      <c r="J266" s="114" t="n"/>
      <c r="K266" s="114" t="n"/>
      <c r="L266" s="114" t="n"/>
      <c r="M266" s="114" t="n">
        <v>0</v>
      </c>
      <c r="N266" s="114" t="n"/>
      <c r="O266" s="114" t="n">
        <v>0</v>
      </c>
      <c r="P266" s="114" t="n">
        <v>22799005.56</v>
      </c>
      <c r="Q266" s="114" t="n"/>
      <c r="R266" s="114" t="n"/>
      <c r="S266" s="114" t="n"/>
      <c r="T266" s="115" t="n"/>
      <c r="U266" s="0" t="n"/>
      <c r="V266" s="0" t="n"/>
      <c r="W266" s="0" t="n"/>
      <c r="X266" s="0" t="n"/>
      <c r="Y266" s="0" t="n"/>
      <c r="Z266" s="0" t="n"/>
      <c r="AA266" s="0" t="n"/>
      <c r="AB266" s="0" t="n"/>
      <c r="AC266" s="0" t="n"/>
      <c r="AD266" s="0" t="n"/>
      <c r="AE266" s="0" t="n"/>
      <c r="AF266" s="0" t="n"/>
      <c r="AG266" s="0" t="n"/>
      <c r="AH266" s="0" t="n"/>
      <c r="AI266" s="0" t="n"/>
      <c r="AJ266" s="0" t="n"/>
      <c r="AK266" s="0" t="n"/>
      <c r="AL266" s="0" t="n"/>
      <c r="AM266" s="0" t="n"/>
      <c r="AN266" s="0" t="n"/>
      <c r="AO266" s="0" t="n"/>
      <c r="AP266" s="0" t="n"/>
      <c r="AQ266" s="0" t="n"/>
      <c r="AR266" s="0" t="n"/>
      <c r="AS266" s="0" t="n"/>
      <c r="AT266" s="0" t="n"/>
      <c r="AU266" s="0" t="n"/>
      <c r="AV266" s="0" t="n"/>
      <c r="AW266" s="0" t="n"/>
      <c r="AX266" s="0" t="n"/>
      <c r="AY266" s="0" t="n"/>
      <c r="AZ266" s="0" t="n"/>
      <c r="BA266" s="0" t="n"/>
      <c r="BB266" s="0" t="n"/>
      <c r="BC266" s="0" t="n"/>
      <c r="BD266" s="0" t="n"/>
      <c r="BE266" s="0" t="n"/>
      <c r="BF266" s="0" t="n"/>
      <c r="BG266" s="0" t="n"/>
      <c r="BH266" s="0" t="n"/>
      <c r="BI266" s="0" t="n"/>
      <c r="BJ266" s="0" t="n"/>
      <c r="BK266" s="0" t="n"/>
      <c r="BL266" s="0" t="n"/>
      <c r="BM266" s="0" t="n"/>
      <c r="BN266" s="0" t="n"/>
      <c r="BO266" s="0" t="n"/>
      <c r="BP266" s="0" t="n"/>
    </row>
    <row hidden="false" ht="15" outlineLevel="0" r="267">
      <c r="A267" s="116" t="n">
        <f aca="false" ca="false" dt2D="false" dtr="false" t="normal">+A266+1</f>
        <v>248</v>
      </c>
      <c r="B267" s="117" t="n">
        <f aca="false" ca="false" dt2D="false" dtr="false" t="normal">+B266+1</f>
        <v>60</v>
      </c>
      <c r="C267" s="104" t="s">
        <v>111</v>
      </c>
      <c r="D267" s="117" t="s">
        <v>146</v>
      </c>
      <c r="E267" s="113" t="n">
        <f aca="false" ca="true" dt2D="false" dtr="false" t="normal">SUBTOTAL(9, F267:T267)</f>
        <v>17774350.73</v>
      </c>
      <c r="F267" s="114" t="n"/>
      <c r="G267" s="114" t="n"/>
      <c r="H267" s="114" t="n">
        <v>4113294.16</v>
      </c>
      <c r="I267" s="114" t="n"/>
      <c r="J267" s="114" t="n"/>
      <c r="K267" s="114" t="n"/>
      <c r="L267" s="114" t="n"/>
      <c r="M267" s="114" t="n">
        <v>0</v>
      </c>
      <c r="N267" s="114" t="n"/>
      <c r="O267" s="114" t="n">
        <v>0</v>
      </c>
      <c r="P267" s="114" t="n"/>
      <c r="Q267" s="114" t="n">
        <v>13661056.57</v>
      </c>
      <c r="R267" s="114" t="n"/>
      <c r="S267" s="114" t="n"/>
      <c r="T267" s="115" t="n"/>
      <c r="U267" s="0" t="n"/>
      <c r="V267" s="0" t="n"/>
      <c r="W267" s="0" t="n"/>
      <c r="X267" s="0" t="n"/>
      <c r="Y267" s="0" t="n"/>
      <c r="Z267" s="0" t="n"/>
      <c r="AA267" s="0" t="n"/>
      <c r="AB267" s="0" t="n"/>
      <c r="AC267" s="0" t="n"/>
      <c r="AD267" s="0" t="n"/>
      <c r="AE267" s="0" t="n"/>
      <c r="AF267" s="0" t="n"/>
      <c r="AG267" s="0" t="n"/>
      <c r="AH267" s="0" t="n"/>
      <c r="AI267" s="0" t="n"/>
      <c r="AJ267" s="0" t="n"/>
      <c r="AK267" s="0" t="n"/>
      <c r="AL267" s="0" t="n"/>
      <c r="AM267" s="0" t="n"/>
      <c r="AN267" s="0" t="n"/>
      <c r="AO267" s="0" t="n"/>
      <c r="AP267" s="0" t="n"/>
      <c r="AQ267" s="0" t="n"/>
      <c r="AR267" s="0" t="n"/>
      <c r="AS267" s="0" t="n"/>
      <c r="AT267" s="0" t="n"/>
      <c r="AU267" s="0" t="n"/>
      <c r="AV267" s="0" t="n"/>
      <c r="AW267" s="0" t="n"/>
      <c r="AX267" s="0" t="n"/>
      <c r="AY267" s="0" t="n"/>
      <c r="AZ267" s="0" t="n"/>
      <c r="BA267" s="0" t="n"/>
      <c r="BB267" s="0" t="n"/>
      <c r="BC267" s="0" t="n"/>
      <c r="BD267" s="0" t="n"/>
      <c r="BE267" s="0" t="n"/>
      <c r="BF267" s="0" t="n"/>
      <c r="BG267" s="0" t="n"/>
      <c r="BH267" s="0" t="n"/>
      <c r="BI267" s="0" t="n"/>
      <c r="BJ267" s="0" t="n"/>
      <c r="BK267" s="0" t="n"/>
      <c r="BL267" s="0" t="n"/>
      <c r="BM267" s="0" t="n"/>
      <c r="BN267" s="0" t="n"/>
      <c r="BO267" s="0" t="n"/>
      <c r="BP267" s="0" t="n"/>
    </row>
    <row hidden="false" ht="15" outlineLevel="0" r="268">
      <c r="A268" s="116" t="n">
        <f aca="false" ca="false" dt2D="false" dtr="false" t="normal">+A267+1</f>
        <v>249</v>
      </c>
      <c r="B268" s="117" t="n">
        <f aca="false" ca="false" dt2D="false" dtr="false" t="normal">+B267+1</f>
        <v>61</v>
      </c>
      <c r="C268" s="104" t="s">
        <v>111</v>
      </c>
      <c r="D268" s="117" t="s">
        <v>354</v>
      </c>
      <c r="E268" s="113" t="n">
        <f aca="false" ca="true" dt2D="false" dtr="false" t="normal">SUBTOTAL(9, F268:T268)</f>
        <v>5195032.82</v>
      </c>
      <c r="F268" s="114" t="n">
        <v>0</v>
      </c>
      <c r="G268" s="114" t="n">
        <v>0</v>
      </c>
      <c r="H268" s="114" t="n">
        <v>0</v>
      </c>
      <c r="I268" s="114" t="n">
        <v>0</v>
      </c>
      <c r="J268" s="114" t="n">
        <v>0</v>
      </c>
      <c r="K268" s="114" t="n"/>
      <c r="L268" s="114" t="n"/>
      <c r="M268" s="114" t="n">
        <v>0</v>
      </c>
      <c r="N268" s="114" t="n">
        <v>0</v>
      </c>
      <c r="O268" s="114" t="n">
        <v>0</v>
      </c>
      <c r="P268" s="114" t="n">
        <v>0</v>
      </c>
      <c r="Q268" s="114" t="n">
        <v>4977661</v>
      </c>
      <c r="R268" s="114" t="n">
        <v>193371.82</v>
      </c>
      <c r="S268" s="114" t="n">
        <v>24000</v>
      </c>
      <c r="T268" s="115" t="n"/>
      <c r="U268" s="0" t="n"/>
      <c r="V268" s="0" t="n"/>
      <c r="W268" s="0" t="n"/>
      <c r="X268" s="0" t="n"/>
      <c r="Y268" s="0" t="n"/>
      <c r="Z268" s="0" t="n"/>
      <c r="AA268" s="0" t="n"/>
      <c r="AB268" s="0" t="n"/>
      <c r="AC268" s="0" t="n"/>
      <c r="AD268" s="0" t="n"/>
      <c r="AE268" s="0" t="n"/>
      <c r="AF268" s="0" t="n"/>
      <c r="AG268" s="0" t="n"/>
      <c r="AH268" s="0" t="n"/>
      <c r="AI268" s="0" t="n"/>
      <c r="AJ268" s="0" t="n"/>
      <c r="AK268" s="0" t="n"/>
      <c r="AL268" s="0" t="n"/>
      <c r="AM268" s="0" t="n"/>
      <c r="AN268" s="0" t="n"/>
      <c r="AO268" s="0" t="n"/>
      <c r="AP268" s="0" t="n"/>
      <c r="AQ268" s="0" t="n"/>
      <c r="AR268" s="0" t="n"/>
      <c r="AS268" s="0" t="n"/>
      <c r="AT268" s="0" t="n"/>
      <c r="AU268" s="0" t="n"/>
      <c r="AV268" s="0" t="n"/>
      <c r="AW268" s="0" t="n"/>
      <c r="AX268" s="0" t="n"/>
      <c r="AY268" s="0" t="n"/>
      <c r="AZ268" s="0" t="n"/>
      <c r="BA268" s="0" t="n"/>
      <c r="BB268" s="0" t="n"/>
      <c r="BC268" s="0" t="n"/>
      <c r="BD268" s="0" t="n"/>
      <c r="BE268" s="0" t="n"/>
      <c r="BF268" s="0" t="n"/>
      <c r="BG268" s="0" t="n"/>
      <c r="BH268" s="0" t="n"/>
      <c r="BI268" s="0" t="n"/>
      <c r="BJ268" s="0" t="n"/>
      <c r="BK268" s="0" t="n"/>
      <c r="BL268" s="0" t="n"/>
      <c r="BM268" s="0" t="n"/>
      <c r="BN268" s="0" t="n"/>
      <c r="BO268" s="0" t="n"/>
      <c r="BP268" s="0" t="n"/>
    </row>
    <row hidden="false" ht="15" outlineLevel="0" r="269">
      <c r="A269" s="116" t="n">
        <f aca="false" ca="false" dt2D="false" dtr="false" t="normal">+A268+1</f>
        <v>250</v>
      </c>
      <c r="B269" s="117" t="n">
        <f aca="false" ca="false" dt2D="false" dtr="false" t="normal">+B268+1</f>
        <v>62</v>
      </c>
      <c r="C269" s="104" t="s">
        <v>111</v>
      </c>
      <c r="D269" s="117" t="s">
        <v>355</v>
      </c>
      <c r="E269" s="186" t="n">
        <f aca="false" ca="true" dt2D="false" dtr="false" t="normal">SUBTOTAL(9, F269:T269)</f>
        <v>32945367.9550254</v>
      </c>
      <c r="F269" s="114" t="n">
        <v>3333540.05</v>
      </c>
      <c r="G269" s="114" t="n">
        <v>0</v>
      </c>
      <c r="H269" s="114" t="n">
        <v>1549799.6</v>
      </c>
      <c r="I269" s="114" t="n">
        <v>0</v>
      </c>
      <c r="J269" s="114" t="n">
        <v>0</v>
      </c>
      <c r="K269" s="114" t="n"/>
      <c r="L269" s="114" t="n"/>
      <c r="M269" s="114" t="n">
        <v>0</v>
      </c>
      <c r="N269" s="114" t="n">
        <v>13493182.9250254</v>
      </c>
      <c r="O269" s="114" t="n">
        <v>0</v>
      </c>
      <c r="P269" s="114" t="n">
        <v>14103016.03</v>
      </c>
      <c r="Q269" s="114" t="n">
        <v>0</v>
      </c>
      <c r="R269" s="114" t="n">
        <v>456271.36</v>
      </c>
      <c r="S269" s="114" t="n">
        <v>9557.99</v>
      </c>
      <c r="T269" s="115" t="n"/>
      <c r="U269" s="0" t="n"/>
      <c r="V269" s="0" t="n"/>
      <c r="W269" s="0" t="n"/>
      <c r="X269" s="0" t="n"/>
      <c r="Y269" s="0" t="n"/>
      <c r="Z269" s="0" t="n"/>
      <c r="AA269" s="0" t="n"/>
      <c r="AB269" s="0" t="n"/>
      <c r="AC269" s="0" t="n"/>
      <c r="AD269" s="0" t="n"/>
      <c r="AE269" s="0" t="n"/>
      <c r="AF269" s="0" t="n"/>
      <c r="AG269" s="0" t="n"/>
      <c r="AH269" s="0" t="n"/>
      <c r="AI269" s="0" t="n"/>
      <c r="AJ269" s="0" t="n"/>
      <c r="AK269" s="0" t="n"/>
      <c r="AL269" s="0" t="n"/>
      <c r="AM269" s="0" t="n"/>
      <c r="AN269" s="0" t="n"/>
      <c r="AO269" s="0" t="n"/>
      <c r="AP269" s="0" t="n"/>
      <c r="AQ269" s="0" t="n"/>
      <c r="AR269" s="0" t="n"/>
      <c r="AS269" s="0" t="n"/>
      <c r="AT269" s="0" t="n"/>
      <c r="AU269" s="0" t="n"/>
      <c r="AV269" s="0" t="n"/>
      <c r="AW269" s="0" t="n"/>
      <c r="AX269" s="0" t="n"/>
      <c r="AY269" s="0" t="n"/>
      <c r="AZ269" s="0" t="n"/>
      <c r="BA269" s="0" t="n"/>
      <c r="BB269" s="0" t="n"/>
      <c r="BC269" s="0" t="n"/>
      <c r="BD269" s="0" t="n"/>
      <c r="BE269" s="0" t="n"/>
      <c r="BF269" s="0" t="n"/>
      <c r="BG269" s="0" t="n"/>
      <c r="BH269" s="0" t="n"/>
      <c r="BI269" s="0" t="n"/>
      <c r="BJ269" s="0" t="n"/>
      <c r="BK269" s="0" t="n"/>
      <c r="BL269" s="0" t="n"/>
      <c r="BM269" s="0" t="n"/>
      <c r="BN269" s="0" t="n"/>
      <c r="BO269" s="0" t="n"/>
      <c r="BP269" s="0" t="n"/>
    </row>
    <row hidden="false" ht="15" outlineLevel="0" r="270">
      <c r="A270" s="116" t="n">
        <f aca="false" ca="false" dt2D="false" dtr="false" t="normal">+A269+1</f>
        <v>251</v>
      </c>
      <c r="B270" s="117" t="n">
        <f aca="false" ca="false" dt2D="false" dtr="false" t="normal">+B269+1</f>
        <v>63</v>
      </c>
      <c r="C270" s="104" t="s">
        <v>111</v>
      </c>
      <c r="D270" s="117" t="s">
        <v>150</v>
      </c>
      <c r="E270" s="113" t="n">
        <f aca="false" ca="true" dt2D="false" dtr="false" t="normal">SUBTOTAL(9, F270:T270)</f>
        <v>5621995.850000001</v>
      </c>
      <c r="F270" s="114" t="n"/>
      <c r="G270" s="114" t="n"/>
      <c r="H270" s="114" t="n"/>
      <c r="I270" s="114" t="n"/>
      <c r="J270" s="114" t="n"/>
      <c r="K270" s="114" t="n"/>
      <c r="L270" s="114" t="n"/>
      <c r="M270" s="114" t="n"/>
      <c r="N270" s="114" t="n">
        <v>5556548.12</v>
      </c>
      <c r="O270" s="114" t="n">
        <v>0</v>
      </c>
      <c r="P270" s="114" t="n">
        <v>0</v>
      </c>
      <c r="Q270" s="114" t="n">
        <v>0</v>
      </c>
      <c r="R270" s="114" t="n"/>
      <c r="S270" s="114" t="n"/>
      <c r="T270" s="115" t="n">
        <v>65447.73</v>
      </c>
      <c r="U270" s="0" t="n"/>
      <c r="V270" s="0" t="n"/>
      <c r="W270" s="0" t="n"/>
      <c r="X270" s="0" t="n"/>
      <c r="Y270" s="0" t="n"/>
      <c r="Z270" s="0" t="n"/>
      <c r="AA270" s="0" t="n"/>
      <c r="AB270" s="0" t="n"/>
      <c r="AC270" s="0" t="n"/>
      <c r="AD270" s="0" t="n"/>
      <c r="AE270" s="0" t="n"/>
      <c r="AF270" s="0" t="n"/>
      <c r="AG270" s="0" t="n"/>
      <c r="AH270" s="0" t="n"/>
      <c r="AI270" s="0" t="n"/>
      <c r="AJ270" s="0" t="n"/>
      <c r="AK270" s="0" t="n"/>
      <c r="AL270" s="0" t="n"/>
      <c r="AM270" s="0" t="n"/>
      <c r="AN270" s="0" t="n"/>
      <c r="AO270" s="0" t="n"/>
      <c r="AP270" s="0" t="n"/>
      <c r="AQ270" s="0" t="n"/>
      <c r="AR270" s="0" t="n"/>
      <c r="AS270" s="0" t="n"/>
      <c r="AT270" s="0" t="n"/>
      <c r="AU270" s="0" t="n"/>
      <c r="AV270" s="0" t="n"/>
      <c r="AW270" s="0" t="n"/>
      <c r="AX270" s="0" t="n"/>
      <c r="AY270" s="0" t="n"/>
      <c r="AZ270" s="0" t="n"/>
      <c r="BA270" s="0" t="n"/>
      <c r="BB270" s="0" t="n"/>
      <c r="BC270" s="0" t="n"/>
      <c r="BD270" s="0" t="n"/>
      <c r="BE270" s="0" t="n"/>
      <c r="BF270" s="0" t="n"/>
      <c r="BG270" s="0" t="n"/>
      <c r="BH270" s="0" t="n"/>
      <c r="BI270" s="0" t="n"/>
      <c r="BJ270" s="0" t="n"/>
      <c r="BK270" s="0" t="n"/>
      <c r="BL270" s="0" t="n"/>
      <c r="BM270" s="0" t="n"/>
      <c r="BN270" s="0" t="n"/>
      <c r="BO270" s="0" t="n"/>
      <c r="BP270" s="0" t="n"/>
    </row>
    <row hidden="false" ht="15" outlineLevel="0" r="271">
      <c r="A271" s="116" t="n">
        <f aca="false" ca="false" dt2D="false" dtr="false" t="normal">+A270+1</f>
        <v>252</v>
      </c>
      <c r="B271" s="117" t="n">
        <f aca="false" ca="false" dt2D="false" dtr="false" t="normal">+B270+1</f>
        <v>64</v>
      </c>
      <c r="C271" s="104" t="s">
        <v>111</v>
      </c>
      <c r="D271" s="117" t="s">
        <v>356</v>
      </c>
      <c r="E271" s="113" t="n">
        <f aca="false" ca="true" dt2D="false" dtr="false" t="normal">SUBTOTAL(9, F271:T271)</f>
        <v>17091814.77</v>
      </c>
      <c r="F271" s="114" t="n">
        <v>8885029.46</v>
      </c>
      <c r="G271" s="114" t="n"/>
      <c r="H271" s="114" t="n">
        <v>3892363.59</v>
      </c>
      <c r="I271" s="114" t="n">
        <v>4001179.24</v>
      </c>
      <c r="J271" s="114" t="n"/>
      <c r="K271" s="114" t="n"/>
      <c r="L271" s="114" t="n"/>
      <c r="M271" s="114" t="n"/>
      <c r="N271" s="114" t="n"/>
      <c r="O271" s="114" t="n"/>
      <c r="P271" s="114" t="n"/>
      <c r="Q271" s="114" t="n"/>
      <c r="R271" s="114" t="n">
        <v>123177.46</v>
      </c>
      <c r="S271" s="114" t="n">
        <v>18000</v>
      </c>
      <c r="T271" s="115" t="n">
        <f aca="false" ca="false" dt2D="false" dtr="false" t="normal">88883.94+41863.41+41317.67</f>
        <v>172065.02000000002</v>
      </c>
      <c r="U271" s="0" t="n"/>
      <c r="V271" s="0" t="n"/>
      <c r="W271" s="0" t="n"/>
      <c r="X271" s="0" t="n"/>
      <c r="Y271" s="0" t="n"/>
      <c r="Z271" s="0" t="n"/>
      <c r="AA271" s="0" t="n"/>
      <c r="AB271" s="0" t="n"/>
      <c r="AC271" s="0" t="n"/>
      <c r="AD271" s="0" t="n"/>
      <c r="AE271" s="0" t="n"/>
      <c r="AF271" s="0" t="n"/>
      <c r="AG271" s="0" t="n"/>
      <c r="AH271" s="0" t="n"/>
      <c r="AI271" s="0" t="n"/>
      <c r="AJ271" s="0" t="n"/>
      <c r="AK271" s="0" t="n"/>
      <c r="AL271" s="0" t="n"/>
      <c r="AM271" s="0" t="n"/>
      <c r="AN271" s="0" t="n"/>
      <c r="AO271" s="0" t="n"/>
      <c r="AP271" s="0" t="n"/>
      <c r="AQ271" s="0" t="n"/>
      <c r="AR271" s="0" t="n"/>
      <c r="AS271" s="0" t="n"/>
      <c r="AT271" s="0" t="n"/>
      <c r="AU271" s="0" t="n"/>
      <c r="AV271" s="0" t="n"/>
      <c r="AW271" s="0" t="n"/>
      <c r="AX271" s="0" t="n"/>
      <c r="AY271" s="0" t="n"/>
      <c r="AZ271" s="0" t="n"/>
      <c r="BA271" s="0" t="n"/>
      <c r="BB271" s="0" t="n"/>
      <c r="BC271" s="0" t="n"/>
      <c r="BD271" s="0" t="n"/>
      <c r="BE271" s="0" t="n"/>
      <c r="BF271" s="0" t="n"/>
      <c r="BG271" s="0" t="n"/>
      <c r="BH271" s="0" t="n"/>
      <c r="BI271" s="0" t="n"/>
      <c r="BJ271" s="0" t="n"/>
      <c r="BK271" s="0" t="n"/>
      <c r="BL271" s="0" t="n"/>
      <c r="BM271" s="0" t="n"/>
      <c r="BN271" s="0" t="n"/>
      <c r="BO271" s="0" t="n"/>
      <c r="BP271" s="0" t="n"/>
    </row>
    <row hidden="false" ht="15" outlineLevel="0" r="272">
      <c r="A272" s="116" t="n">
        <f aca="false" ca="false" dt2D="false" dtr="false" t="normal">+A271+1</f>
        <v>253</v>
      </c>
      <c r="B272" s="117" t="n">
        <f aca="false" ca="false" dt2D="false" dtr="false" t="normal">+B271+1</f>
        <v>65</v>
      </c>
      <c r="C272" s="104" t="s">
        <v>111</v>
      </c>
      <c r="D272" s="117" t="s">
        <v>357</v>
      </c>
      <c r="E272" s="113" t="n">
        <f aca="false" ca="true" dt2D="false" dtr="false" t="normal">SUBTOTAL(9, F272:T272)</f>
        <v>17417470.40795056</v>
      </c>
      <c r="F272" s="114" t="n"/>
      <c r="G272" s="114" t="n"/>
      <c r="H272" s="114" t="n"/>
      <c r="I272" s="114" t="n"/>
      <c r="J272" s="114" t="n"/>
      <c r="K272" s="114" t="n"/>
      <c r="L272" s="114" t="n"/>
      <c r="M272" s="114" t="n">
        <v>0</v>
      </c>
      <c r="N272" s="114" t="n">
        <v>9298128.97</v>
      </c>
      <c r="O272" s="114" t="n">
        <v>0</v>
      </c>
      <c r="P272" s="114" t="n"/>
      <c r="Q272" s="114" t="n">
        <v>6906225.37</v>
      </c>
      <c r="R272" s="114" t="n">
        <v>332847.41</v>
      </c>
      <c r="S272" s="114" t="n">
        <v>24835</v>
      </c>
      <c r="T272" s="115" t="n">
        <v>855433.657950562</v>
      </c>
      <c r="U272" s="0" t="n"/>
      <c r="V272" s="0" t="n"/>
      <c r="W272" s="0" t="n"/>
      <c r="X272" s="0" t="n"/>
      <c r="Y272" s="0" t="n"/>
      <c r="Z272" s="0" t="n"/>
      <c r="AA272" s="0" t="n"/>
      <c r="AB272" s="0" t="n"/>
      <c r="AC272" s="0" t="n"/>
      <c r="AD272" s="0" t="n"/>
      <c r="AE272" s="0" t="n"/>
      <c r="AF272" s="0" t="n"/>
      <c r="AG272" s="0" t="n"/>
      <c r="AH272" s="0" t="n"/>
      <c r="AI272" s="0" t="n"/>
      <c r="AJ272" s="0" t="n"/>
      <c r="AK272" s="0" t="n"/>
      <c r="AL272" s="0" t="n"/>
      <c r="AM272" s="0" t="n"/>
      <c r="AN272" s="0" t="n"/>
      <c r="AO272" s="0" t="n"/>
      <c r="AP272" s="0" t="n"/>
      <c r="AQ272" s="0" t="n"/>
      <c r="AR272" s="0" t="n"/>
      <c r="AS272" s="0" t="n"/>
      <c r="AT272" s="0" t="n"/>
      <c r="AU272" s="0" t="n"/>
      <c r="AV272" s="0" t="n"/>
      <c r="AW272" s="0" t="n"/>
      <c r="AX272" s="0" t="n"/>
      <c r="AY272" s="0" t="n"/>
      <c r="AZ272" s="0" t="n"/>
      <c r="BA272" s="0" t="n"/>
      <c r="BB272" s="0" t="n"/>
      <c r="BC272" s="0" t="n"/>
      <c r="BD272" s="0" t="n"/>
      <c r="BE272" s="0" t="n"/>
      <c r="BF272" s="0" t="n"/>
      <c r="BG272" s="0" t="n"/>
      <c r="BH272" s="0" t="n"/>
      <c r="BI272" s="0" t="n"/>
      <c r="BJ272" s="0" t="n"/>
      <c r="BK272" s="0" t="n"/>
      <c r="BL272" s="0" t="n"/>
      <c r="BM272" s="0" t="n"/>
      <c r="BN272" s="0" t="n"/>
      <c r="BO272" s="0" t="n"/>
      <c r="BP272" s="0" t="n"/>
    </row>
    <row hidden="false" ht="15" outlineLevel="0" r="273">
      <c r="A273" s="116" t="n">
        <f aca="false" ca="false" dt2D="false" dtr="false" t="normal">+A272+1</f>
        <v>254</v>
      </c>
      <c r="B273" s="117" t="n">
        <f aca="false" ca="false" dt2D="false" dtr="false" t="normal">+B272+1</f>
        <v>66</v>
      </c>
      <c r="C273" s="104" t="s">
        <v>111</v>
      </c>
      <c r="D273" s="117" t="s">
        <v>358</v>
      </c>
      <c r="E273" s="113" t="n">
        <f aca="false" ca="true" dt2D="false" dtr="false" t="normal">SUBTOTAL(9, F273:T273)</f>
        <v>17197808.294846922</v>
      </c>
      <c r="F273" s="114" t="n"/>
      <c r="G273" s="114" t="n"/>
      <c r="H273" s="114" t="n"/>
      <c r="I273" s="114" t="n"/>
      <c r="J273" s="114" t="n"/>
      <c r="K273" s="114" t="n"/>
      <c r="L273" s="114" t="n"/>
      <c r="M273" s="114" t="n">
        <v>0</v>
      </c>
      <c r="N273" s="114" t="n">
        <v>9298128.97</v>
      </c>
      <c r="O273" s="114" t="n">
        <v>0</v>
      </c>
      <c r="P273" s="114" t="n"/>
      <c r="Q273" s="114" t="n">
        <v>6697684.28</v>
      </c>
      <c r="R273" s="114" t="n">
        <v>328986.36</v>
      </c>
      <c r="S273" s="114" t="n">
        <v>24747</v>
      </c>
      <c r="T273" s="115" t="n">
        <v>848261.684846923</v>
      </c>
      <c r="U273" s="0" t="n"/>
      <c r="V273" s="0" t="n"/>
      <c r="W273" s="0" t="n"/>
      <c r="X273" s="0" t="n"/>
      <c r="Y273" s="0" t="n"/>
      <c r="Z273" s="0" t="n"/>
      <c r="AA273" s="0" t="n"/>
      <c r="AB273" s="0" t="n"/>
      <c r="AC273" s="0" t="n"/>
      <c r="AD273" s="0" t="n"/>
      <c r="AE273" s="0" t="n"/>
      <c r="AF273" s="0" t="n"/>
      <c r="AG273" s="0" t="n"/>
      <c r="AH273" s="0" t="n"/>
      <c r="AI273" s="0" t="n"/>
      <c r="AJ273" s="0" t="n"/>
      <c r="AK273" s="0" t="n"/>
      <c r="AL273" s="0" t="n"/>
      <c r="AM273" s="0" t="n"/>
      <c r="AN273" s="0" t="n"/>
      <c r="AO273" s="0" t="n"/>
      <c r="AP273" s="0" t="n"/>
      <c r="AQ273" s="0" t="n"/>
      <c r="AR273" s="0" t="n"/>
      <c r="AS273" s="0" t="n"/>
      <c r="AT273" s="0" t="n"/>
      <c r="AU273" s="0" t="n"/>
      <c r="AV273" s="0" t="n"/>
      <c r="AW273" s="0" t="n"/>
      <c r="AX273" s="0" t="n"/>
      <c r="AY273" s="0" t="n"/>
      <c r="AZ273" s="0" t="n"/>
      <c r="BA273" s="0" t="n"/>
      <c r="BB273" s="0" t="n"/>
      <c r="BC273" s="0" t="n"/>
      <c r="BD273" s="0" t="n"/>
      <c r="BE273" s="0" t="n"/>
      <c r="BF273" s="0" t="n"/>
      <c r="BG273" s="0" t="n"/>
      <c r="BH273" s="0" t="n"/>
      <c r="BI273" s="0" t="n"/>
      <c r="BJ273" s="0" t="n"/>
      <c r="BK273" s="0" t="n"/>
      <c r="BL273" s="0" t="n"/>
      <c r="BM273" s="0" t="n"/>
      <c r="BN273" s="0" t="n"/>
      <c r="BO273" s="0" t="n"/>
      <c r="BP273" s="0" t="n"/>
    </row>
    <row hidden="false" ht="15" outlineLevel="0" r="274">
      <c r="A274" s="116" t="n">
        <f aca="false" ca="false" dt2D="false" dtr="false" t="normal">+A273+1</f>
        <v>255</v>
      </c>
      <c r="B274" s="117" t="n">
        <f aca="false" ca="false" dt2D="false" dtr="false" t="normal">+B273+1</f>
        <v>67</v>
      </c>
      <c r="C274" s="104" t="s">
        <v>111</v>
      </c>
      <c r="D274" s="117" t="s">
        <v>359</v>
      </c>
      <c r="E274" s="113" t="n">
        <f aca="false" ca="true" dt2D="false" dtr="false" t="normal">SUBTOTAL(9, F274:T274)</f>
        <v>6942751.8404994</v>
      </c>
      <c r="F274" s="114" t="n">
        <v>0</v>
      </c>
      <c r="G274" s="114" t="n">
        <v>0</v>
      </c>
      <c r="H274" s="114" t="n">
        <v>0</v>
      </c>
      <c r="I274" s="114" t="n">
        <v>0</v>
      </c>
      <c r="J274" s="114" t="n">
        <v>0</v>
      </c>
      <c r="K274" s="114" t="n"/>
      <c r="L274" s="114" t="n"/>
      <c r="M274" s="114" t="n">
        <v>0</v>
      </c>
      <c r="N274" s="114" t="n">
        <v>6718705.38</v>
      </c>
      <c r="O274" s="114" t="n">
        <v>0</v>
      </c>
      <c r="P274" s="114" t="n">
        <v>0</v>
      </c>
      <c r="Q274" s="114" t="n">
        <v>0</v>
      </c>
      <c r="R274" s="114" t="n"/>
      <c r="S274" s="114" t="n"/>
      <c r="T274" s="115" t="n">
        <v>224046.4604994</v>
      </c>
    </row>
    <row hidden="false" ht="15" outlineLevel="0" r="275">
      <c r="A275" s="116" t="n">
        <f aca="false" ca="false" dt2D="false" dtr="false" t="normal">+A274+1</f>
        <v>256</v>
      </c>
      <c r="B275" s="117" t="n">
        <f aca="false" ca="false" dt2D="false" dtr="false" t="normal">+B274+1</f>
        <v>68</v>
      </c>
      <c r="C275" s="104" t="s">
        <v>111</v>
      </c>
      <c r="D275" s="117" t="s">
        <v>360</v>
      </c>
      <c r="E275" s="113" t="n">
        <f aca="false" ca="true" dt2D="false" dtr="false" t="normal">SUBTOTAL(9, F275:T275)</f>
        <v>5504992.41</v>
      </c>
      <c r="F275" s="114" t="n"/>
      <c r="G275" s="114" t="n"/>
      <c r="H275" s="114" t="n"/>
      <c r="I275" s="114" t="n"/>
      <c r="J275" s="114" t="n"/>
      <c r="K275" s="114" t="n"/>
      <c r="L275" s="114" t="n"/>
      <c r="M275" s="114" t="n"/>
      <c r="N275" s="114" t="n"/>
      <c r="O275" s="114" t="n"/>
      <c r="P275" s="114" t="n"/>
      <c r="Q275" s="114" t="n">
        <v>5289247.08</v>
      </c>
      <c r="R275" s="114" t="n">
        <v>212316.76</v>
      </c>
      <c r="S275" s="114" t="n">
        <v>3428.57</v>
      </c>
      <c r="T275" s="115" t="n"/>
      <c r="U275" s="0" t="n"/>
      <c r="V275" s="0" t="n"/>
      <c r="W275" s="0" t="n"/>
      <c r="X275" s="0" t="n"/>
      <c r="Y275" s="0" t="n"/>
      <c r="Z275" s="0" t="n"/>
      <c r="AA275" s="0" t="n"/>
      <c r="AB275" s="0" t="n"/>
      <c r="AC275" s="0" t="n"/>
      <c r="AD275" s="0" t="n"/>
      <c r="AE275" s="0" t="n"/>
      <c r="AF275" s="0" t="n"/>
      <c r="AG275" s="0" t="n"/>
      <c r="AH275" s="0" t="n"/>
      <c r="AI275" s="0" t="n"/>
      <c r="AJ275" s="0" t="n"/>
      <c r="AK275" s="0" t="n"/>
      <c r="AL275" s="0" t="n"/>
      <c r="AM275" s="0" t="n"/>
      <c r="AN275" s="0" t="n"/>
      <c r="AO275" s="0" t="n"/>
      <c r="AP275" s="0" t="n"/>
      <c r="AQ275" s="0" t="n"/>
      <c r="AR275" s="0" t="n"/>
      <c r="AS275" s="0" t="n"/>
      <c r="AT275" s="0" t="n"/>
      <c r="AU275" s="0" t="n"/>
      <c r="AV275" s="0" t="n"/>
      <c r="AW275" s="0" t="n"/>
      <c r="AX275" s="0" t="n"/>
      <c r="AY275" s="0" t="n"/>
      <c r="AZ275" s="0" t="n"/>
      <c r="BA275" s="0" t="n"/>
      <c r="BB275" s="0" t="n"/>
      <c r="BC275" s="0" t="n"/>
      <c r="BD275" s="0" t="n"/>
      <c r="BE275" s="0" t="n"/>
      <c r="BF275" s="0" t="n"/>
      <c r="BG275" s="0" t="n"/>
      <c r="BH275" s="0" t="n"/>
      <c r="BI275" s="0" t="n"/>
      <c r="BJ275" s="0" t="n"/>
      <c r="BK275" s="0" t="n"/>
      <c r="BL275" s="0" t="n"/>
      <c r="BM275" s="0" t="n"/>
      <c r="BN275" s="0" t="n"/>
      <c r="BO275" s="0" t="n"/>
      <c r="BP275" s="0" t="n"/>
    </row>
    <row hidden="false" ht="15" outlineLevel="0" r="276">
      <c r="A276" s="116" t="n">
        <f aca="false" ca="false" dt2D="false" dtr="false" t="normal">+A275+1</f>
        <v>257</v>
      </c>
      <c r="B276" s="117" t="n">
        <f aca="false" ca="false" dt2D="false" dtr="false" t="normal">+B275+1</f>
        <v>69</v>
      </c>
      <c r="C276" s="104" t="s">
        <v>111</v>
      </c>
      <c r="D276" s="117" t="s">
        <v>361</v>
      </c>
      <c r="E276" s="113" t="n">
        <f aca="false" ca="true" dt2D="false" dtr="false" t="normal">SUBTOTAL(9, F276:T276)</f>
        <v>45207079.57000001</v>
      </c>
      <c r="F276" s="114" t="n">
        <v>7625174.93</v>
      </c>
      <c r="G276" s="114" t="n"/>
      <c r="H276" s="114" t="n">
        <v>2990319.15</v>
      </c>
      <c r="I276" s="114" t="n">
        <v>3967819.86</v>
      </c>
      <c r="J276" s="114" t="n"/>
      <c r="K276" s="114" t="n"/>
      <c r="L276" s="114" t="n"/>
      <c r="M276" s="114" t="n">
        <v>0</v>
      </c>
      <c r="N276" s="114" t="n">
        <v>9797526</v>
      </c>
      <c r="O276" s="114" t="n">
        <v>0</v>
      </c>
      <c r="P276" s="114" t="n">
        <v>9608317.2</v>
      </c>
      <c r="Q276" s="114" t="n">
        <v>10107495.6</v>
      </c>
      <c r="R276" s="114" t="n">
        <v>937678.84</v>
      </c>
      <c r="S276" s="114" t="n">
        <v>42000</v>
      </c>
      <c r="T276" s="115" t="n">
        <f aca="false" ca="false" dt2D="false" dtr="false" t="normal">77529.37+24664.76+28553.86</f>
        <v>130747.98999999999</v>
      </c>
      <c r="U276" s="0" t="n"/>
      <c r="V276" s="0" t="n"/>
      <c r="W276" s="0" t="n"/>
      <c r="X276" s="0" t="n"/>
      <c r="Y276" s="0" t="n"/>
      <c r="Z276" s="0" t="n"/>
      <c r="AA276" s="0" t="n"/>
      <c r="AB276" s="0" t="n"/>
      <c r="AC276" s="0" t="n"/>
      <c r="AD276" s="0" t="n"/>
      <c r="AE276" s="0" t="n"/>
      <c r="AF276" s="0" t="n"/>
      <c r="AG276" s="0" t="n"/>
      <c r="AH276" s="0" t="n"/>
      <c r="AI276" s="0" t="n"/>
      <c r="AJ276" s="0" t="n"/>
      <c r="AK276" s="0" t="n"/>
      <c r="AL276" s="0" t="n"/>
      <c r="AM276" s="0" t="n"/>
      <c r="AN276" s="0" t="n"/>
      <c r="AO276" s="0" t="n"/>
      <c r="AP276" s="0" t="n"/>
      <c r="AQ276" s="0" t="n"/>
      <c r="AR276" s="0" t="n"/>
      <c r="AS276" s="0" t="n"/>
      <c r="AT276" s="0" t="n"/>
      <c r="AU276" s="0" t="n"/>
      <c r="AV276" s="0" t="n"/>
      <c r="AW276" s="0" t="n"/>
      <c r="AX276" s="0" t="n"/>
      <c r="AY276" s="0" t="n"/>
      <c r="AZ276" s="0" t="n"/>
      <c r="BA276" s="0" t="n"/>
      <c r="BB276" s="0" t="n"/>
      <c r="BC276" s="0" t="n"/>
      <c r="BD276" s="0" t="n"/>
      <c r="BE276" s="0" t="n"/>
      <c r="BF276" s="0" t="n"/>
      <c r="BG276" s="0" t="n"/>
      <c r="BH276" s="0" t="n"/>
      <c r="BI276" s="0" t="n"/>
      <c r="BJ276" s="0" t="n"/>
      <c r="BK276" s="0" t="n"/>
      <c r="BL276" s="0" t="n"/>
      <c r="BM276" s="0" t="n"/>
      <c r="BN276" s="0" t="n"/>
      <c r="BO276" s="0" t="n"/>
      <c r="BP276" s="0" t="n"/>
    </row>
    <row hidden="false" ht="15" outlineLevel="0" r="277">
      <c r="A277" s="116" t="n">
        <f aca="false" ca="false" dt2D="false" dtr="false" t="normal">+A276+1</f>
        <v>258</v>
      </c>
      <c r="B277" s="117" t="n">
        <f aca="false" ca="false" dt2D="false" dtr="false" t="normal">+B276+1</f>
        <v>70</v>
      </c>
      <c r="C277" s="104" t="s">
        <v>111</v>
      </c>
      <c r="D277" s="117" t="s">
        <v>362</v>
      </c>
      <c r="E277" s="113" t="n">
        <f aca="false" ca="true" dt2D="false" dtr="false" t="normal">SUBTOTAL(9, F277:T277)</f>
        <v>974673.41</v>
      </c>
      <c r="F277" s="114" t="n"/>
      <c r="G277" s="114" t="n"/>
      <c r="H277" s="114" t="n">
        <v>0</v>
      </c>
      <c r="I277" s="114" t="n">
        <v>0</v>
      </c>
      <c r="J277" s="114" t="n">
        <v>974673.41</v>
      </c>
      <c r="K277" s="114" t="n"/>
      <c r="L277" s="114" t="n"/>
      <c r="M277" s="114" t="n">
        <v>0</v>
      </c>
      <c r="N277" s="114" t="n"/>
      <c r="O277" s="114" t="n">
        <v>0</v>
      </c>
      <c r="P277" s="114" t="n">
        <v>0</v>
      </c>
      <c r="Q277" s="114" t="n">
        <v>0</v>
      </c>
      <c r="R277" s="114" t="n"/>
      <c r="S277" s="114" t="n"/>
      <c r="T277" s="115" t="n"/>
      <c r="U277" s="0" t="n"/>
      <c r="V277" s="0" t="n"/>
      <c r="W277" s="0" t="n"/>
      <c r="X277" s="0" t="n"/>
      <c r="Y277" s="0" t="n"/>
      <c r="Z277" s="0" t="n"/>
      <c r="AA277" s="0" t="n"/>
      <c r="AB277" s="0" t="n"/>
      <c r="AC277" s="0" t="n"/>
      <c r="AD277" s="0" t="n"/>
      <c r="AE277" s="0" t="n"/>
      <c r="AF277" s="0" t="n"/>
      <c r="AG277" s="0" t="n"/>
      <c r="AH277" s="0" t="n"/>
      <c r="AI277" s="0" t="n"/>
      <c r="AJ277" s="0" t="n"/>
      <c r="AK277" s="0" t="n"/>
      <c r="AL277" s="0" t="n"/>
      <c r="AM277" s="0" t="n"/>
      <c r="AN277" s="0" t="n"/>
      <c r="AO277" s="0" t="n"/>
      <c r="AP277" s="0" t="n"/>
      <c r="AQ277" s="0" t="n"/>
      <c r="AR277" s="0" t="n"/>
      <c r="AS277" s="0" t="n"/>
      <c r="AT277" s="0" t="n"/>
      <c r="AU277" s="0" t="n"/>
      <c r="AV277" s="0" t="n"/>
      <c r="AW277" s="0" t="n"/>
      <c r="AX277" s="0" t="n"/>
      <c r="AY277" s="0" t="n"/>
      <c r="AZ277" s="0" t="n"/>
      <c r="BA277" s="0" t="n"/>
      <c r="BB277" s="0" t="n"/>
      <c r="BC277" s="0" t="n"/>
      <c r="BD277" s="0" t="n"/>
      <c r="BE277" s="0" t="n"/>
      <c r="BF277" s="0" t="n"/>
      <c r="BG277" s="0" t="n"/>
      <c r="BH277" s="0" t="n"/>
      <c r="BI277" s="0" t="n"/>
      <c r="BJ277" s="0" t="n"/>
      <c r="BK277" s="0" t="n"/>
      <c r="BL277" s="0" t="n"/>
      <c r="BM277" s="0" t="n"/>
      <c r="BN277" s="0" t="n"/>
      <c r="BO277" s="0" t="n"/>
      <c r="BP277" s="0" t="n"/>
    </row>
    <row hidden="false" ht="15" outlineLevel="0" r="278">
      <c r="A278" s="116" t="n">
        <f aca="false" ca="false" dt2D="false" dtr="false" t="normal">+A277+1</f>
        <v>259</v>
      </c>
      <c r="B278" s="117" t="n">
        <f aca="false" ca="false" dt2D="false" dtr="false" t="normal">+B277+1</f>
        <v>71</v>
      </c>
      <c r="C278" s="104" t="s">
        <v>111</v>
      </c>
      <c r="D278" s="117" t="s">
        <v>363</v>
      </c>
      <c r="E278" s="113" t="n">
        <f aca="false" ca="true" dt2D="false" dtr="false" t="normal">SUBTOTAL(9, F278:T278)</f>
        <v>13852053.299999999</v>
      </c>
      <c r="F278" s="114" t="n">
        <v>7567432.08</v>
      </c>
      <c r="G278" s="114" t="n"/>
      <c r="H278" s="114" t="n">
        <v>3408090.02</v>
      </c>
      <c r="I278" s="114" t="n">
        <v>2646922.32</v>
      </c>
      <c r="J278" s="114" t="n"/>
      <c r="K278" s="114" t="n"/>
      <c r="L278" s="114" t="n"/>
      <c r="M278" s="114" t="n">
        <v>0</v>
      </c>
      <c r="N278" s="114" t="n">
        <v>0</v>
      </c>
      <c r="O278" s="114" t="n">
        <v>0</v>
      </c>
      <c r="P278" s="114" t="n">
        <v>0</v>
      </c>
      <c r="Q278" s="114" t="n">
        <v>0</v>
      </c>
      <c r="R278" s="114" t="n">
        <v>89396.34</v>
      </c>
      <c r="S278" s="114" t="n"/>
      <c r="T278" s="115" t="n">
        <f aca="false" ca="false" dt2D="false" dtr="false" t="normal">78680.24+30208.91+31323.39</f>
        <v>140212.54</v>
      </c>
      <c r="U278" s="0" t="n"/>
      <c r="V278" s="0" t="n"/>
      <c r="W278" s="0" t="n"/>
      <c r="X278" s="0" t="n"/>
      <c r="Y278" s="0" t="n"/>
      <c r="Z278" s="0" t="n"/>
      <c r="AA278" s="0" t="n"/>
      <c r="AB278" s="0" t="n"/>
      <c r="AC278" s="0" t="n"/>
      <c r="AD278" s="0" t="n"/>
      <c r="AE278" s="0" t="n"/>
      <c r="AF278" s="0" t="n"/>
      <c r="AG278" s="0" t="n"/>
      <c r="AH278" s="0" t="n"/>
      <c r="AI278" s="0" t="n"/>
      <c r="AJ278" s="0" t="n"/>
      <c r="AK278" s="0" t="n"/>
      <c r="AL278" s="0" t="n"/>
      <c r="AM278" s="0" t="n"/>
      <c r="AN278" s="0" t="n"/>
      <c r="AO278" s="0" t="n"/>
      <c r="AP278" s="0" t="n"/>
      <c r="AQ278" s="0" t="n"/>
      <c r="AR278" s="0" t="n"/>
      <c r="AS278" s="0" t="n"/>
      <c r="AT278" s="0" t="n"/>
      <c r="AU278" s="0" t="n"/>
      <c r="AV278" s="0" t="n"/>
      <c r="AW278" s="0" t="n"/>
      <c r="AX278" s="0" t="n"/>
      <c r="AY278" s="0" t="n"/>
      <c r="AZ278" s="0" t="n"/>
      <c r="BA278" s="0" t="n"/>
      <c r="BB278" s="0" t="n"/>
      <c r="BC278" s="0" t="n"/>
      <c r="BD278" s="0" t="n"/>
      <c r="BE278" s="0" t="n"/>
      <c r="BF278" s="0" t="n"/>
      <c r="BG278" s="0" t="n"/>
      <c r="BH278" s="0" t="n"/>
      <c r="BI278" s="0" t="n"/>
      <c r="BJ278" s="0" t="n"/>
      <c r="BK278" s="0" t="n"/>
      <c r="BL278" s="0" t="n"/>
      <c r="BM278" s="0" t="n"/>
      <c r="BN278" s="0" t="n"/>
      <c r="BO278" s="0" t="n"/>
      <c r="BP278" s="0" t="n"/>
    </row>
    <row hidden="false" ht="15" outlineLevel="0" r="279">
      <c r="A279" s="116" t="n">
        <f aca="false" ca="false" dt2D="false" dtr="false" t="normal">+A278+1</f>
        <v>260</v>
      </c>
      <c r="B279" s="117" t="n">
        <f aca="false" ca="false" dt2D="false" dtr="false" t="normal">+B278+1</f>
        <v>72</v>
      </c>
      <c r="C279" s="104" t="s">
        <v>111</v>
      </c>
      <c r="D279" s="117" t="s">
        <v>159</v>
      </c>
      <c r="E279" s="113" t="n">
        <f aca="false" ca="true" dt2D="false" dtr="false" t="normal">SUBTOTAL(9, F279:T279)</f>
        <v>7219456.87</v>
      </c>
      <c r="F279" s="114" t="n">
        <v>0</v>
      </c>
      <c r="G279" s="114" t="n"/>
      <c r="H279" s="114" t="n"/>
      <c r="I279" s="114" t="n"/>
      <c r="J279" s="114" t="n"/>
      <c r="K279" s="114" t="n"/>
      <c r="L279" s="114" t="n"/>
      <c r="M279" s="114" t="n">
        <v>0</v>
      </c>
      <c r="N279" s="114" t="n">
        <v>0</v>
      </c>
      <c r="O279" s="114" t="n">
        <v>0</v>
      </c>
      <c r="P279" s="114" t="n">
        <v>0</v>
      </c>
      <c r="Q279" s="114" t="n">
        <v>7219456.87</v>
      </c>
      <c r="R279" s="114" t="n"/>
      <c r="S279" s="114" t="n"/>
      <c r="T279" s="115" t="n"/>
      <c r="U279" s="0" t="n"/>
      <c r="V279" s="0" t="n"/>
      <c r="W279" s="0" t="n"/>
      <c r="X279" s="0" t="n"/>
      <c r="Y279" s="0" t="n"/>
      <c r="Z279" s="0" t="n"/>
      <c r="AA279" s="0" t="n"/>
      <c r="AB279" s="0" t="n"/>
      <c r="AC279" s="0" t="n"/>
      <c r="AD279" s="0" t="n"/>
      <c r="AE279" s="0" t="n"/>
      <c r="AF279" s="0" t="n"/>
      <c r="AG279" s="0" t="n"/>
      <c r="AH279" s="0" t="n"/>
      <c r="AI279" s="0" t="n"/>
      <c r="AJ279" s="0" t="n"/>
      <c r="AK279" s="0" t="n"/>
      <c r="AL279" s="0" t="n"/>
      <c r="AM279" s="0" t="n"/>
      <c r="AN279" s="0" t="n"/>
      <c r="AO279" s="0" t="n"/>
      <c r="AP279" s="0" t="n"/>
      <c r="AQ279" s="0" t="n"/>
      <c r="AR279" s="0" t="n"/>
      <c r="AS279" s="0" t="n"/>
      <c r="AT279" s="0" t="n"/>
      <c r="AU279" s="0" t="n"/>
      <c r="AV279" s="0" t="n"/>
      <c r="AW279" s="0" t="n"/>
      <c r="AX279" s="0" t="n"/>
      <c r="AY279" s="0" t="n"/>
      <c r="AZ279" s="0" t="n"/>
      <c r="BA279" s="0" t="n"/>
      <c r="BB279" s="0" t="n"/>
      <c r="BC279" s="0" t="n"/>
      <c r="BD279" s="0" t="n"/>
      <c r="BE279" s="0" t="n"/>
      <c r="BF279" s="0" t="n"/>
      <c r="BG279" s="0" t="n"/>
      <c r="BH279" s="0" t="n"/>
      <c r="BI279" s="0" t="n"/>
      <c r="BJ279" s="0" t="n"/>
      <c r="BK279" s="0" t="n"/>
      <c r="BL279" s="0" t="n"/>
      <c r="BM279" s="0" t="n"/>
      <c r="BN279" s="0" t="n"/>
      <c r="BO279" s="0" t="n"/>
      <c r="BP279" s="0" t="n"/>
    </row>
    <row hidden="false" ht="15" outlineLevel="0" r="280">
      <c r="A280" s="116" t="n">
        <f aca="false" ca="false" dt2D="false" dtr="false" t="normal">+A279+1</f>
        <v>261</v>
      </c>
      <c r="B280" s="117" t="n">
        <f aca="false" ca="false" dt2D="false" dtr="false" t="normal">+B279+1</f>
        <v>73</v>
      </c>
      <c r="C280" s="104" t="s">
        <v>111</v>
      </c>
      <c r="D280" s="117" t="s">
        <v>160</v>
      </c>
      <c r="E280" s="113" t="n">
        <f aca="false" ca="true" dt2D="false" dtr="false" t="normal">SUBTOTAL(9, F280:T280)</f>
        <v>942256.83</v>
      </c>
      <c r="F280" s="114" t="n"/>
      <c r="G280" s="114" t="n"/>
      <c r="H280" s="114" t="n">
        <v>942256.83</v>
      </c>
      <c r="I280" s="114" t="n"/>
      <c r="J280" s="114" t="n"/>
      <c r="K280" s="114" t="n"/>
      <c r="L280" s="114" t="n"/>
      <c r="M280" s="114" t="n">
        <v>0</v>
      </c>
      <c r="N280" s="114" t="n"/>
      <c r="O280" s="114" t="n">
        <v>0</v>
      </c>
      <c r="P280" s="114" t="n">
        <v>0</v>
      </c>
      <c r="Q280" s="114" t="n">
        <v>0</v>
      </c>
      <c r="R280" s="114" t="n"/>
      <c r="S280" s="114" t="n"/>
      <c r="T280" s="115" t="n"/>
      <c r="U280" s="0" t="n"/>
      <c r="V280" s="0" t="n"/>
      <c r="W280" s="0" t="n"/>
      <c r="X280" s="0" t="n"/>
      <c r="Y280" s="0" t="n"/>
      <c r="Z280" s="0" t="n"/>
      <c r="AA280" s="0" t="n"/>
      <c r="AB280" s="0" t="n"/>
      <c r="AC280" s="0" t="n"/>
      <c r="AD280" s="0" t="n"/>
      <c r="AE280" s="0" t="n"/>
      <c r="AF280" s="0" t="n"/>
      <c r="AG280" s="0" t="n"/>
      <c r="AH280" s="0" t="n"/>
      <c r="AI280" s="0" t="n"/>
      <c r="AJ280" s="0" t="n"/>
      <c r="AK280" s="0" t="n"/>
      <c r="AL280" s="0" t="n"/>
      <c r="AM280" s="0" t="n"/>
      <c r="AN280" s="0" t="n"/>
      <c r="AO280" s="0" t="n"/>
      <c r="AP280" s="0" t="n"/>
      <c r="AQ280" s="0" t="n"/>
      <c r="AR280" s="0" t="n"/>
      <c r="AS280" s="0" t="n"/>
      <c r="AT280" s="0" t="n"/>
      <c r="AU280" s="0" t="n"/>
      <c r="AV280" s="0" t="n"/>
      <c r="AW280" s="0" t="n"/>
      <c r="AX280" s="0" t="n"/>
      <c r="AY280" s="0" t="n"/>
      <c r="AZ280" s="0" t="n"/>
      <c r="BA280" s="0" t="n"/>
      <c r="BB280" s="0" t="n"/>
      <c r="BC280" s="0" t="n"/>
      <c r="BD280" s="0" t="n"/>
      <c r="BE280" s="0" t="n"/>
      <c r="BF280" s="0" t="n"/>
      <c r="BG280" s="0" t="n"/>
      <c r="BH280" s="0" t="n"/>
      <c r="BI280" s="0" t="n"/>
      <c r="BJ280" s="0" t="n"/>
      <c r="BK280" s="0" t="n"/>
      <c r="BL280" s="0" t="n"/>
      <c r="BM280" s="0" t="n"/>
      <c r="BN280" s="0" t="n"/>
      <c r="BO280" s="0" t="n"/>
      <c r="BP280" s="0" t="n"/>
    </row>
    <row hidden="false" ht="15" outlineLevel="0" r="281">
      <c r="A281" s="116" t="n">
        <f aca="false" ca="false" dt2D="false" dtr="false" t="normal">+A280+1</f>
        <v>262</v>
      </c>
      <c r="B281" s="117" t="n">
        <f aca="false" ca="false" dt2D="false" dtr="false" t="normal">+B280+1</f>
        <v>74</v>
      </c>
      <c r="C281" s="104" t="s">
        <v>111</v>
      </c>
      <c r="D281" s="117" t="s">
        <v>364</v>
      </c>
      <c r="E281" s="186" t="n">
        <f aca="false" ca="true" dt2D="false" dtr="false" t="normal">SUBTOTAL(9, F281:T281)</f>
        <v>4053130.36</v>
      </c>
      <c r="F281" s="114" t="n"/>
      <c r="G281" s="114" t="n"/>
      <c r="H281" s="114" t="n"/>
      <c r="I281" s="114" t="n"/>
      <c r="J281" s="114" t="n"/>
      <c r="K281" s="114" t="n"/>
      <c r="L281" s="114" t="n"/>
      <c r="M281" s="114" t="n">
        <v>0</v>
      </c>
      <c r="N281" s="114" t="n">
        <v>4009059.65</v>
      </c>
      <c r="O281" s="114" t="n">
        <v>0</v>
      </c>
      <c r="P281" s="114" t="n">
        <v>0</v>
      </c>
      <c r="Q281" s="114" t="n">
        <v>0</v>
      </c>
      <c r="R281" s="114" t="n">
        <v>39270.71</v>
      </c>
      <c r="S281" s="114" t="n">
        <v>4800</v>
      </c>
      <c r="T281" s="115" t="n"/>
      <c r="U281" s="0" t="n"/>
      <c r="V281" s="0" t="n"/>
      <c r="W281" s="0" t="n"/>
      <c r="X281" s="0" t="n"/>
      <c r="Y281" s="0" t="n"/>
      <c r="Z281" s="0" t="n"/>
      <c r="AA281" s="0" t="n"/>
      <c r="AB281" s="0" t="n"/>
      <c r="AC281" s="0" t="n"/>
      <c r="AD281" s="0" t="n"/>
      <c r="AE281" s="0" t="n"/>
      <c r="AF281" s="0" t="n"/>
      <c r="AG281" s="0" t="n"/>
      <c r="AH281" s="0" t="n"/>
      <c r="AI281" s="0" t="n"/>
      <c r="AJ281" s="0" t="n"/>
      <c r="AK281" s="0" t="n"/>
      <c r="AL281" s="0" t="n"/>
      <c r="AM281" s="0" t="n"/>
      <c r="AN281" s="0" t="n"/>
      <c r="AO281" s="0" t="n"/>
      <c r="AP281" s="0" t="n"/>
      <c r="AQ281" s="0" t="n"/>
      <c r="AR281" s="0" t="n"/>
      <c r="AS281" s="0" t="n"/>
      <c r="AT281" s="0" t="n"/>
      <c r="AU281" s="0" t="n"/>
      <c r="AV281" s="0" t="n"/>
      <c r="AW281" s="0" t="n"/>
      <c r="AX281" s="0" t="n"/>
      <c r="AY281" s="0" t="n"/>
      <c r="AZ281" s="0" t="n"/>
      <c r="BA281" s="0" t="n"/>
      <c r="BB281" s="0" t="n"/>
      <c r="BC281" s="0" t="n"/>
      <c r="BD281" s="0" t="n"/>
      <c r="BE281" s="0" t="n"/>
      <c r="BF281" s="0" t="n"/>
      <c r="BG281" s="0" t="n"/>
      <c r="BH281" s="0" t="n"/>
      <c r="BI281" s="0" t="n"/>
      <c r="BJ281" s="0" t="n"/>
      <c r="BK281" s="0" t="n"/>
      <c r="BL281" s="0" t="n"/>
      <c r="BM281" s="0" t="n"/>
      <c r="BN281" s="0" t="n"/>
      <c r="BO281" s="0" t="n"/>
      <c r="BP281" s="0" t="n"/>
    </row>
    <row hidden="false" ht="15" outlineLevel="0" r="282">
      <c r="A282" s="116" t="n">
        <f aca="false" ca="false" dt2D="false" dtr="false" t="normal">+A281+1</f>
        <v>263</v>
      </c>
      <c r="B282" s="117" t="n">
        <f aca="false" ca="false" dt2D="false" dtr="false" t="normal">+B281+1</f>
        <v>75</v>
      </c>
      <c r="C282" s="104" t="s">
        <v>111</v>
      </c>
      <c r="D282" s="117" t="s">
        <v>365</v>
      </c>
      <c r="E282" s="186" t="n">
        <f aca="false" ca="true" dt2D="false" dtr="false" t="normal">SUBTOTAL(9, F282:T282)</f>
        <v>14089697.18</v>
      </c>
      <c r="F282" s="114" t="n"/>
      <c r="G282" s="114" t="n"/>
      <c r="H282" s="114" t="n"/>
      <c r="I282" s="114" t="n"/>
      <c r="J282" s="114" t="n"/>
      <c r="K282" s="114" t="n"/>
      <c r="L282" s="114" t="n"/>
      <c r="M282" s="114" t="n">
        <v>13862649.6</v>
      </c>
      <c r="N282" s="114" t="n"/>
      <c r="O282" s="114" t="n"/>
      <c r="P282" s="114" t="n"/>
      <c r="Q282" s="114" t="n"/>
      <c r="R282" s="114" t="n">
        <v>203887.58</v>
      </c>
      <c r="S282" s="114" t="n">
        <v>23160</v>
      </c>
      <c r="T282" s="115" t="n"/>
      <c r="U282" s="0" t="n"/>
      <c r="V282" s="0" t="n"/>
      <c r="W282" s="0" t="n"/>
      <c r="X282" s="0" t="n"/>
      <c r="Y282" s="0" t="n"/>
      <c r="Z282" s="0" t="n"/>
      <c r="AA282" s="0" t="n"/>
      <c r="AB282" s="0" t="n"/>
      <c r="AC282" s="0" t="n"/>
      <c r="AD282" s="0" t="n"/>
      <c r="AE282" s="0" t="n"/>
      <c r="AF282" s="0" t="n"/>
      <c r="AG282" s="0" t="n"/>
      <c r="AH282" s="0" t="n"/>
      <c r="AI282" s="0" t="n"/>
      <c r="AJ282" s="0" t="n"/>
      <c r="AK282" s="0" t="n"/>
      <c r="AL282" s="0" t="n"/>
      <c r="AM282" s="0" t="n"/>
      <c r="AN282" s="0" t="n"/>
      <c r="AO282" s="0" t="n"/>
      <c r="AP282" s="0" t="n"/>
      <c r="AQ282" s="0" t="n"/>
      <c r="AR282" s="0" t="n"/>
      <c r="AS282" s="0" t="n"/>
      <c r="AT282" s="0" t="n"/>
      <c r="AU282" s="0" t="n"/>
      <c r="AV282" s="0" t="n"/>
      <c r="AW282" s="0" t="n"/>
      <c r="AX282" s="0" t="n"/>
      <c r="AY282" s="0" t="n"/>
      <c r="AZ282" s="0" t="n"/>
      <c r="BA282" s="0" t="n"/>
      <c r="BB282" s="0" t="n"/>
      <c r="BC282" s="0" t="n"/>
      <c r="BD282" s="0" t="n"/>
      <c r="BE282" s="0" t="n"/>
      <c r="BF282" s="0" t="n"/>
      <c r="BG282" s="0" t="n"/>
      <c r="BH282" s="0" t="n"/>
      <c r="BI282" s="0" t="n"/>
      <c r="BJ282" s="0" t="n"/>
      <c r="BK282" s="0" t="n"/>
      <c r="BL282" s="0" t="n"/>
      <c r="BM282" s="0" t="n"/>
      <c r="BN282" s="0" t="n"/>
      <c r="BO282" s="0" t="n"/>
      <c r="BP282" s="0" t="n"/>
    </row>
    <row hidden="false" ht="15" outlineLevel="0" r="283">
      <c r="A283" s="116" t="n">
        <f aca="false" ca="false" dt2D="false" dtr="false" t="normal">+A282+1</f>
        <v>264</v>
      </c>
      <c r="B283" s="117" t="n">
        <f aca="false" ca="false" dt2D="false" dtr="false" t="normal">+B282+1</f>
        <v>76</v>
      </c>
      <c r="C283" s="104" t="s">
        <v>111</v>
      </c>
      <c r="D283" s="117" t="s">
        <v>165</v>
      </c>
      <c r="E283" s="113" t="n">
        <f aca="false" ca="true" dt2D="false" dtr="false" t="normal">SUBTOTAL(9, F283:T283)</f>
        <v>1843690.17</v>
      </c>
      <c r="F283" s="114" t="n"/>
      <c r="G283" s="114" t="n"/>
      <c r="H283" s="114" t="n">
        <v>1824432.9</v>
      </c>
      <c r="I283" s="114" t="n"/>
      <c r="J283" s="114" t="n"/>
      <c r="K283" s="114" t="n"/>
      <c r="L283" s="114" t="n"/>
      <c r="M283" s="114" t="n">
        <v>0</v>
      </c>
      <c r="N283" s="114" t="n">
        <v>0</v>
      </c>
      <c r="O283" s="114" t="n">
        <v>0</v>
      </c>
      <c r="P283" s="114" t="n">
        <v>0</v>
      </c>
      <c r="Q283" s="114" t="n">
        <v>0</v>
      </c>
      <c r="R283" s="114" t="n"/>
      <c r="S283" s="114" t="n"/>
      <c r="T283" s="115" t="n">
        <v>19257.27</v>
      </c>
      <c r="U283" s="0" t="n"/>
      <c r="V283" s="0" t="n"/>
      <c r="W283" s="0" t="n"/>
      <c r="X283" s="0" t="n"/>
      <c r="Y283" s="0" t="n"/>
      <c r="Z283" s="0" t="n"/>
      <c r="AA283" s="0" t="n"/>
      <c r="AB283" s="0" t="n"/>
      <c r="AC283" s="0" t="n"/>
      <c r="AD283" s="0" t="n"/>
      <c r="AE283" s="0" t="n"/>
      <c r="AF283" s="0" t="n"/>
      <c r="AG283" s="0" t="n"/>
      <c r="AH283" s="0" t="n"/>
      <c r="AI283" s="0" t="n"/>
      <c r="AJ283" s="0" t="n"/>
      <c r="AK283" s="0" t="n"/>
      <c r="AL283" s="0" t="n"/>
      <c r="AM283" s="0" t="n"/>
      <c r="AN283" s="0" t="n"/>
      <c r="AO283" s="0" t="n"/>
      <c r="AP283" s="0" t="n"/>
      <c r="AQ283" s="0" t="n"/>
      <c r="AR283" s="0" t="n"/>
      <c r="AS283" s="0" t="n"/>
      <c r="AT283" s="0" t="n"/>
      <c r="AU283" s="0" t="n"/>
      <c r="AV283" s="0" t="n"/>
      <c r="AW283" s="0" t="n"/>
      <c r="AX283" s="0" t="n"/>
      <c r="AY283" s="0" t="n"/>
      <c r="AZ283" s="0" t="n"/>
      <c r="BA283" s="0" t="n"/>
      <c r="BB283" s="0" t="n"/>
      <c r="BC283" s="0" t="n"/>
      <c r="BD283" s="0" t="n"/>
      <c r="BE283" s="0" t="n"/>
      <c r="BF283" s="0" t="n"/>
      <c r="BG283" s="0" t="n"/>
      <c r="BH283" s="0" t="n"/>
      <c r="BI283" s="0" t="n"/>
      <c r="BJ283" s="0" t="n"/>
      <c r="BK283" s="0" t="n"/>
      <c r="BL283" s="0" t="n"/>
      <c r="BM283" s="0" t="n"/>
      <c r="BN283" s="0" t="n"/>
      <c r="BO283" s="0" t="n"/>
      <c r="BP283" s="0" t="n"/>
    </row>
    <row hidden="false" ht="15" outlineLevel="0" r="284">
      <c r="A284" s="116" t="n">
        <f aca="false" ca="false" dt2D="false" dtr="false" t="normal">+A283+1</f>
        <v>265</v>
      </c>
      <c r="B284" s="117" t="n">
        <f aca="false" ca="false" dt2D="false" dtr="false" t="normal">+B283+1</f>
        <v>77</v>
      </c>
      <c r="C284" s="104" t="s">
        <v>111</v>
      </c>
      <c r="D284" s="117" t="s">
        <v>366</v>
      </c>
      <c r="E284" s="113" t="n">
        <f aca="false" ca="true" dt2D="false" dtr="false" t="normal">SUBTOTAL(9, F284:T284)</f>
        <v>7026376.8</v>
      </c>
      <c r="F284" s="114" t="n"/>
      <c r="G284" s="114" t="n">
        <v>343509.18</v>
      </c>
      <c r="H284" s="114" t="n">
        <v>1218249.92</v>
      </c>
      <c r="I284" s="114" t="n">
        <v>605983.06</v>
      </c>
      <c r="J284" s="114" t="n"/>
      <c r="K284" s="114" t="n"/>
      <c r="L284" s="114" t="n"/>
      <c r="M284" s="114" t="n"/>
      <c r="N284" s="114" t="n">
        <v>4289726.93</v>
      </c>
      <c r="O284" s="114" t="n"/>
      <c r="P284" s="114" t="n"/>
      <c r="Q284" s="114" t="n"/>
      <c r="R284" s="114" t="n">
        <v>555193.42</v>
      </c>
      <c r="S284" s="114" t="n">
        <v>13714.29</v>
      </c>
      <c r="T284" s="115" t="n"/>
      <c r="U284" s="0" t="n"/>
      <c r="V284" s="0" t="n"/>
      <c r="W284" s="0" t="n"/>
      <c r="X284" s="0" t="n"/>
      <c r="Y284" s="0" t="n"/>
      <c r="Z284" s="0" t="n"/>
      <c r="AA284" s="0" t="n"/>
      <c r="AB284" s="0" t="n"/>
      <c r="AC284" s="0" t="n"/>
      <c r="AD284" s="0" t="n"/>
      <c r="AE284" s="0" t="n"/>
      <c r="AF284" s="0" t="n"/>
      <c r="AG284" s="0" t="n"/>
      <c r="AH284" s="0" t="n"/>
      <c r="AI284" s="0" t="n"/>
      <c r="AJ284" s="0" t="n"/>
      <c r="AK284" s="0" t="n"/>
      <c r="AL284" s="0" t="n"/>
      <c r="AM284" s="0" t="n"/>
      <c r="AN284" s="0" t="n"/>
      <c r="AO284" s="0" t="n"/>
      <c r="AP284" s="0" t="n"/>
      <c r="AQ284" s="0" t="n"/>
      <c r="AR284" s="0" t="n"/>
      <c r="AS284" s="0" t="n"/>
      <c r="AT284" s="0" t="n"/>
      <c r="AU284" s="0" t="n"/>
      <c r="AV284" s="0" t="n"/>
      <c r="AW284" s="0" t="n"/>
      <c r="AX284" s="0" t="n"/>
      <c r="AY284" s="0" t="n"/>
      <c r="AZ284" s="0" t="n"/>
      <c r="BA284" s="0" t="n"/>
      <c r="BB284" s="0" t="n"/>
      <c r="BC284" s="0" t="n"/>
      <c r="BD284" s="0" t="n"/>
      <c r="BE284" s="0" t="n"/>
      <c r="BF284" s="0" t="n"/>
      <c r="BG284" s="0" t="n"/>
      <c r="BH284" s="0" t="n"/>
      <c r="BI284" s="0" t="n"/>
      <c r="BJ284" s="0" t="n"/>
      <c r="BK284" s="0" t="n"/>
      <c r="BL284" s="0" t="n"/>
      <c r="BM284" s="0" t="n"/>
      <c r="BN284" s="0" t="n"/>
      <c r="BO284" s="0" t="n"/>
      <c r="BP284" s="0" t="n"/>
    </row>
    <row hidden="false" ht="15" outlineLevel="0" r="285">
      <c r="A285" s="116" t="n">
        <f aca="false" ca="false" dt2D="false" dtr="false" t="normal">+A284+1</f>
        <v>266</v>
      </c>
      <c r="B285" s="117" t="n">
        <f aca="false" ca="false" dt2D="false" dtr="false" t="normal">+B284+1</f>
        <v>78</v>
      </c>
      <c r="C285" s="104" t="s">
        <v>111</v>
      </c>
      <c r="D285" s="117" t="s">
        <v>169</v>
      </c>
      <c r="E285" s="113" t="n">
        <f aca="false" ca="true" dt2D="false" dtr="false" t="normal">SUBTOTAL(9, F285:T285)</f>
        <v>8130696.91</v>
      </c>
      <c r="F285" s="114" t="n"/>
      <c r="G285" s="114" t="n"/>
      <c r="H285" s="114" t="n">
        <v>271883.74</v>
      </c>
      <c r="I285" s="114" t="n">
        <v>1331235.81</v>
      </c>
      <c r="J285" s="114" t="n"/>
      <c r="K285" s="114" t="n"/>
      <c r="L285" s="114" t="n"/>
      <c r="M285" s="114" t="n"/>
      <c r="N285" s="114" t="n"/>
      <c r="O285" s="114" t="n"/>
      <c r="P285" s="114" t="n"/>
      <c r="Q285" s="114" t="n">
        <v>6391541.46</v>
      </c>
      <c r="R285" s="114" t="n">
        <v>124035.9</v>
      </c>
      <c r="S285" s="114" t="n">
        <v>12000</v>
      </c>
      <c r="T285" s="115" t="n"/>
      <c r="U285" s="0" t="n"/>
      <c r="V285" s="0" t="n"/>
      <c r="W285" s="0" t="n"/>
      <c r="X285" s="0" t="n"/>
      <c r="Y285" s="0" t="n"/>
      <c r="Z285" s="0" t="n"/>
      <c r="AA285" s="0" t="n"/>
      <c r="AB285" s="0" t="n"/>
      <c r="AC285" s="0" t="n"/>
      <c r="AD285" s="0" t="n"/>
      <c r="AE285" s="0" t="n"/>
      <c r="AF285" s="0" t="n"/>
      <c r="AG285" s="0" t="n"/>
      <c r="AH285" s="0" t="n"/>
      <c r="AI285" s="0" t="n"/>
      <c r="AJ285" s="0" t="n"/>
      <c r="AK285" s="0" t="n"/>
      <c r="AL285" s="0" t="n"/>
      <c r="AM285" s="0" t="n"/>
      <c r="AN285" s="0" t="n"/>
      <c r="AO285" s="0" t="n"/>
      <c r="AP285" s="0" t="n"/>
      <c r="AQ285" s="0" t="n"/>
      <c r="AR285" s="0" t="n"/>
      <c r="AS285" s="0" t="n"/>
      <c r="AT285" s="0" t="n"/>
      <c r="AU285" s="0" t="n"/>
      <c r="AV285" s="0" t="n"/>
      <c r="AW285" s="0" t="n"/>
      <c r="AX285" s="0" t="n"/>
      <c r="AY285" s="0" t="n"/>
      <c r="AZ285" s="0" t="n"/>
      <c r="BA285" s="0" t="n"/>
      <c r="BB285" s="0" t="n"/>
      <c r="BC285" s="0" t="n"/>
      <c r="BD285" s="0" t="n"/>
      <c r="BE285" s="0" t="n"/>
      <c r="BF285" s="0" t="n"/>
      <c r="BG285" s="0" t="n"/>
      <c r="BH285" s="0" t="n"/>
      <c r="BI285" s="0" t="n"/>
      <c r="BJ285" s="0" t="n"/>
      <c r="BK285" s="0" t="n"/>
      <c r="BL285" s="0" t="n"/>
      <c r="BM285" s="0" t="n"/>
      <c r="BN285" s="0" t="n"/>
      <c r="BO285" s="0" t="n"/>
      <c r="BP285" s="0" t="n"/>
    </row>
    <row hidden="false" ht="15" outlineLevel="0" r="286">
      <c r="A286" s="116" t="n">
        <f aca="false" ca="false" dt2D="false" dtr="false" t="normal">+A285+1</f>
        <v>267</v>
      </c>
      <c r="B286" s="117" t="n">
        <f aca="false" ca="false" dt2D="false" dtr="false" t="normal">+B285+1</f>
        <v>79</v>
      </c>
      <c r="C286" s="104" t="s">
        <v>111</v>
      </c>
      <c r="D286" s="117" t="s">
        <v>368</v>
      </c>
      <c r="E286" s="186" t="n">
        <f aca="false" ca="true" dt2D="false" dtr="false" t="normal">SUBTOTAL(9, F286:T286)</f>
        <v>6665821.88</v>
      </c>
      <c r="F286" s="114" t="n">
        <v>2848325.83</v>
      </c>
      <c r="G286" s="114" t="n"/>
      <c r="H286" s="114" t="n"/>
      <c r="I286" s="114" t="n"/>
      <c r="J286" s="114" t="n"/>
      <c r="K286" s="114" t="n"/>
      <c r="L286" s="114" t="n"/>
      <c r="M286" s="114" t="n">
        <v>0</v>
      </c>
      <c r="N286" s="114" t="n">
        <v>3676704.18</v>
      </c>
      <c r="O286" s="114" t="n">
        <v>0</v>
      </c>
      <c r="P286" s="114" t="n"/>
      <c r="Q286" s="114" t="n"/>
      <c r="R286" s="114" t="n">
        <v>133934.73</v>
      </c>
      <c r="S286" s="114" t="n">
        <v>6857.14</v>
      </c>
      <c r="T286" s="115" t="n"/>
      <c r="U286" s="0" t="n"/>
      <c r="V286" s="0" t="n"/>
      <c r="W286" s="0" t="n"/>
      <c r="X286" s="0" t="n"/>
      <c r="Y286" s="0" t="n"/>
      <c r="Z286" s="0" t="n"/>
      <c r="AA286" s="0" t="n"/>
      <c r="AB286" s="0" t="n"/>
      <c r="AC286" s="0" t="n"/>
      <c r="AD286" s="0" t="n"/>
      <c r="AE286" s="0" t="n"/>
      <c r="AF286" s="0" t="n"/>
      <c r="AG286" s="0" t="n"/>
      <c r="AH286" s="0" t="n"/>
      <c r="AI286" s="0" t="n"/>
      <c r="AJ286" s="0" t="n"/>
      <c r="AK286" s="0" t="n"/>
      <c r="AL286" s="0" t="n"/>
      <c r="AM286" s="0" t="n"/>
      <c r="AN286" s="0" t="n"/>
      <c r="AO286" s="0" t="n"/>
      <c r="AP286" s="0" t="n"/>
      <c r="AQ286" s="0" t="n"/>
      <c r="AR286" s="0" t="n"/>
      <c r="AS286" s="0" t="n"/>
      <c r="AT286" s="0" t="n"/>
      <c r="AU286" s="0" t="n"/>
      <c r="AV286" s="0" t="n"/>
      <c r="AW286" s="0" t="n"/>
      <c r="AX286" s="0" t="n"/>
      <c r="AY286" s="0" t="n"/>
      <c r="AZ286" s="0" t="n"/>
      <c r="BA286" s="0" t="n"/>
      <c r="BB286" s="0" t="n"/>
      <c r="BC286" s="0" t="n"/>
      <c r="BD286" s="0" t="n"/>
      <c r="BE286" s="0" t="n"/>
      <c r="BF286" s="0" t="n"/>
      <c r="BG286" s="0" t="n"/>
      <c r="BH286" s="0" t="n"/>
      <c r="BI286" s="0" t="n"/>
      <c r="BJ286" s="0" t="n"/>
      <c r="BK286" s="0" t="n"/>
      <c r="BL286" s="0" t="n"/>
      <c r="BM286" s="0" t="n"/>
      <c r="BN286" s="0" t="n"/>
      <c r="BO286" s="0" t="n"/>
      <c r="BP286" s="0" t="n"/>
    </row>
    <row hidden="false" ht="15" outlineLevel="0" r="287">
      <c r="A287" s="116" t="n">
        <f aca="false" ca="false" dt2D="false" dtr="false" t="normal">+A286+1</f>
        <v>268</v>
      </c>
      <c r="B287" s="117" t="n">
        <f aca="false" ca="false" dt2D="false" dtr="false" t="normal">+B286+1</f>
        <v>80</v>
      </c>
      <c r="C287" s="104" t="s">
        <v>111</v>
      </c>
      <c r="D287" s="117" t="s">
        <v>369</v>
      </c>
      <c r="E287" s="113" t="n">
        <f aca="false" ca="true" dt2D="false" dtr="false" t="normal">SUBTOTAL(9, F287:T287)</f>
        <v>1421417.84</v>
      </c>
      <c r="F287" s="114" t="n">
        <v>0</v>
      </c>
      <c r="G287" s="114" t="n">
        <v>0</v>
      </c>
      <c r="H287" s="114" t="n">
        <v>0</v>
      </c>
      <c r="I287" s="114" t="n">
        <v>0</v>
      </c>
      <c r="J287" s="114" t="n">
        <v>1421417.84</v>
      </c>
      <c r="K287" s="114" t="n"/>
      <c r="L287" s="114" t="n"/>
      <c r="M287" s="114" t="n">
        <v>0</v>
      </c>
      <c r="N287" s="114" t="n">
        <v>0</v>
      </c>
      <c r="O287" s="114" t="n">
        <v>0</v>
      </c>
      <c r="P287" s="114" t="n">
        <v>0</v>
      </c>
      <c r="Q287" s="114" t="n"/>
      <c r="R287" s="114" t="n"/>
      <c r="S287" s="114" t="n"/>
      <c r="T287" s="115" t="n"/>
      <c r="U287" s="0" t="n"/>
      <c r="V287" s="0" t="n"/>
      <c r="W287" s="0" t="n"/>
      <c r="X287" s="0" t="n"/>
      <c r="Y287" s="0" t="n"/>
      <c r="Z287" s="0" t="n"/>
      <c r="AA287" s="0" t="n"/>
      <c r="AB287" s="0" t="n"/>
      <c r="AC287" s="0" t="n"/>
      <c r="AD287" s="0" t="n"/>
      <c r="AE287" s="0" t="n"/>
      <c r="AF287" s="0" t="n"/>
      <c r="AG287" s="0" t="n"/>
      <c r="AH287" s="0" t="n"/>
      <c r="AI287" s="0" t="n"/>
      <c r="AJ287" s="0" t="n"/>
      <c r="AK287" s="0" t="n"/>
      <c r="AL287" s="0" t="n"/>
      <c r="AM287" s="0" t="n"/>
      <c r="AN287" s="0" t="n"/>
      <c r="AO287" s="0" t="n"/>
      <c r="AP287" s="0" t="n"/>
      <c r="AQ287" s="0" t="n"/>
      <c r="AR287" s="0" t="n"/>
      <c r="AS287" s="0" t="n"/>
      <c r="AT287" s="0" t="n"/>
      <c r="AU287" s="0" t="n"/>
      <c r="AV287" s="0" t="n"/>
      <c r="AW287" s="0" t="n"/>
      <c r="AX287" s="0" t="n"/>
      <c r="AY287" s="0" t="n"/>
      <c r="AZ287" s="0" t="n"/>
      <c r="BA287" s="0" t="n"/>
      <c r="BB287" s="0" t="n"/>
      <c r="BC287" s="0" t="n"/>
      <c r="BD287" s="0" t="n"/>
      <c r="BE287" s="0" t="n"/>
      <c r="BF287" s="0" t="n"/>
      <c r="BG287" s="0" t="n"/>
      <c r="BH287" s="0" t="n"/>
      <c r="BI287" s="0" t="n"/>
      <c r="BJ287" s="0" t="n"/>
      <c r="BK287" s="0" t="n"/>
      <c r="BL287" s="0" t="n"/>
      <c r="BM287" s="0" t="n"/>
      <c r="BN287" s="0" t="n"/>
      <c r="BO287" s="0" t="n"/>
      <c r="BP287" s="0" t="n"/>
    </row>
    <row hidden="false" ht="15" outlineLevel="0" r="288">
      <c r="A288" s="116" t="n">
        <f aca="false" ca="false" dt2D="false" dtr="false" t="normal">+A287+1</f>
        <v>269</v>
      </c>
      <c r="B288" s="117" t="n">
        <f aca="false" ca="false" dt2D="false" dtr="false" t="normal">+B287+1</f>
        <v>81</v>
      </c>
      <c r="C288" s="104" t="s">
        <v>111</v>
      </c>
      <c r="D288" s="117" t="s">
        <v>370</v>
      </c>
      <c r="E288" s="113" t="n">
        <f aca="false" ca="true" dt2D="false" dtr="false" t="normal">SUBTOTAL(9, F288:T288)</f>
        <v>1405107.53</v>
      </c>
      <c r="F288" s="114" t="n">
        <v>0</v>
      </c>
      <c r="G288" s="114" t="n">
        <v>0</v>
      </c>
      <c r="H288" s="114" t="n">
        <v>0</v>
      </c>
      <c r="I288" s="114" t="n">
        <v>0</v>
      </c>
      <c r="J288" s="114" t="n">
        <v>1405107.53</v>
      </c>
      <c r="K288" s="114" t="n"/>
      <c r="L288" s="114" t="n"/>
      <c r="M288" s="114" t="n">
        <v>0</v>
      </c>
      <c r="N288" s="114" t="n">
        <v>0</v>
      </c>
      <c r="O288" s="114" t="n">
        <v>0</v>
      </c>
      <c r="P288" s="114" t="n">
        <v>0</v>
      </c>
      <c r="Q288" s="114" t="n"/>
      <c r="R288" s="114" t="n"/>
      <c r="S288" s="114" t="n"/>
      <c r="T288" s="115" t="n"/>
      <c r="U288" s="0" t="n"/>
      <c r="V288" s="0" t="n"/>
      <c r="W288" s="0" t="n"/>
      <c r="X288" s="0" t="n"/>
      <c r="Y288" s="0" t="n"/>
      <c r="Z288" s="0" t="n"/>
      <c r="AA288" s="0" t="n"/>
      <c r="AB288" s="0" t="n"/>
      <c r="AC288" s="0" t="n"/>
      <c r="AD288" s="0" t="n"/>
      <c r="AE288" s="0" t="n"/>
      <c r="AF288" s="0" t="n"/>
      <c r="AG288" s="0" t="n"/>
      <c r="AH288" s="0" t="n"/>
      <c r="AI288" s="0" t="n"/>
      <c r="AJ288" s="0" t="n"/>
      <c r="AK288" s="0" t="n"/>
      <c r="AL288" s="0" t="n"/>
      <c r="AM288" s="0" t="n"/>
      <c r="AN288" s="0" t="n"/>
      <c r="AO288" s="0" t="n"/>
      <c r="AP288" s="0" t="n"/>
      <c r="AQ288" s="0" t="n"/>
      <c r="AR288" s="0" t="n"/>
      <c r="AS288" s="0" t="n"/>
      <c r="AT288" s="0" t="n"/>
      <c r="AU288" s="0" t="n"/>
      <c r="AV288" s="0" t="n"/>
      <c r="AW288" s="0" t="n"/>
      <c r="AX288" s="0" t="n"/>
      <c r="AY288" s="0" t="n"/>
      <c r="AZ288" s="0" t="n"/>
      <c r="BA288" s="0" t="n"/>
      <c r="BB288" s="0" t="n"/>
      <c r="BC288" s="0" t="n"/>
      <c r="BD288" s="0" t="n"/>
      <c r="BE288" s="0" t="n"/>
      <c r="BF288" s="0" t="n"/>
      <c r="BG288" s="0" t="n"/>
      <c r="BH288" s="0" t="n"/>
      <c r="BI288" s="0" t="n"/>
      <c r="BJ288" s="0" t="n"/>
      <c r="BK288" s="0" t="n"/>
      <c r="BL288" s="0" t="n"/>
      <c r="BM288" s="0" t="n"/>
      <c r="BN288" s="0" t="n"/>
      <c r="BO288" s="0" t="n"/>
      <c r="BP288" s="0" t="n"/>
    </row>
    <row hidden="false" ht="15" outlineLevel="0" r="289">
      <c r="A289" s="116" t="n">
        <f aca="false" ca="false" dt2D="false" dtr="false" t="normal">+A288+1</f>
        <v>270</v>
      </c>
      <c r="B289" s="117" t="n">
        <f aca="false" ca="false" dt2D="false" dtr="false" t="normal">+B288+1</f>
        <v>82</v>
      </c>
      <c r="C289" s="104" t="s">
        <v>111</v>
      </c>
      <c r="D289" s="117" t="s">
        <v>371</v>
      </c>
      <c r="E289" s="113" t="n">
        <f aca="false" ca="true" dt2D="false" dtr="false" t="normal">SUBTOTAL(9, F289:T289)</f>
        <v>1413665.12</v>
      </c>
      <c r="F289" s="114" t="n">
        <v>0</v>
      </c>
      <c r="G289" s="114" t="n">
        <v>0</v>
      </c>
      <c r="H289" s="114" t="n">
        <v>0</v>
      </c>
      <c r="I289" s="114" t="n">
        <v>0</v>
      </c>
      <c r="J289" s="114" t="n">
        <v>1413665.12</v>
      </c>
      <c r="K289" s="114" t="n"/>
      <c r="L289" s="114" t="n"/>
      <c r="M289" s="114" t="n">
        <v>0</v>
      </c>
      <c r="N289" s="114" t="n">
        <v>0</v>
      </c>
      <c r="O289" s="114" t="n">
        <v>0</v>
      </c>
      <c r="P289" s="114" t="n">
        <v>0</v>
      </c>
      <c r="Q289" s="114" t="n"/>
      <c r="R289" s="114" t="n"/>
      <c r="S289" s="114" t="n"/>
      <c r="T289" s="115" t="n"/>
      <c r="U289" s="0" t="n"/>
      <c r="V289" s="0" t="n"/>
      <c r="W289" s="0" t="n"/>
      <c r="X289" s="0" t="n"/>
      <c r="Y289" s="0" t="n"/>
      <c r="Z289" s="0" t="n"/>
      <c r="AA289" s="0" t="n"/>
      <c r="AB289" s="0" t="n"/>
      <c r="AC289" s="0" t="n"/>
      <c r="AD289" s="0" t="n"/>
      <c r="AE289" s="0" t="n"/>
      <c r="AF289" s="0" t="n"/>
      <c r="AG289" s="0" t="n"/>
      <c r="AH289" s="0" t="n"/>
      <c r="AI289" s="0" t="n"/>
      <c r="AJ289" s="0" t="n"/>
      <c r="AK289" s="0" t="n"/>
      <c r="AL289" s="0" t="n"/>
      <c r="AM289" s="0" t="n"/>
      <c r="AN289" s="0" t="n"/>
      <c r="AO289" s="0" t="n"/>
      <c r="AP289" s="0" t="n"/>
      <c r="AQ289" s="0" t="n"/>
      <c r="AR289" s="0" t="n"/>
      <c r="AS289" s="0" t="n"/>
      <c r="AT289" s="0" t="n"/>
      <c r="AU289" s="0" t="n"/>
      <c r="AV289" s="0" t="n"/>
      <c r="AW289" s="0" t="n"/>
      <c r="AX289" s="0" t="n"/>
      <c r="AY289" s="0" t="n"/>
      <c r="AZ289" s="0" t="n"/>
      <c r="BA289" s="0" t="n"/>
      <c r="BB289" s="0" t="n"/>
      <c r="BC289" s="0" t="n"/>
      <c r="BD289" s="0" t="n"/>
      <c r="BE289" s="0" t="n"/>
      <c r="BF289" s="0" t="n"/>
      <c r="BG289" s="0" t="n"/>
      <c r="BH289" s="0" t="n"/>
      <c r="BI289" s="0" t="n"/>
      <c r="BJ289" s="0" t="n"/>
      <c r="BK289" s="0" t="n"/>
      <c r="BL289" s="0" t="n"/>
      <c r="BM289" s="0" t="n"/>
      <c r="BN289" s="0" t="n"/>
      <c r="BO289" s="0" t="n"/>
      <c r="BP289" s="0" t="n"/>
    </row>
    <row hidden="false" ht="15" outlineLevel="0" r="290">
      <c r="A290" s="116" t="n">
        <f aca="false" ca="false" dt2D="false" dtr="false" t="normal">+A289+1</f>
        <v>271</v>
      </c>
      <c r="B290" s="117" t="n">
        <f aca="false" ca="false" dt2D="false" dtr="false" t="normal">+B289+1</f>
        <v>83</v>
      </c>
      <c r="C290" s="104" t="s">
        <v>111</v>
      </c>
      <c r="D290" s="117" t="s">
        <v>372</v>
      </c>
      <c r="E290" s="113" t="n">
        <f aca="false" ca="true" dt2D="false" dtr="false" t="normal">SUBTOTAL(9, F290:T290)</f>
        <v>17110940.63</v>
      </c>
      <c r="F290" s="114" t="n">
        <v>5599699.6</v>
      </c>
      <c r="G290" s="114" t="n"/>
      <c r="H290" s="114" t="n">
        <v>2421941.33</v>
      </c>
      <c r="I290" s="114" t="n">
        <v>1626971.98</v>
      </c>
      <c r="J290" s="114" t="n"/>
      <c r="K290" s="114" t="n"/>
      <c r="L290" s="114" t="n"/>
      <c r="M290" s="114" t="n">
        <v>0</v>
      </c>
      <c r="N290" s="114" t="n">
        <v>7300062.82</v>
      </c>
      <c r="O290" s="114" t="n">
        <v>0</v>
      </c>
      <c r="P290" s="114" t="n">
        <v>0</v>
      </c>
      <c r="Q290" s="114" t="n"/>
      <c r="R290" s="114" t="n">
        <v>143064.9</v>
      </c>
      <c r="S290" s="114" t="n">
        <v>19200</v>
      </c>
      <c r="T290" s="115" t="n"/>
      <c r="U290" s="0" t="n"/>
      <c r="V290" s="0" t="n"/>
      <c r="W290" s="0" t="n"/>
      <c r="X290" s="0" t="n"/>
      <c r="Y290" s="0" t="n"/>
      <c r="Z290" s="0" t="n"/>
      <c r="AA290" s="0" t="n"/>
      <c r="AB290" s="0" t="n"/>
      <c r="AC290" s="0" t="n"/>
      <c r="AD290" s="0" t="n"/>
      <c r="AE290" s="0" t="n"/>
      <c r="AF290" s="0" t="n"/>
      <c r="AG290" s="0" t="n"/>
      <c r="AH290" s="0" t="n"/>
      <c r="AI290" s="0" t="n"/>
      <c r="AJ290" s="0" t="n"/>
      <c r="AK290" s="0" t="n"/>
      <c r="AL290" s="0" t="n"/>
      <c r="AM290" s="0" t="n"/>
      <c r="AN290" s="0" t="n"/>
      <c r="AO290" s="0" t="n"/>
      <c r="AP290" s="0" t="n"/>
      <c r="AQ290" s="0" t="n"/>
      <c r="AR290" s="0" t="n"/>
      <c r="AS290" s="0" t="n"/>
      <c r="AT290" s="0" t="n"/>
      <c r="AU290" s="0" t="n"/>
      <c r="AV290" s="0" t="n"/>
      <c r="AW290" s="0" t="n"/>
      <c r="AX290" s="0" t="n"/>
      <c r="AY290" s="0" t="n"/>
      <c r="AZ290" s="0" t="n"/>
      <c r="BA290" s="0" t="n"/>
      <c r="BB290" s="0" t="n"/>
      <c r="BC290" s="0" t="n"/>
      <c r="BD290" s="0" t="n"/>
      <c r="BE290" s="0" t="n"/>
      <c r="BF290" s="0" t="n"/>
      <c r="BG290" s="0" t="n"/>
      <c r="BH290" s="0" t="n"/>
      <c r="BI290" s="0" t="n"/>
      <c r="BJ290" s="0" t="n"/>
      <c r="BK290" s="0" t="n"/>
      <c r="BL290" s="0" t="n"/>
      <c r="BM290" s="0" t="n"/>
      <c r="BN290" s="0" t="n"/>
      <c r="BO290" s="0" t="n"/>
      <c r="BP290" s="0" t="n"/>
    </row>
    <row hidden="false" ht="15" outlineLevel="0" r="291">
      <c r="A291" s="116" t="n">
        <f aca="false" ca="false" dt2D="false" dtr="false" t="normal">+A290+1</f>
        <v>272</v>
      </c>
      <c r="B291" s="117" t="n">
        <f aca="false" ca="false" dt2D="false" dtr="false" t="normal">+B290+1</f>
        <v>84</v>
      </c>
      <c r="C291" s="104" t="s">
        <v>111</v>
      </c>
      <c r="D291" s="117" t="s">
        <v>373</v>
      </c>
      <c r="E291" s="113" t="n">
        <f aca="false" ca="true" dt2D="false" dtr="false" t="normal">SUBTOTAL(9, F291:T291)</f>
        <v>16447028.85</v>
      </c>
      <c r="F291" s="114" t="n">
        <v>5635685.27</v>
      </c>
      <c r="G291" s="114" t="n"/>
      <c r="H291" s="114" t="n">
        <v>2462247.36</v>
      </c>
      <c r="I291" s="114" t="n">
        <v>1533694.94</v>
      </c>
      <c r="J291" s="114" t="n"/>
      <c r="K291" s="114" t="n"/>
      <c r="L291" s="114" t="n"/>
      <c r="M291" s="114" t="n">
        <v>0</v>
      </c>
      <c r="N291" s="114" t="n">
        <v>6654965.23</v>
      </c>
      <c r="O291" s="114" t="n">
        <v>0</v>
      </c>
      <c r="P291" s="114" t="n">
        <v>0</v>
      </c>
      <c r="Q291" s="114" t="n">
        <v>0</v>
      </c>
      <c r="R291" s="114" t="n">
        <v>141236.05</v>
      </c>
      <c r="S291" s="114" t="n">
        <v>19200</v>
      </c>
      <c r="T291" s="115" t="n"/>
      <c r="U291" s="0" t="n"/>
      <c r="V291" s="0" t="n"/>
      <c r="W291" s="0" t="n"/>
      <c r="X291" s="0" t="n"/>
      <c r="Y291" s="0" t="n"/>
      <c r="Z291" s="0" t="n"/>
      <c r="AA291" s="0" t="n"/>
      <c r="AB291" s="0" t="n"/>
      <c r="AC291" s="0" t="n"/>
      <c r="AD291" s="0" t="n"/>
      <c r="AE291" s="0" t="n"/>
      <c r="AF291" s="0" t="n"/>
      <c r="AG291" s="0" t="n"/>
      <c r="AH291" s="0" t="n"/>
      <c r="AI291" s="0" t="n"/>
      <c r="AJ291" s="0" t="n"/>
      <c r="AK291" s="0" t="n"/>
      <c r="AL291" s="0" t="n"/>
      <c r="AM291" s="0" t="n"/>
      <c r="AN291" s="0" t="n"/>
      <c r="AO291" s="0" t="n"/>
      <c r="AP291" s="0" t="n"/>
      <c r="AQ291" s="0" t="n"/>
      <c r="AR291" s="0" t="n"/>
      <c r="AS291" s="0" t="n"/>
      <c r="AT291" s="0" t="n"/>
      <c r="AU291" s="0" t="n"/>
      <c r="AV291" s="0" t="n"/>
      <c r="AW291" s="0" t="n"/>
      <c r="AX291" s="0" t="n"/>
      <c r="AY291" s="0" t="n"/>
      <c r="AZ291" s="0" t="n"/>
      <c r="BA291" s="0" t="n"/>
      <c r="BB291" s="0" t="n"/>
      <c r="BC291" s="0" t="n"/>
      <c r="BD291" s="0" t="n"/>
      <c r="BE291" s="0" t="n"/>
      <c r="BF291" s="0" t="n"/>
      <c r="BG291" s="0" t="n"/>
      <c r="BH291" s="0" t="n"/>
      <c r="BI291" s="0" t="n"/>
      <c r="BJ291" s="0" t="n"/>
      <c r="BK291" s="0" t="n"/>
      <c r="BL291" s="0" t="n"/>
      <c r="BM291" s="0" t="n"/>
      <c r="BN291" s="0" t="n"/>
      <c r="BO291" s="0" t="n"/>
      <c r="BP291" s="0" t="n"/>
    </row>
    <row hidden="false" ht="15" outlineLevel="0" r="292">
      <c r="A292" s="116" t="n">
        <f aca="false" ca="false" dt2D="false" dtr="false" t="normal">+A291+1</f>
        <v>273</v>
      </c>
      <c r="B292" s="117" t="n">
        <f aca="false" ca="false" dt2D="false" dtr="false" t="normal">+B291+1</f>
        <v>85</v>
      </c>
      <c r="C292" s="104" t="s">
        <v>111</v>
      </c>
      <c r="D292" s="117" t="s">
        <v>374</v>
      </c>
      <c r="E292" s="113" t="n">
        <f aca="false" ca="true" dt2D="false" dtr="false" t="normal">SUBTOTAL(9, F292:T292)</f>
        <v>15858041.98</v>
      </c>
      <c r="F292" s="114" t="n"/>
      <c r="G292" s="114" t="n"/>
      <c r="H292" s="114" t="n">
        <v>1704018.34</v>
      </c>
      <c r="I292" s="114" t="n">
        <v>1334515.24</v>
      </c>
      <c r="J292" s="114" t="n"/>
      <c r="K292" s="114" t="n"/>
      <c r="L292" s="114" t="n"/>
      <c r="M292" s="114" t="n">
        <v>0</v>
      </c>
      <c r="N292" s="114" t="n">
        <v>6866520.98</v>
      </c>
      <c r="O292" s="114" t="n">
        <v>0</v>
      </c>
      <c r="P292" s="114" t="n">
        <v>0</v>
      </c>
      <c r="Q292" s="114" t="n">
        <v>5952987.42</v>
      </c>
      <c r="R292" s="114" t="n"/>
      <c r="S292" s="114" t="n"/>
      <c r="T292" s="115" t="n"/>
      <c r="U292" s="0" t="n"/>
      <c r="V292" s="0" t="n"/>
      <c r="W292" s="0" t="n"/>
      <c r="X292" s="0" t="n"/>
      <c r="Y292" s="0" t="n"/>
      <c r="Z292" s="0" t="n"/>
      <c r="AA292" s="0" t="n"/>
      <c r="AB292" s="0" t="n"/>
      <c r="AC292" s="0" t="n"/>
      <c r="AD292" s="0" t="n"/>
      <c r="AE292" s="0" t="n"/>
      <c r="AF292" s="0" t="n"/>
      <c r="AG292" s="0" t="n"/>
      <c r="AH292" s="0" t="n"/>
      <c r="AI292" s="0" t="n"/>
      <c r="AJ292" s="0" t="n"/>
      <c r="AK292" s="0" t="n"/>
      <c r="AL292" s="0" t="n"/>
      <c r="AM292" s="0" t="n"/>
      <c r="AN292" s="0" t="n"/>
      <c r="AO292" s="0" t="n"/>
      <c r="AP292" s="0" t="n"/>
      <c r="AQ292" s="0" t="n"/>
      <c r="AR292" s="0" t="n"/>
      <c r="AS292" s="0" t="n"/>
      <c r="AT292" s="0" t="n"/>
      <c r="AU292" s="0" t="n"/>
      <c r="AV292" s="0" t="n"/>
      <c r="AW292" s="0" t="n"/>
      <c r="AX292" s="0" t="n"/>
      <c r="AY292" s="0" t="n"/>
      <c r="AZ292" s="0" t="n"/>
      <c r="BA292" s="0" t="n"/>
      <c r="BB292" s="0" t="n"/>
      <c r="BC292" s="0" t="n"/>
      <c r="BD292" s="0" t="n"/>
      <c r="BE292" s="0" t="n"/>
      <c r="BF292" s="0" t="n"/>
      <c r="BG292" s="0" t="n"/>
      <c r="BH292" s="0" t="n"/>
      <c r="BI292" s="0" t="n"/>
      <c r="BJ292" s="0" t="n"/>
      <c r="BK292" s="0" t="n"/>
      <c r="BL292" s="0" t="n"/>
      <c r="BM292" s="0" t="n"/>
      <c r="BN292" s="0" t="n"/>
      <c r="BO292" s="0" t="n"/>
      <c r="BP292" s="0" t="n"/>
    </row>
    <row hidden="false" ht="15" outlineLevel="0" r="293">
      <c r="A293" s="116" t="n">
        <f aca="false" ca="false" dt2D="false" dtr="false" t="normal">+A292+1</f>
        <v>274</v>
      </c>
      <c r="B293" s="117" t="n">
        <f aca="false" ca="false" dt2D="false" dtr="false" t="normal">+B292+1</f>
        <v>86</v>
      </c>
      <c r="C293" s="104" t="s">
        <v>111</v>
      </c>
      <c r="D293" s="117" t="s">
        <v>375</v>
      </c>
      <c r="E293" s="113" t="n">
        <f aca="false" ca="true" dt2D="false" dtr="false" t="normal">SUBTOTAL(9, F293:T293)</f>
        <v>1512746.4</v>
      </c>
      <c r="F293" s="114" t="n">
        <v>0</v>
      </c>
      <c r="G293" s="114" t="n">
        <v>0</v>
      </c>
      <c r="H293" s="114" t="n">
        <v>0</v>
      </c>
      <c r="I293" s="114" t="n">
        <v>0</v>
      </c>
      <c r="J293" s="114" t="n">
        <v>1512746.4</v>
      </c>
      <c r="K293" s="114" t="n"/>
      <c r="L293" s="114" t="n"/>
      <c r="M293" s="114" t="n">
        <v>0</v>
      </c>
      <c r="N293" s="114" t="n">
        <v>0</v>
      </c>
      <c r="O293" s="114" t="n">
        <v>0</v>
      </c>
      <c r="P293" s="114" t="n">
        <v>0</v>
      </c>
      <c r="Q293" s="114" t="n">
        <v>0</v>
      </c>
      <c r="R293" s="114" t="n"/>
      <c r="S293" s="114" t="n"/>
      <c r="T293" s="115" t="n"/>
      <c r="U293" s="0" t="n"/>
      <c r="V293" s="0" t="n"/>
      <c r="W293" s="0" t="n"/>
      <c r="X293" s="0" t="n"/>
      <c r="Y293" s="0" t="n"/>
      <c r="Z293" s="0" t="n"/>
      <c r="AA293" s="0" t="n"/>
      <c r="AB293" s="0" t="n"/>
      <c r="AC293" s="0" t="n"/>
      <c r="AD293" s="0" t="n"/>
      <c r="AE293" s="0" t="n"/>
      <c r="AF293" s="0" t="n"/>
      <c r="AG293" s="0" t="n"/>
      <c r="AH293" s="0" t="n"/>
      <c r="AI293" s="0" t="n"/>
      <c r="AJ293" s="0" t="n"/>
      <c r="AK293" s="0" t="n"/>
      <c r="AL293" s="0" t="n"/>
      <c r="AM293" s="0" t="n"/>
      <c r="AN293" s="0" t="n"/>
      <c r="AO293" s="0" t="n"/>
      <c r="AP293" s="0" t="n"/>
      <c r="AQ293" s="0" t="n"/>
      <c r="AR293" s="0" t="n"/>
      <c r="AS293" s="0" t="n"/>
      <c r="AT293" s="0" t="n"/>
      <c r="AU293" s="0" t="n"/>
      <c r="AV293" s="0" t="n"/>
      <c r="AW293" s="0" t="n"/>
      <c r="AX293" s="0" t="n"/>
      <c r="AY293" s="0" t="n"/>
      <c r="AZ293" s="0" t="n"/>
      <c r="BA293" s="0" t="n"/>
      <c r="BB293" s="0" t="n"/>
      <c r="BC293" s="0" t="n"/>
      <c r="BD293" s="0" t="n"/>
      <c r="BE293" s="0" t="n"/>
      <c r="BF293" s="0" t="n"/>
      <c r="BG293" s="0" t="n"/>
      <c r="BH293" s="0" t="n"/>
      <c r="BI293" s="0" t="n"/>
      <c r="BJ293" s="0" t="n"/>
      <c r="BK293" s="0" t="n"/>
      <c r="BL293" s="0" t="n"/>
      <c r="BM293" s="0" t="n"/>
      <c r="BN293" s="0" t="n"/>
      <c r="BO293" s="0" t="n"/>
      <c r="BP293" s="0" t="n"/>
    </row>
    <row hidden="false" ht="15" outlineLevel="0" r="294">
      <c r="A294" s="116" t="n">
        <f aca="false" ca="false" dt2D="false" dtr="false" t="normal">+A293+1</f>
        <v>275</v>
      </c>
      <c r="B294" s="117" t="n">
        <f aca="false" ca="false" dt2D="false" dtr="false" t="normal">+B293+1</f>
        <v>87</v>
      </c>
      <c r="C294" s="104" t="s">
        <v>111</v>
      </c>
      <c r="D294" s="117" t="s">
        <v>173</v>
      </c>
      <c r="E294" s="113" t="n">
        <f aca="false" ca="true" dt2D="false" dtr="false" t="normal">SUBTOTAL(9, F294:T294)</f>
        <v>1512746.4</v>
      </c>
      <c r="F294" s="114" t="n">
        <v>0</v>
      </c>
      <c r="G294" s="114" t="n">
        <v>0</v>
      </c>
      <c r="H294" s="114" t="n">
        <v>0</v>
      </c>
      <c r="I294" s="114" t="n">
        <v>0</v>
      </c>
      <c r="J294" s="114" t="n">
        <v>1512746.4</v>
      </c>
      <c r="K294" s="114" t="n"/>
      <c r="L294" s="114" t="n"/>
      <c r="M294" s="114" t="n">
        <v>0</v>
      </c>
      <c r="N294" s="114" t="n">
        <v>0</v>
      </c>
      <c r="O294" s="114" t="n">
        <v>0</v>
      </c>
      <c r="P294" s="114" t="n">
        <v>0</v>
      </c>
      <c r="Q294" s="114" t="n"/>
      <c r="R294" s="114" t="n"/>
      <c r="S294" s="114" t="n"/>
      <c r="T294" s="115" t="n"/>
      <c r="U294" s="0" t="n"/>
      <c r="V294" s="0" t="n"/>
      <c r="W294" s="0" t="n"/>
      <c r="X294" s="0" t="n"/>
      <c r="Y294" s="0" t="n"/>
      <c r="Z294" s="0" t="n"/>
      <c r="AA294" s="0" t="n"/>
      <c r="AB294" s="0" t="n"/>
      <c r="AC294" s="0" t="n"/>
      <c r="AD294" s="0" t="n"/>
      <c r="AE294" s="0" t="n"/>
      <c r="AF294" s="0" t="n"/>
      <c r="AG294" s="0" t="n"/>
      <c r="AH294" s="0" t="n"/>
      <c r="AI294" s="0" t="n"/>
      <c r="AJ294" s="0" t="n"/>
      <c r="AK294" s="0" t="n"/>
      <c r="AL294" s="0" t="n"/>
      <c r="AM294" s="0" t="n"/>
      <c r="AN294" s="0" t="n"/>
      <c r="AO294" s="0" t="n"/>
      <c r="AP294" s="0" t="n"/>
      <c r="AQ294" s="0" t="n"/>
      <c r="AR294" s="0" t="n"/>
      <c r="AS294" s="0" t="n"/>
      <c r="AT294" s="0" t="n"/>
      <c r="AU294" s="0" t="n"/>
      <c r="AV294" s="0" t="n"/>
      <c r="AW294" s="0" t="n"/>
      <c r="AX294" s="0" t="n"/>
      <c r="AY294" s="0" t="n"/>
      <c r="AZ294" s="0" t="n"/>
      <c r="BA294" s="0" t="n"/>
      <c r="BB294" s="0" t="n"/>
      <c r="BC294" s="0" t="n"/>
      <c r="BD294" s="0" t="n"/>
      <c r="BE294" s="0" t="n"/>
      <c r="BF294" s="0" t="n"/>
      <c r="BG294" s="0" t="n"/>
      <c r="BH294" s="0" t="n"/>
      <c r="BI294" s="0" t="n"/>
      <c r="BJ294" s="0" t="n"/>
      <c r="BK294" s="0" t="n"/>
      <c r="BL294" s="0" t="n"/>
      <c r="BM294" s="0" t="n"/>
      <c r="BN294" s="0" t="n"/>
      <c r="BO294" s="0" t="n"/>
      <c r="BP294" s="0" t="n"/>
    </row>
    <row hidden="false" ht="15" outlineLevel="0" r="295">
      <c r="A295" s="116" t="n">
        <f aca="false" ca="false" dt2D="false" dtr="false" t="normal">+A294+1</f>
        <v>276</v>
      </c>
      <c r="B295" s="117" t="n">
        <f aca="false" ca="false" dt2D="false" dtr="false" t="normal">+B294+1</f>
        <v>88</v>
      </c>
      <c r="C295" s="104" t="s">
        <v>111</v>
      </c>
      <c r="D295" s="117" t="s">
        <v>170</v>
      </c>
      <c r="E295" s="113" t="n">
        <f aca="false" ca="true" dt2D="false" dtr="false" t="normal">SUBTOTAL(9, F295:T295)</f>
        <v>5508552.49</v>
      </c>
      <c r="F295" s="114" t="n">
        <v>5508552.49</v>
      </c>
      <c r="G295" s="114" t="n"/>
      <c r="H295" s="114" t="n"/>
      <c r="I295" s="114" t="n"/>
      <c r="J295" s="114" t="n"/>
      <c r="K295" s="114" t="n"/>
      <c r="L295" s="114" t="n"/>
      <c r="M295" s="114" t="n"/>
      <c r="N295" s="114" t="n"/>
      <c r="O295" s="114" t="n"/>
      <c r="P295" s="114" t="n"/>
      <c r="Q295" s="114" t="n"/>
      <c r="R295" s="114" t="n"/>
      <c r="S295" s="114" t="n"/>
      <c r="T295" s="115" t="n"/>
      <c r="U295" s="0" t="n"/>
      <c r="V295" s="0" t="n"/>
      <c r="W295" s="0" t="n"/>
      <c r="X295" s="0" t="n"/>
      <c r="Y295" s="0" t="n"/>
      <c r="Z295" s="0" t="n"/>
      <c r="AA295" s="0" t="n"/>
      <c r="AB295" s="0" t="n"/>
      <c r="AC295" s="0" t="n"/>
      <c r="AD295" s="0" t="n"/>
      <c r="AE295" s="0" t="n"/>
      <c r="AF295" s="0" t="n"/>
      <c r="AG295" s="0" t="n"/>
      <c r="AH295" s="0" t="n"/>
      <c r="AI295" s="0" t="n"/>
      <c r="AJ295" s="0" t="n"/>
      <c r="AK295" s="0" t="n"/>
      <c r="AL295" s="0" t="n"/>
      <c r="AM295" s="0" t="n"/>
      <c r="AN295" s="0" t="n"/>
      <c r="AO295" s="0" t="n"/>
      <c r="AP295" s="0" t="n"/>
      <c r="AQ295" s="0" t="n"/>
      <c r="AR295" s="0" t="n"/>
      <c r="AS295" s="0" t="n"/>
      <c r="AT295" s="0" t="n"/>
      <c r="AU295" s="0" t="n"/>
      <c r="AV295" s="0" t="n"/>
      <c r="AW295" s="0" t="n"/>
      <c r="AX295" s="0" t="n"/>
      <c r="AY295" s="0" t="n"/>
      <c r="AZ295" s="0" t="n"/>
      <c r="BA295" s="0" t="n"/>
      <c r="BB295" s="0" t="n"/>
      <c r="BC295" s="0" t="n"/>
      <c r="BD295" s="0" t="n"/>
      <c r="BE295" s="0" t="n"/>
      <c r="BF295" s="0" t="n"/>
      <c r="BG295" s="0" t="n"/>
      <c r="BH295" s="0" t="n"/>
      <c r="BI295" s="0" t="n"/>
      <c r="BJ295" s="0" t="n"/>
      <c r="BK295" s="0" t="n"/>
      <c r="BL295" s="0" t="n"/>
      <c r="BM295" s="0" t="n"/>
      <c r="BN295" s="0" t="n"/>
      <c r="BO295" s="0" t="n"/>
      <c r="BP295" s="0" t="n"/>
    </row>
    <row hidden="false" ht="15" outlineLevel="0" r="296">
      <c r="A296" s="116" t="n">
        <f aca="false" ca="false" dt2D="false" dtr="false" t="normal">+A295+1</f>
        <v>277</v>
      </c>
      <c r="B296" s="117" t="n">
        <f aca="false" ca="false" dt2D="false" dtr="false" t="normal">+B295+1</f>
        <v>89</v>
      </c>
      <c r="C296" s="104" t="s">
        <v>111</v>
      </c>
      <c r="D296" s="117" t="s">
        <v>171</v>
      </c>
      <c r="E296" s="113" t="n">
        <f aca="false" ca="true" dt2D="false" dtr="false" t="normal">SUBTOTAL(9, F296:T296)</f>
        <v>4422689.51</v>
      </c>
      <c r="F296" s="114" t="n"/>
      <c r="G296" s="114" t="n">
        <v>2875942.18</v>
      </c>
      <c r="H296" s="114" t="n"/>
      <c r="I296" s="114" t="n">
        <v>1546747.33</v>
      </c>
      <c r="J296" s="114" t="n"/>
      <c r="K296" s="114" t="n"/>
      <c r="L296" s="114" t="n"/>
      <c r="M296" s="114" t="n"/>
      <c r="N296" s="114" t="n"/>
      <c r="O296" s="114" t="n"/>
      <c r="P296" s="114" t="n"/>
      <c r="Q296" s="114" t="n"/>
      <c r="R296" s="114" t="n"/>
      <c r="S296" s="114" t="n"/>
      <c r="T296" s="115" t="n"/>
      <c r="U296" s="0" t="n"/>
      <c r="V296" s="0" t="n"/>
      <c r="W296" s="0" t="n"/>
      <c r="X296" s="0" t="n"/>
      <c r="Y296" s="0" t="n"/>
      <c r="Z296" s="0" t="n"/>
      <c r="AA296" s="0" t="n"/>
      <c r="AB296" s="0" t="n"/>
      <c r="AC296" s="0" t="n"/>
      <c r="AD296" s="0" t="n"/>
      <c r="AE296" s="0" t="n"/>
      <c r="AF296" s="0" t="n"/>
      <c r="AG296" s="0" t="n"/>
      <c r="AH296" s="0" t="n"/>
      <c r="AI296" s="0" t="n"/>
      <c r="AJ296" s="0" t="n"/>
      <c r="AK296" s="0" t="n"/>
      <c r="AL296" s="0" t="n"/>
      <c r="AM296" s="0" t="n"/>
      <c r="AN296" s="0" t="n"/>
      <c r="AO296" s="0" t="n"/>
      <c r="AP296" s="0" t="n"/>
      <c r="AQ296" s="0" t="n"/>
      <c r="AR296" s="0" t="n"/>
      <c r="AS296" s="0" t="n"/>
      <c r="AT296" s="0" t="n"/>
      <c r="AU296" s="0" t="n"/>
      <c r="AV296" s="0" t="n"/>
      <c r="AW296" s="0" t="n"/>
      <c r="AX296" s="0" t="n"/>
      <c r="AY296" s="0" t="n"/>
      <c r="AZ296" s="0" t="n"/>
      <c r="BA296" s="0" t="n"/>
      <c r="BB296" s="0" t="n"/>
      <c r="BC296" s="0" t="n"/>
      <c r="BD296" s="0" t="n"/>
      <c r="BE296" s="0" t="n"/>
      <c r="BF296" s="0" t="n"/>
      <c r="BG296" s="0" t="n"/>
      <c r="BH296" s="0" t="n"/>
      <c r="BI296" s="0" t="n"/>
      <c r="BJ296" s="0" t="n"/>
      <c r="BK296" s="0" t="n"/>
      <c r="BL296" s="0" t="n"/>
      <c r="BM296" s="0" t="n"/>
      <c r="BN296" s="0" t="n"/>
      <c r="BO296" s="0" t="n"/>
      <c r="BP296" s="0" t="n"/>
    </row>
    <row hidden="false" ht="15" outlineLevel="0" r="297">
      <c r="A297" s="116" t="n">
        <f aca="false" ca="false" dt2D="false" dtr="false" t="normal">+A296+1</f>
        <v>278</v>
      </c>
      <c r="B297" s="117" t="n">
        <f aca="false" ca="false" dt2D="false" dtr="false" t="normal">+B296+1</f>
        <v>90</v>
      </c>
      <c r="C297" s="104" t="s">
        <v>111</v>
      </c>
      <c r="D297" s="117" t="s">
        <v>176</v>
      </c>
      <c r="E297" s="113" t="n">
        <f aca="false" ca="true" dt2D="false" dtr="false" t="normal">SUBTOTAL(9, F297:T297)</f>
        <v>12520284.639999999</v>
      </c>
      <c r="F297" s="114" t="n">
        <v>7864219.14</v>
      </c>
      <c r="G297" s="114" t="n"/>
      <c r="H297" s="114" t="n">
        <v>2874656.38</v>
      </c>
      <c r="I297" s="114" t="n">
        <v>1502641.16</v>
      </c>
      <c r="J297" s="114" t="n"/>
      <c r="K297" s="114" t="n"/>
      <c r="L297" s="114" t="n"/>
      <c r="M297" s="114" t="n"/>
      <c r="N297" s="114" t="n"/>
      <c r="O297" s="114" t="n"/>
      <c r="P297" s="114" t="n"/>
      <c r="Q297" s="114" t="n"/>
      <c r="R297" s="114" t="n">
        <v>112877.92</v>
      </c>
      <c r="S297" s="114" t="n">
        <v>12000</v>
      </c>
      <c r="T297" s="115" t="n">
        <f aca="false" ca="false" dt2D="false" dtr="false" t="normal">84308.92+34015.04+35566.08</f>
        <v>153890.03999999998</v>
      </c>
      <c r="U297" s="0" t="n"/>
      <c r="V297" s="0" t="n"/>
      <c r="W297" s="0" t="n"/>
      <c r="X297" s="0" t="n"/>
      <c r="Y297" s="0" t="n"/>
      <c r="Z297" s="0" t="n"/>
      <c r="AA297" s="0" t="n"/>
      <c r="AB297" s="0" t="n"/>
      <c r="AC297" s="0" t="n"/>
      <c r="AD297" s="0" t="n"/>
      <c r="AE297" s="0" t="n"/>
      <c r="AF297" s="0" t="n"/>
      <c r="AG297" s="0" t="n"/>
      <c r="AH297" s="0" t="n"/>
      <c r="AI297" s="0" t="n"/>
      <c r="AJ297" s="0" t="n"/>
      <c r="AK297" s="0" t="n"/>
      <c r="AL297" s="0" t="n"/>
      <c r="AM297" s="0" t="n"/>
      <c r="AN297" s="0" t="n"/>
      <c r="AO297" s="0" t="n"/>
      <c r="AP297" s="0" t="n"/>
      <c r="AQ297" s="0" t="n"/>
      <c r="AR297" s="0" t="n"/>
      <c r="AS297" s="0" t="n"/>
      <c r="AT297" s="0" t="n"/>
      <c r="AU297" s="0" t="n"/>
      <c r="AV297" s="0" t="n"/>
      <c r="AW297" s="0" t="n"/>
      <c r="AX297" s="0" t="n"/>
      <c r="AY297" s="0" t="n"/>
      <c r="AZ297" s="0" t="n"/>
      <c r="BA297" s="0" t="n"/>
      <c r="BB297" s="0" t="n"/>
      <c r="BC297" s="0" t="n"/>
      <c r="BD297" s="0" t="n"/>
      <c r="BE297" s="0" t="n"/>
      <c r="BF297" s="0" t="n"/>
      <c r="BG297" s="0" t="n"/>
      <c r="BH297" s="0" t="n"/>
      <c r="BI297" s="0" t="n"/>
      <c r="BJ297" s="0" t="n"/>
      <c r="BK297" s="0" t="n"/>
      <c r="BL297" s="0" t="n"/>
      <c r="BM297" s="0" t="n"/>
      <c r="BN297" s="0" t="n"/>
      <c r="BO297" s="0" t="n"/>
      <c r="BP297" s="0" t="n"/>
    </row>
    <row hidden="false" ht="15" outlineLevel="0" r="298">
      <c r="A298" s="116" t="n">
        <f aca="false" ca="false" dt2D="false" dtr="false" t="normal">+A297+1</f>
        <v>279</v>
      </c>
      <c r="B298" s="117" t="n">
        <f aca="false" ca="false" dt2D="false" dtr="false" t="normal">+B297+1</f>
        <v>91</v>
      </c>
      <c r="C298" s="104" t="s">
        <v>111</v>
      </c>
      <c r="D298" s="117" t="s">
        <v>376</v>
      </c>
      <c r="E298" s="113" t="n">
        <f aca="false" ca="true" dt2D="false" dtr="false" t="normal">SUBTOTAL(9, F298:T298)</f>
        <v>3423941.28</v>
      </c>
      <c r="F298" s="114" t="n"/>
      <c r="G298" s="114" t="n"/>
      <c r="H298" s="114" t="n">
        <v>3294191.61</v>
      </c>
      <c r="I298" s="114" t="n"/>
      <c r="J298" s="114" t="n"/>
      <c r="K298" s="114" t="n"/>
      <c r="L298" s="114" t="n"/>
      <c r="M298" s="114" t="n"/>
      <c r="N298" s="114" t="n"/>
      <c r="O298" s="114" t="n"/>
      <c r="P298" s="114" t="n"/>
      <c r="Q298" s="114" t="n"/>
      <c r="R298" s="114" t="n">
        <v>125749.67</v>
      </c>
      <c r="S298" s="114" t="n">
        <v>4000</v>
      </c>
      <c r="T298" s="115" t="n"/>
      <c r="U298" s="0" t="n"/>
      <c r="V298" s="0" t="n"/>
      <c r="W298" s="0" t="n"/>
      <c r="X298" s="0" t="n"/>
      <c r="Y298" s="0" t="n"/>
      <c r="Z298" s="0" t="n"/>
      <c r="AA298" s="0" t="n"/>
      <c r="AB298" s="0" t="n"/>
      <c r="AC298" s="0" t="n"/>
      <c r="AD298" s="0" t="n"/>
      <c r="AE298" s="0" t="n"/>
      <c r="AF298" s="0" t="n"/>
      <c r="AG298" s="0" t="n"/>
      <c r="AH298" s="0" t="n"/>
      <c r="AI298" s="0" t="n"/>
      <c r="AJ298" s="0" t="n"/>
      <c r="AK298" s="0" t="n"/>
      <c r="AL298" s="0" t="n"/>
      <c r="AM298" s="0" t="n"/>
      <c r="AN298" s="0" t="n"/>
      <c r="AO298" s="0" t="n"/>
      <c r="AP298" s="0" t="n"/>
      <c r="AQ298" s="0" t="n"/>
      <c r="AR298" s="0" t="n"/>
      <c r="AS298" s="0" t="n"/>
      <c r="AT298" s="0" t="n"/>
      <c r="AU298" s="0" t="n"/>
      <c r="AV298" s="0" t="n"/>
      <c r="AW298" s="0" t="n"/>
      <c r="AX298" s="0" t="n"/>
      <c r="AY298" s="0" t="n"/>
      <c r="AZ298" s="0" t="n"/>
      <c r="BA298" s="0" t="n"/>
      <c r="BB298" s="0" t="n"/>
      <c r="BC298" s="0" t="n"/>
      <c r="BD298" s="0" t="n"/>
      <c r="BE298" s="0" t="n"/>
      <c r="BF298" s="0" t="n"/>
      <c r="BG298" s="0" t="n"/>
      <c r="BH298" s="0" t="n"/>
      <c r="BI298" s="0" t="n"/>
      <c r="BJ298" s="0" t="n"/>
      <c r="BK298" s="0" t="n"/>
      <c r="BL298" s="0" t="n"/>
      <c r="BM298" s="0" t="n"/>
      <c r="BN298" s="0" t="n"/>
      <c r="BO298" s="0" t="n"/>
      <c r="BP298" s="0" t="n"/>
    </row>
    <row hidden="false" ht="15" outlineLevel="0" r="299">
      <c r="A299" s="116" t="n">
        <f aca="false" ca="false" dt2D="false" dtr="false" t="normal">+A298+1</f>
        <v>280</v>
      </c>
      <c r="B299" s="117" t="n">
        <f aca="false" ca="false" dt2D="false" dtr="false" t="normal">+B298+1</f>
        <v>92</v>
      </c>
      <c r="C299" s="104" t="s">
        <v>111</v>
      </c>
      <c r="D299" s="117" t="s">
        <v>179</v>
      </c>
      <c r="E299" s="113" t="n">
        <f aca="false" ca="true" dt2D="false" dtr="false" t="normal">SUBTOTAL(9, F299:T299)</f>
        <v>11419908.120000001</v>
      </c>
      <c r="F299" s="114" t="n"/>
      <c r="G299" s="114" t="n">
        <v>0</v>
      </c>
      <c r="H299" s="114" t="n">
        <v>0</v>
      </c>
      <c r="I299" s="114" t="n">
        <v>0</v>
      </c>
      <c r="J299" s="114" t="n"/>
      <c r="K299" s="114" t="n"/>
      <c r="L299" s="114" t="n"/>
      <c r="M299" s="114" t="n">
        <v>0</v>
      </c>
      <c r="N299" s="114" t="n">
        <v>7369291.12</v>
      </c>
      <c r="O299" s="114" t="n">
        <v>0</v>
      </c>
      <c r="P299" s="114" t="n">
        <v>0</v>
      </c>
      <c r="Q299" s="114" t="n">
        <v>4050617</v>
      </c>
      <c r="R299" s="114" t="n"/>
      <c r="S299" s="114" t="n"/>
      <c r="T299" s="115" t="n"/>
      <c r="U299" s="0" t="n"/>
      <c r="V299" s="0" t="n"/>
      <c r="W299" s="0" t="n"/>
      <c r="X299" s="0" t="n"/>
      <c r="Y299" s="0" t="n"/>
      <c r="Z299" s="0" t="n"/>
      <c r="AA299" s="0" t="n"/>
      <c r="AB299" s="0" t="n"/>
      <c r="AC299" s="0" t="n"/>
      <c r="AD299" s="0" t="n"/>
      <c r="AE299" s="0" t="n"/>
      <c r="AF299" s="0" t="n"/>
      <c r="AG299" s="0" t="n"/>
      <c r="AH299" s="0" t="n"/>
      <c r="AI299" s="0" t="n"/>
      <c r="AJ299" s="0" t="n"/>
      <c r="AK299" s="0" t="n"/>
      <c r="AL299" s="0" t="n"/>
      <c r="AM299" s="0" t="n"/>
      <c r="AN299" s="0" t="n"/>
      <c r="AO299" s="0" t="n"/>
      <c r="AP299" s="0" t="n"/>
      <c r="AQ299" s="0" t="n"/>
      <c r="AR299" s="0" t="n"/>
      <c r="AS299" s="0" t="n"/>
      <c r="AT299" s="0" t="n"/>
      <c r="AU299" s="0" t="n"/>
      <c r="AV299" s="0" t="n"/>
      <c r="AW299" s="0" t="n"/>
      <c r="AX299" s="0" t="n"/>
      <c r="AY299" s="0" t="n"/>
      <c r="AZ299" s="0" t="n"/>
      <c r="BA299" s="0" t="n"/>
      <c r="BB299" s="0" t="n"/>
      <c r="BC299" s="0" t="n"/>
      <c r="BD299" s="0" t="n"/>
      <c r="BE299" s="0" t="n"/>
      <c r="BF299" s="0" t="n"/>
      <c r="BG299" s="0" t="n"/>
      <c r="BH299" s="0" t="n"/>
      <c r="BI299" s="0" t="n"/>
      <c r="BJ299" s="0" t="n"/>
      <c r="BK299" s="0" t="n"/>
      <c r="BL299" s="0" t="n"/>
      <c r="BM299" s="0" t="n"/>
      <c r="BN299" s="0" t="n"/>
      <c r="BO299" s="0" t="n"/>
      <c r="BP299" s="0" t="n"/>
    </row>
    <row hidden="false" ht="15" outlineLevel="0" r="300">
      <c r="A300" s="116" t="n">
        <f aca="false" ca="false" dt2D="false" dtr="false" t="normal">+A299+1</f>
        <v>281</v>
      </c>
      <c r="B300" s="117" t="n">
        <f aca="false" ca="false" dt2D="false" dtr="false" t="normal">+B299+1</f>
        <v>93</v>
      </c>
      <c r="C300" s="104" t="s">
        <v>111</v>
      </c>
      <c r="D300" s="117" t="s">
        <v>378</v>
      </c>
      <c r="E300" s="186" t="n">
        <f aca="false" ca="true" dt2D="false" dtr="false" t="normal">SUBTOTAL(9, F300:T300)</f>
        <v>1566527.86</v>
      </c>
      <c r="F300" s="114" t="n">
        <v>0</v>
      </c>
      <c r="G300" s="114" t="n">
        <v>0</v>
      </c>
      <c r="H300" s="114" t="n">
        <v>1566527.86</v>
      </c>
      <c r="I300" s="114" t="n">
        <v>0</v>
      </c>
      <c r="J300" s="114" t="n">
        <v>0</v>
      </c>
      <c r="K300" s="114" t="n"/>
      <c r="L300" s="114" t="n"/>
      <c r="M300" s="114" t="n">
        <v>0</v>
      </c>
      <c r="N300" s="114" t="n">
        <v>0</v>
      </c>
      <c r="O300" s="114" t="n">
        <v>0</v>
      </c>
      <c r="P300" s="114" t="n"/>
      <c r="Q300" s="114" t="n">
        <v>0</v>
      </c>
      <c r="R300" s="114" t="n"/>
      <c r="S300" s="114" t="n"/>
      <c r="T300" s="115" t="n"/>
      <c r="U300" s="0" t="n"/>
      <c r="V300" s="0" t="n"/>
      <c r="W300" s="0" t="n"/>
      <c r="X300" s="0" t="n"/>
      <c r="Y300" s="0" t="n"/>
      <c r="Z300" s="0" t="n"/>
      <c r="AA300" s="0" t="n"/>
      <c r="AB300" s="0" t="n"/>
      <c r="AC300" s="0" t="n"/>
      <c r="AD300" s="0" t="n"/>
      <c r="AE300" s="0" t="n"/>
      <c r="AF300" s="0" t="n"/>
      <c r="AG300" s="0" t="n"/>
      <c r="AH300" s="0" t="n"/>
      <c r="AI300" s="0" t="n"/>
      <c r="AJ300" s="0" t="n"/>
      <c r="AK300" s="0" t="n"/>
      <c r="AL300" s="0" t="n"/>
      <c r="AM300" s="0" t="n"/>
      <c r="AN300" s="0" t="n"/>
      <c r="AO300" s="0" t="n"/>
      <c r="AP300" s="0" t="n"/>
      <c r="AQ300" s="0" t="n"/>
      <c r="AR300" s="0" t="n"/>
      <c r="AS300" s="0" t="n"/>
      <c r="AT300" s="0" t="n"/>
      <c r="AU300" s="0" t="n"/>
      <c r="AV300" s="0" t="n"/>
      <c r="AW300" s="0" t="n"/>
      <c r="AX300" s="0" t="n"/>
      <c r="AY300" s="0" t="n"/>
      <c r="AZ300" s="0" t="n"/>
      <c r="BA300" s="0" t="n"/>
      <c r="BB300" s="0" t="n"/>
      <c r="BC300" s="0" t="n"/>
      <c r="BD300" s="0" t="n"/>
      <c r="BE300" s="0" t="n"/>
      <c r="BF300" s="0" t="n"/>
      <c r="BG300" s="0" t="n"/>
      <c r="BH300" s="0" t="n"/>
      <c r="BI300" s="0" t="n"/>
      <c r="BJ300" s="0" t="n"/>
      <c r="BK300" s="0" t="n"/>
      <c r="BL300" s="0" t="n"/>
      <c r="BM300" s="0" t="n"/>
      <c r="BN300" s="0" t="n"/>
      <c r="BO300" s="0" t="n"/>
      <c r="BP300" s="0" t="n"/>
    </row>
    <row hidden="false" ht="15" outlineLevel="0" r="301">
      <c r="A301" s="116" t="n">
        <f aca="false" ca="false" dt2D="false" dtr="false" t="normal">+A300+1</f>
        <v>282</v>
      </c>
      <c r="B301" s="117" t="n">
        <f aca="false" ca="false" dt2D="false" dtr="false" t="normal">+B300+1</f>
        <v>94</v>
      </c>
      <c r="C301" s="104" t="s">
        <v>111</v>
      </c>
      <c r="D301" s="117" t="s">
        <v>180</v>
      </c>
      <c r="E301" s="186" t="n">
        <f aca="false" ca="true" dt2D="false" dtr="false" t="normal">SUBTOTAL(9, F301:T301)</f>
        <v>2910825.57</v>
      </c>
      <c r="F301" s="114" t="n">
        <v>2910825.57</v>
      </c>
      <c r="G301" s="114" t="n"/>
      <c r="H301" s="114" t="n"/>
      <c r="I301" s="114" t="n"/>
      <c r="J301" s="114" t="n"/>
      <c r="K301" s="114" t="n"/>
      <c r="L301" s="114" t="n"/>
      <c r="M301" s="114" t="n"/>
      <c r="N301" s="114" t="n"/>
      <c r="O301" s="114" t="n"/>
      <c r="P301" s="114" t="n"/>
      <c r="Q301" s="114" t="n"/>
      <c r="R301" s="114" t="n"/>
      <c r="S301" s="114" t="n"/>
      <c r="T301" s="115" t="n"/>
      <c r="U301" s="0" t="n"/>
      <c r="V301" s="0" t="n"/>
      <c r="W301" s="0" t="n"/>
      <c r="X301" s="0" t="n"/>
      <c r="Y301" s="0" t="n"/>
      <c r="Z301" s="0" t="n"/>
      <c r="AA301" s="0" t="n"/>
      <c r="AB301" s="0" t="n"/>
      <c r="AC301" s="0" t="n"/>
      <c r="AD301" s="0" t="n"/>
      <c r="AE301" s="0" t="n"/>
      <c r="AF301" s="0" t="n"/>
      <c r="AG301" s="0" t="n"/>
      <c r="AH301" s="0" t="n"/>
      <c r="AI301" s="0" t="n"/>
      <c r="AJ301" s="0" t="n"/>
      <c r="AK301" s="0" t="n"/>
      <c r="AL301" s="0" t="n"/>
      <c r="AM301" s="0" t="n"/>
      <c r="AN301" s="0" t="n"/>
      <c r="AO301" s="0" t="n"/>
      <c r="AP301" s="0" t="n"/>
      <c r="AQ301" s="0" t="n"/>
      <c r="AR301" s="0" t="n"/>
      <c r="AS301" s="0" t="n"/>
      <c r="AT301" s="0" t="n"/>
      <c r="AU301" s="0" t="n"/>
      <c r="AV301" s="0" t="n"/>
      <c r="AW301" s="0" t="n"/>
      <c r="AX301" s="0" t="n"/>
      <c r="AY301" s="0" t="n"/>
      <c r="AZ301" s="0" t="n"/>
      <c r="BA301" s="0" t="n"/>
      <c r="BB301" s="0" t="n"/>
      <c r="BC301" s="0" t="n"/>
      <c r="BD301" s="0" t="n"/>
      <c r="BE301" s="0" t="n"/>
      <c r="BF301" s="0" t="n"/>
      <c r="BG301" s="0" t="n"/>
      <c r="BH301" s="0" t="n"/>
      <c r="BI301" s="0" t="n"/>
      <c r="BJ301" s="0" t="n"/>
      <c r="BK301" s="0" t="n"/>
      <c r="BL301" s="0" t="n"/>
      <c r="BM301" s="0" t="n"/>
      <c r="BN301" s="0" t="n"/>
      <c r="BO301" s="0" t="n"/>
      <c r="BP301" s="0" t="n"/>
    </row>
    <row hidden="false" ht="15" outlineLevel="0" r="302">
      <c r="A302" s="116" t="n">
        <f aca="false" ca="false" dt2D="false" dtr="false" t="normal">+A301+1</f>
        <v>283</v>
      </c>
      <c r="B302" s="117" t="n">
        <f aca="false" ca="false" dt2D="false" dtr="false" t="normal">+B301+1</f>
        <v>95</v>
      </c>
      <c r="C302" s="104" t="s">
        <v>111</v>
      </c>
      <c r="D302" s="117" t="s">
        <v>379</v>
      </c>
      <c r="E302" s="113" t="n">
        <f aca="false" ca="true" dt2D="false" dtr="false" t="normal">SUBTOTAL(9, F302:T302)</f>
        <v>491444.899</v>
      </c>
      <c r="F302" s="114" t="n">
        <v>0</v>
      </c>
      <c r="G302" s="114" t="n">
        <v>0</v>
      </c>
      <c r="H302" s="114" t="n">
        <v>0</v>
      </c>
      <c r="I302" s="114" t="n">
        <v>0</v>
      </c>
      <c r="J302" s="114" t="n">
        <v>491444.899</v>
      </c>
      <c r="K302" s="114" t="n"/>
      <c r="L302" s="114" t="n"/>
      <c r="M302" s="114" t="n">
        <v>0</v>
      </c>
      <c r="N302" s="114" t="n">
        <v>0</v>
      </c>
      <c r="O302" s="114" t="n">
        <v>0</v>
      </c>
      <c r="P302" s="114" t="n"/>
      <c r="Q302" s="114" t="n"/>
      <c r="R302" s="114" t="n"/>
      <c r="S302" s="114" t="n"/>
      <c r="T302" s="115" t="n"/>
      <c r="U302" s="0" t="n"/>
      <c r="V302" s="0" t="n"/>
      <c r="W302" s="0" t="n"/>
      <c r="X302" s="0" t="n"/>
      <c r="Y302" s="0" t="n"/>
      <c r="Z302" s="0" t="n"/>
      <c r="AA302" s="0" t="n"/>
      <c r="AB302" s="0" t="n"/>
      <c r="AC302" s="0" t="n"/>
      <c r="AD302" s="0" t="n"/>
      <c r="AE302" s="0" t="n"/>
      <c r="AF302" s="0" t="n"/>
      <c r="AG302" s="0" t="n"/>
      <c r="AH302" s="0" t="n"/>
      <c r="AI302" s="0" t="n"/>
      <c r="AJ302" s="0" t="n"/>
      <c r="AK302" s="0" t="n"/>
      <c r="AL302" s="0" t="n"/>
      <c r="AM302" s="0" t="n"/>
      <c r="AN302" s="0" t="n"/>
      <c r="AO302" s="0" t="n"/>
      <c r="AP302" s="0" t="n"/>
      <c r="AQ302" s="0" t="n"/>
      <c r="AR302" s="0" t="n"/>
      <c r="AS302" s="0" t="n"/>
      <c r="AT302" s="0" t="n"/>
      <c r="AU302" s="0" t="n"/>
      <c r="AV302" s="0" t="n"/>
      <c r="AW302" s="0" t="n"/>
      <c r="AX302" s="0" t="n"/>
      <c r="AY302" s="0" t="n"/>
      <c r="AZ302" s="0" t="n"/>
      <c r="BA302" s="0" t="n"/>
      <c r="BB302" s="0" t="n"/>
      <c r="BC302" s="0" t="n"/>
      <c r="BD302" s="0" t="n"/>
      <c r="BE302" s="0" t="n"/>
      <c r="BF302" s="0" t="n"/>
      <c r="BG302" s="0" t="n"/>
      <c r="BH302" s="0" t="n"/>
      <c r="BI302" s="0" t="n"/>
      <c r="BJ302" s="0" t="n"/>
      <c r="BK302" s="0" t="n"/>
      <c r="BL302" s="0" t="n"/>
      <c r="BM302" s="0" t="n"/>
      <c r="BN302" s="0" t="n"/>
      <c r="BO302" s="0" t="n"/>
      <c r="BP302" s="0" t="n"/>
    </row>
    <row hidden="false" ht="15" outlineLevel="0" r="303">
      <c r="A303" s="116" t="n">
        <f aca="false" ca="false" dt2D="false" dtr="false" t="normal">+A302+1</f>
        <v>284</v>
      </c>
      <c r="B303" s="117" t="n">
        <f aca="false" ca="false" dt2D="false" dtr="false" t="normal">+B302+1</f>
        <v>96</v>
      </c>
      <c r="C303" s="104" t="s">
        <v>111</v>
      </c>
      <c r="D303" s="117" t="s">
        <v>380</v>
      </c>
      <c r="E303" s="113" t="n">
        <f aca="false" ca="true" dt2D="false" dtr="false" t="normal">SUBTOTAL(9, F303:T303)</f>
        <v>12925050.76</v>
      </c>
      <c r="F303" s="114" t="n">
        <v>0</v>
      </c>
      <c r="G303" s="114" t="n">
        <v>0</v>
      </c>
      <c r="H303" s="114" t="n"/>
      <c r="I303" s="114" t="n">
        <v>0</v>
      </c>
      <c r="J303" s="114" t="n">
        <v>0</v>
      </c>
      <c r="K303" s="114" t="n"/>
      <c r="L303" s="114" t="n"/>
      <c r="M303" s="114" t="n">
        <v>0</v>
      </c>
      <c r="N303" s="114" t="n">
        <v>12925050.76</v>
      </c>
      <c r="O303" s="114" t="n">
        <v>0</v>
      </c>
      <c r="P303" s="114" t="n"/>
      <c r="Q303" s="114" t="n">
        <v>0</v>
      </c>
      <c r="R303" s="114" t="n"/>
      <c r="S303" s="114" t="n"/>
      <c r="T303" s="115" t="n"/>
      <c r="U303" s="0" t="n"/>
      <c r="V303" s="0" t="n"/>
      <c r="W303" s="0" t="n"/>
      <c r="X303" s="0" t="n"/>
      <c r="Y303" s="0" t="n"/>
      <c r="Z303" s="0" t="n"/>
      <c r="AA303" s="0" t="n"/>
      <c r="AB303" s="0" t="n"/>
      <c r="AC303" s="0" t="n"/>
      <c r="AD303" s="0" t="n"/>
      <c r="AE303" s="0" t="n"/>
      <c r="AF303" s="0" t="n"/>
      <c r="AG303" s="0" t="n"/>
      <c r="AH303" s="0" t="n"/>
      <c r="AI303" s="0" t="n"/>
      <c r="AJ303" s="0" t="n"/>
      <c r="AK303" s="0" t="n"/>
      <c r="AL303" s="0" t="n"/>
      <c r="AM303" s="0" t="n"/>
      <c r="AN303" s="0" t="n"/>
      <c r="AO303" s="0" t="n"/>
      <c r="AP303" s="0" t="n"/>
      <c r="AQ303" s="0" t="n"/>
      <c r="AR303" s="0" t="n"/>
      <c r="AS303" s="0" t="n"/>
      <c r="AT303" s="0" t="n"/>
      <c r="AU303" s="0" t="n"/>
      <c r="AV303" s="0" t="n"/>
      <c r="AW303" s="0" t="n"/>
      <c r="AX303" s="0" t="n"/>
      <c r="AY303" s="0" t="n"/>
      <c r="AZ303" s="0" t="n"/>
      <c r="BA303" s="0" t="n"/>
      <c r="BB303" s="0" t="n"/>
      <c r="BC303" s="0" t="n"/>
      <c r="BD303" s="0" t="n"/>
      <c r="BE303" s="0" t="n"/>
      <c r="BF303" s="0" t="n"/>
      <c r="BG303" s="0" t="n"/>
      <c r="BH303" s="0" t="n"/>
      <c r="BI303" s="0" t="n"/>
      <c r="BJ303" s="0" t="n"/>
      <c r="BK303" s="0" t="n"/>
      <c r="BL303" s="0" t="n"/>
      <c r="BM303" s="0" t="n"/>
      <c r="BN303" s="0" t="n"/>
      <c r="BO303" s="0" t="n"/>
      <c r="BP303" s="0" t="n"/>
    </row>
    <row hidden="false" ht="15" outlineLevel="0" r="304">
      <c r="A304" s="116" t="n">
        <f aca="false" ca="false" dt2D="false" dtr="false" t="normal">+A303+1</f>
        <v>285</v>
      </c>
      <c r="B304" s="117" t="n">
        <f aca="false" ca="false" dt2D="false" dtr="false" t="normal">+B303+1</f>
        <v>97</v>
      </c>
      <c r="C304" s="104" t="s">
        <v>111</v>
      </c>
      <c r="D304" s="117" t="s">
        <v>381</v>
      </c>
      <c r="E304" s="113" t="n">
        <f aca="false" ca="true" dt2D="false" dtr="false" t="normal">SUBTOTAL(9, F304:T304)</f>
        <v>8010112.430000001</v>
      </c>
      <c r="F304" s="114" t="n"/>
      <c r="G304" s="114" t="n"/>
      <c r="H304" s="114" t="n"/>
      <c r="I304" s="114" t="n">
        <v>0</v>
      </c>
      <c r="J304" s="114" t="n">
        <v>1014819.95</v>
      </c>
      <c r="K304" s="114" t="n"/>
      <c r="L304" s="114" t="n"/>
      <c r="M304" s="114" t="n"/>
      <c r="N304" s="114" t="n"/>
      <c r="O304" s="114" t="n"/>
      <c r="P304" s="114" t="n"/>
      <c r="Q304" s="114" t="n">
        <v>6995292.48</v>
      </c>
      <c r="R304" s="114" t="n"/>
      <c r="S304" s="114" t="n"/>
      <c r="T304" s="115" t="n"/>
      <c r="U304" s="0" t="n"/>
      <c r="V304" s="0" t="n"/>
      <c r="W304" s="0" t="n"/>
      <c r="X304" s="0" t="n"/>
      <c r="Y304" s="0" t="n"/>
      <c r="Z304" s="0" t="n"/>
      <c r="AA304" s="0" t="n"/>
      <c r="AB304" s="0" t="n"/>
      <c r="AC304" s="0" t="n"/>
      <c r="AD304" s="0" t="n"/>
      <c r="AE304" s="0" t="n"/>
      <c r="AF304" s="0" t="n"/>
      <c r="AG304" s="0" t="n"/>
      <c r="AH304" s="0" t="n"/>
      <c r="AI304" s="0" t="n"/>
      <c r="AJ304" s="0" t="n"/>
      <c r="AK304" s="0" t="n"/>
      <c r="AL304" s="0" t="n"/>
      <c r="AM304" s="0" t="n"/>
      <c r="AN304" s="0" t="n"/>
      <c r="AO304" s="0" t="n"/>
      <c r="AP304" s="0" t="n"/>
      <c r="AQ304" s="0" t="n"/>
      <c r="AR304" s="0" t="n"/>
      <c r="AS304" s="0" t="n"/>
      <c r="AT304" s="0" t="n"/>
      <c r="AU304" s="0" t="n"/>
      <c r="AV304" s="0" t="n"/>
      <c r="AW304" s="0" t="n"/>
      <c r="AX304" s="0" t="n"/>
      <c r="AY304" s="0" t="n"/>
      <c r="AZ304" s="0" t="n"/>
      <c r="BA304" s="0" t="n"/>
      <c r="BB304" s="0" t="n"/>
      <c r="BC304" s="0" t="n"/>
      <c r="BD304" s="0" t="n"/>
      <c r="BE304" s="0" t="n"/>
      <c r="BF304" s="0" t="n"/>
      <c r="BG304" s="0" t="n"/>
      <c r="BH304" s="0" t="n"/>
      <c r="BI304" s="0" t="n"/>
      <c r="BJ304" s="0" t="n"/>
      <c r="BK304" s="0" t="n"/>
      <c r="BL304" s="0" t="n"/>
      <c r="BM304" s="0" t="n"/>
      <c r="BN304" s="0" t="n"/>
      <c r="BO304" s="0" t="n"/>
      <c r="BP304" s="0" t="n"/>
    </row>
    <row hidden="false" ht="15" outlineLevel="0" r="305">
      <c r="A305" s="116" t="n">
        <f aca="false" ca="false" dt2D="false" dtr="false" t="normal">+A304+1</f>
        <v>286</v>
      </c>
      <c r="B305" s="117" t="n">
        <f aca="false" ca="false" dt2D="false" dtr="false" t="normal">+B304+1</f>
        <v>98</v>
      </c>
      <c r="C305" s="104" t="s">
        <v>111</v>
      </c>
      <c r="D305" s="117" t="s">
        <v>382</v>
      </c>
      <c r="E305" s="186" t="n">
        <f aca="false" ca="true" dt2D="false" dtr="false" t="normal">SUBTOTAL(9, F305:T305)</f>
        <v>2065046.76</v>
      </c>
      <c r="F305" s="114" t="n"/>
      <c r="G305" s="114" t="n"/>
      <c r="H305" s="114" t="n">
        <v>1394976.29</v>
      </c>
      <c r="I305" s="114" t="n"/>
      <c r="J305" s="114" t="n"/>
      <c r="K305" s="114" t="n"/>
      <c r="L305" s="114" t="n"/>
      <c r="M305" s="114" t="n">
        <v>0</v>
      </c>
      <c r="N305" s="114" t="n">
        <v>0</v>
      </c>
      <c r="O305" s="114" t="n">
        <v>0</v>
      </c>
      <c r="P305" s="114" t="n"/>
      <c r="Q305" s="114" t="n">
        <v>397050</v>
      </c>
      <c r="R305" s="114" t="n">
        <v>266163.33</v>
      </c>
      <c r="S305" s="114" t="n">
        <v>6857.14</v>
      </c>
      <c r="T305" s="115" t="n"/>
      <c r="U305" s="0" t="n"/>
      <c r="V305" s="0" t="n"/>
      <c r="W305" s="0" t="n"/>
      <c r="X305" s="0" t="n"/>
      <c r="Y305" s="0" t="n"/>
      <c r="Z305" s="0" t="n"/>
      <c r="AA305" s="0" t="n"/>
      <c r="AB305" s="0" t="n"/>
      <c r="AC305" s="0" t="n"/>
      <c r="AD305" s="0" t="n"/>
      <c r="AE305" s="0" t="n"/>
      <c r="AF305" s="0" t="n"/>
      <c r="AG305" s="0" t="n"/>
      <c r="AH305" s="0" t="n"/>
      <c r="AI305" s="0" t="n"/>
      <c r="AJ305" s="0" t="n"/>
      <c r="AK305" s="0" t="n"/>
      <c r="AL305" s="0" t="n"/>
      <c r="AM305" s="0" t="n"/>
      <c r="AN305" s="0" t="n"/>
      <c r="AO305" s="0" t="n"/>
      <c r="AP305" s="0" t="n"/>
      <c r="AQ305" s="0" t="n"/>
      <c r="AR305" s="0" t="n"/>
      <c r="AS305" s="0" t="n"/>
      <c r="AT305" s="0" t="n"/>
      <c r="AU305" s="0" t="n"/>
      <c r="AV305" s="0" t="n"/>
      <c r="AW305" s="0" t="n"/>
      <c r="AX305" s="0" t="n"/>
      <c r="AY305" s="0" t="n"/>
      <c r="AZ305" s="0" t="n"/>
      <c r="BA305" s="0" t="n"/>
      <c r="BB305" s="0" t="n"/>
      <c r="BC305" s="0" t="n"/>
      <c r="BD305" s="0" t="n"/>
      <c r="BE305" s="0" t="n"/>
      <c r="BF305" s="0" t="n"/>
      <c r="BG305" s="0" t="n"/>
      <c r="BH305" s="0" t="n"/>
      <c r="BI305" s="0" t="n"/>
      <c r="BJ305" s="0" t="n"/>
      <c r="BK305" s="0" t="n"/>
      <c r="BL305" s="0" t="n"/>
      <c r="BM305" s="0" t="n"/>
      <c r="BN305" s="0" t="n"/>
      <c r="BO305" s="0" t="n"/>
      <c r="BP305" s="0" t="n"/>
    </row>
    <row hidden="false" ht="15" outlineLevel="0" r="306">
      <c r="A306" s="116" t="n">
        <f aca="false" ca="false" dt2D="false" dtr="false" t="normal">+A305+1</f>
        <v>287</v>
      </c>
      <c r="B306" s="117" t="n">
        <f aca="false" ca="false" dt2D="false" dtr="false" t="normal">+B305+1</f>
        <v>99</v>
      </c>
      <c r="C306" s="104" t="s">
        <v>111</v>
      </c>
      <c r="D306" s="117" t="s">
        <v>383</v>
      </c>
      <c r="E306" s="186" t="n">
        <f aca="false" ca="true" dt2D="false" dtr="false" t="normal">SUBTOTAL(9, F306:T306)</f>
        <v>24468478.45</v>
      </c>
      <c r="F306" s="114" t="n"/>
      <c r="G306" s="114" t="n"/>
      <c r="H306" s="114" t="n"/>
      <c r="I306" s="114" t="n"/>
      <c r="J306" s="114" t="n"/>
      <c r="K306" s="114" t="n"/>
      <c r="L306" s="114" t="n"/>
      <c r="M306" s="114" t="n"/>
      <c r="N306" s="114" t="n">
        <v>16572168.38</v>
      </c>
      <c r="O306" s="114" t="n"/>
      <c r="P306" s="114" t="n"/>
      <c r="Q306" s="114" t="n">
        <v>7332571.26</v>
      </c>
      <c r="R306" s="114" t="n">
        <v>557738.81</v>
      </c>
      <c r="S306" s="114" t="n">
        <v>6000</v>
      </c>
      <c r="T306" s="115" t="n"/>
      <c r="U306" s="0" t="n"/>
      <c r="V306" s="0" t="n"/>
      <c r="W306" s="0" t="n"/>
      <c r="X306" s="0" t="n"/>
      <c r="Y306" s="0" t="n"/>
      <c r="Z306" s="0" t="n"/>
      <c r="AA306" s="0" t="n"/>
      <c r="AB306" s="0" t="n"/>
      <c r="AC306" s="0" t="n"/>
      <c r="AD306" s="0" t="n"/>
      <c r="AE306" s="0" t="n"/>
      <c r="AF306" s="0" t="n"/>
      <c r="AG306" s="0" t="n"/>
      <c r="AH306" s="0" t="n"/>
      <c r="AI306" s="0" t="n"/>
      <c r="AJ306" s="0" t="n"/>
      <c r="AK306" s="0" t="n"/>
      <c r="AL306" s="0" t="n"/>
      <c r="AM306" s="0" t="n"/>
      <c r="AN306" s="0" t="n"/>
      <c r="AO306" s="0" t="n"/>
      <c r="AP306" s="0" t="n"/>
      <c r="AQ306" s="0" t="n"/>
      <c r="AR306" s="0" t="n"/>
      <c r="AS306" s="0" t="n"/>
      <c r="AT306" s="0" t="n"/>
      <c r="AU306" s="0" t="n"/>
      <c r="AV306" s="0" t="n"/>
      <c r="AW306" s="0" t="n"/>
      <c r="AX306" s="0" t="n"/>
      <c r="AY306" s="0" t="n"/>
      <c r="AZ306" s="0" t="n"/>
      <c r="BA306" s="0" t="n"/>
      <c r="BB306" s="0" t="n"/>
      <c r="BC306" s="0" t="n"/>
      <c r="BD306" s="0" t="n"/>
      <c r="BE306" s="0" t="n"/>
      <c r="BF306" s="0" t="n"/>
      <c r="BG306" s="0" t="n"/>
      <c r="BH306" s="0" t="n"/>
      <c r="BI306" s="0" t="n"/>
      <c r="BJ306" s="0" t="n"/>
      <c r="BK306" s="0" t="n"/>
      <c r="BL306" s="0" t="n"/>
      <c r="BM306" s="0" t="n"/>
      <c r="BN306" s="0" t="n"/>
      <c r="BO306" s="0" t="n"/>
      <c r="BP306" s="0" t="n"/>
    </row>
    <row hidden="false" ht="15" outlineLevel="0" r="307">
      <c r="A307" s="116" t="n">
        <f aca="false" ca="false" dt2D="false" dtr="false" t="normal">+A306+1</f>
        <v>288</v>
      </c>
      <c r="B307" s="117" t="n">
        <f aca="false" ca="false" dt2D="false" dtr="false" t="normal">+B306+1</f>
        <v>100</v>
      </c>
      <c r="C307" s="104" t="s">
        <v>111</v>
      </c>
      <c r="D307" s="117" t="s">
        <v>181</v>
      </c>
      <c r="E307" s="186" t="n">
        <f aca="false" ca="true" dt2D="false" dtr="false" t="normal">SUBTOTAL(9, F307:T307)</f>
        <v>11911375.76</v>
      </c>
      <c r="F307" s="114" t="n"/>
      <c r="G307" s="114" t="n"/>
      <c r="H307" s="114" t="n"/>
      <c r="I307" s="114" t="n"/>
      <c r="J307" s="114" t="n"/>
      <c r="K307" s="114" t="n"/>
      <c r="L307" s="114" t="n"/>
      <c r="M307" s="114" t="n"/>
      <c r="N307" s="114" t="n">
        <v>11436125.95</v>
      </c>
      <c r="O307" s="114" t="n">
        <v>0</v>
      </c>
      <c r="P307" s="114" t="n"/>
      <c r="Q307" s="114" t="n"/>
      <c r="R307" s="114" t="n">
        <v>459249.81</v>
      </c>
      <c r="S307" s="114" t="n">
        <v>16000</v>
      </c>
      <c r="T307" s="115" t="n"/>
      <c r="U307" s="0" t="n"/>
      <c r="V307" s="0" t="n"/>
      <c r="W307" s="0" t="n"/>
      <c r="X307" s="0" t="n"/>
      <c r="Y307" s="0" t="n"/>
      <c r="Z307" s="0" t="n"/>
      <c r="AA307" s="0" t="n"/>
      <c r="AB307" s="0" t="n"/>
      <c r="AC307" s="0" t="n"/>
      <c r="AD307" s="0" t="n"/>
      <c r="AE307" s="0" t="n"/>
      <c r="AF307" s="0" t="n"/>
      <c r="AG307" s="0" t="n"/>
      <c r="AH307" s="0" t="n"/>
      <c r="AI307" s="0" t="n"/>
      <c r="AJ307" s="0" t="n"/>
      <c r="AK307" s="0" t="n"/>
      <c r="AL307" s="0" t="n"/>
      <c r="AM307" s="0" t="n"/>
      <c r="AN307" s="0" t="n"/>
      <c r="AO307" s="0" t="n"/>
      <c r="AP307" s="0" t="n"/>
      <c r="AQ307" s="0" t="n"/>
      <c r="AR307" s="0" t="n"/>
      <c r="AS307" s="0" t="n"/>
      <c r="AT307" s="0" t="n"/>
      <c r="AU307" s="0" t="n"/>
      <c r="AV307" s="0" t="n"/>
      <c r="AW307" s="0" t="n"/>
      <c r="AX307" s="0" t="n"/>
      <c r="AY307" s="0" t="n"/>
      <c r="AZ307" s="0" t="n"/>
      <c r="BA307" s="0" t="n"/>
      <c r="BB307" s="0" t="n"/>
      <c r="BC307" s="0" t="n"/>
      <c r="BD307" s="0" t="n"/>
      <c r="BE307" s="0" t="n"/>
      <c r="BF307" s="0" t="n"/>
      <c r="BG307" s="0" t="n"/>
      <c r="BH307" s="0" t="n"/>
      <c r="BI307" s="0" t="n"/>
      <c r="BJ307" s="0" t="n"/>
      <c r="BK307" s="0" t="n"/>
      <c r="BL307" s="0" t="n"/>
      <c r="BM307" s="0" t="n"/>
      <c r="BN307" s="0" t="n"/>
      <c r="BO307" s="0" t="n"/>
      <c r="BP307" s="0" t="n"/>
    </row>
    <row hidden="false" ht="15" outlineLevel="0" r="308">
      <c r="A308" s="116" t="n">
        <f aca="false" ca="false" dt2D="false" dtr="false" t="normal">+A307+1</f>
        <v>289</v>
      </c>
      <c r="B308" s="117" t="n">
        <f aca="false" ca="false" dt2D="false" dtr="false" t="normal">+B307+1</f>
        <v>101</v>
      </c>
      <c r="C308" s="104" t="s">
        <v>111</v>
      </c>
      <c r="D308" s="117" t="s">
        <v>385</v>
      </c>
      <c r="E308" s="186" t="n">
        <f aca="false" ca="true" dt2D="false" dtr="false" t="normal">SUBTOTAL(9, F308:T308)</f>
        <v>33900034.11</v>
      </c>
      <c r="F308" s="114" t="n"/>
      <c r="G308" s="114" t="n"/>
      <c r="H308" s="114" t="n"/>
      <c r="I308" s="114" t="n"/>
      <c r="J308" s="114" t="n"/>
      <c r="K308" s="114" t="n"/>
      <c r="L308" s="114" t="n"/>
      <c r="M308" s="114" t="n">
        <v>0</v>
      </c>
      <c r="N308" s="114" t="n">
        <v>12001166</v>
      </c>
      <c r="O308" s="114" t="n">
        <v>0</v>
      </c>
      <c r="P308" s="114" t="n">
        <v>21351135</v>
      </c>
      <c r="Q308" s="114" t="n"/>
      <c r="R308" s="114" t="n">
        <v>544304.54</v>
      </c>
      <c r="S308" s="114" t="n">
        <v>3428.57</v>
      </c>
      <c r="T308" s="115" t="n"/>
      <c r="U308" s="0" t="n"/>
      <c r="V308" s="0" t="n"/>
      <c r="W308" s="0" t="n"/>
      <c r="X308" s="0" t="n"/>
      <c r="Y308" s="0" t="n"/>
      <c r="Z308" s="0" t="n"/>
      <c r="AA308" s="0" t="n"/>
      <c r="AB308" s="0" t="n"/>
      <c r="AC308" s="0" t="n"/>
      <c r="AD308" s="0" t="n"/>
      <c r="AE308" s="0" t="n"/>
      <c r="AF308" s="0" t="n"/>
      <c r="AG308" s="0" t="n"/>
      <c r="AH308" s="0" t="n"/>
      <c r="AI308" s="0" t="n"/>
      <c r="AJ308" s="0" t="n"/>
      <c r="AK308" s="0" t="n"/>
      <c r="AL308" s="0" t="n"/>
      <c r="AM308" s="0" t="n"/>
      <c r="AN308" s="0" t="n"/>
      <c r="AO308" s="0" t="n"/>
      <c r="AP308" s="0" t="n"/>
      <c r="AQ308" s="0" t="n"/>
      <c r="AR308" s="0" t="n"/>
      <c r="AS308" s="0" t="n"/>
      <c r="AT308" s="0" t="n"/>
      <c r="AU308" s="0" t="n"/>
      <c r="AV308" s="0" t="n"/>
      <c r="AW308" s="0" t="n"/>
      <c r="AX308" s="0" t="n"/>
      <c r="AY308" s="0" t="n"/>
      <c r="AZ308" s="0" t="n"/>
      <c r="BA308" s="0" t="n"/>
      <c r="BB308" s="0" t="n"/>
      <c r="BC308" s="0" t="n"/>
      <c r="BD308" s="0" t="n"/>
      <c r="BE308" s="0" t="n"/>
      <c r="BF308" s="0" t="n"/>
      <c r="BG308" s="0" t="n"/>
      <c r="BH308" s="0" t="n"/>
      <c r="BI308" s="0" t="n"/>
      <c r="BJ308" s="0" t="n"/>
      <c r="BK308" s="0" t="n"/>
      <c r="BL308" s="0" t="n"/>
      <c r="BM308" s="0" t="n"/>
      <c r="BN308" s="0" t="n"/>
      <c r="BO308" s="0" t="n"/>
      <c r="BP308" s="0" t="n"/>
    </row>
    <row hidden="false" ht="15" outlineLevel="0" r="309">
      <c r="A309" s="116" t="n">
        <f aca="false" ca="false" dt2D="false" dtr="false" t="normal">+A308+1</f>
        <v>290</v>
      </c>
      <c r="B309" s="117" t="n">
        <f aca="false" ca="false" dt2D="false" dtr="false" t="normal">+B308+1</f>
        <v>102</v>
      </c>
      <c r="C309" s="104" t="s">
        <v>111</v>
      </c>
      <c r="D309" s="117" t="s">
        <v>183</v>
      </c>
      <c r="E309" s="113" t="n">
        <f aca="false" ca="true" dt2D="false" dtr="false" t="normal">SUBTOTAL(9, F309:T309)</f>
        <v>786855.41</v>
      </c>
      <c r="F309" s="114" t="n"/>
      <c r="G309" s="114" t="n"/>
      <c r="H309" s="114" t="n"/>
      <c r="I309" s="114" t="n">
        <v>754929.79</v>
      </c>
      <c r="J309" s="114" t="n">
        <v>0</v>
      </c>
      <c r="K309" s="114" t="n"/>
      <c r="L309" s="114" t="n"/>
      <c r="M309" s="114" t="n">
        <v>0</v>
      </c>
      <c r="N309" s="114" t="n"/>
      <c r="O309" s="114" t="n">
        <v>0</v>
      </c>
      <c r="P309" s="114" t="n">
        <v>0</v>
      </c>
      <c r="Q309" s="114" t="n"/>
      <c r="R309" s="114" t="n">
        <v>27925.62</v>
      </c>
      <c r="S309" s="114" t="n">
        <v>4000</v>
      </c>
      <c r="T309" s="115" t="n"/>
      <c r="U309" s="0" t="n"/>
      <c r="V309" s="0" t="n"/>
      <c r="W309" s="0" t="n"/>
      <c r="X309" s="0" t="n"/>
      <c r="Y309" s="0" t="n"/>
      <c r="Z309" s="0" t="n"/>
      <c r="AA309" s="0" t="n"/>
      <c r="AB309" s="0" t="n"/>
      <c r="AC309" s="0" t="n"/>
      <c r="AD309" s="0" t="n"/>
      <c r="AE309" s="0" t="n"/>
      <c r="AF309" s="0" t="n"/>
      <c r="AG309" s="0" t="n"/>
      <c r="AH309" s="0" t="n"/>
      <c r="AI309" s="0" t="n"/>
      <c r="AJ309" s="0" t="n"/>
      <c r="AK309" s="0" t="n"/>
      <c r="AL309" s="0" t="n"/>
      <c r="AM309" s="0" t="n"/>
      <c r="AN309" s="0" t="n"/>
      <c r="AO309" s="0" t="n"/>
      <c r="AP309" s="0" t="n"/>
      <c r="AQ309" s="0" t="n"/>
      <c r="AR309" s="0" t="n"/>
      <c r="AS309" s="0" t="n"/>
      <c r="AT309" s="0" t="n"/>
      <c r="AU309" s="0" t="n"/>
      <c r="AV309" s="0" t="n"/>
      <c r="AW309" s="0" t="n"/>
      <c r="AX309" s="0" t="n"/>
      <c r="AY309" s="0" t="n"/>
      <c r="AZ309" s="0" t="n"/>
      <c r="BA309" s="0" t="n"/>
      <c r="BB309" s="0" t="n"/>
      <c r="BC309" s="0" t="n"/>
      <c r="BD309" s="0" t="n"/>
      <c r="BE309" s="0" t="n"/>
      <c r="BF309" s="0" t="n"/>
      <c r="BG309" s="0" t="n"/>
      <c r="BH309" s="0" t="n"/>
      <c r="BI309" s="0" t="n"/>
      <c r="BJ309" s="0" t="n"/>
      <c r="BK309" s="0" t="n"/>
      <c r="BL309" s="0" t="n"/>
      <c r="BM309" s="0" t="n"/>
      <c r="BN309" s="0" t="n"/>
      <c r="BO309" s="0" t="n"/>
      <c r="BP309" s="0" t="n"/>
    </row>
    <row hidden="false" ht="15" outlineLevel="0" r="310">
      <c r="A310" s="116" t="n">
        <f aca="false" ca="false" dt2D="false" dtr="false" t="normal">+A309+1</f>
        <v>291</v>
      </c>
      <c r="B310" s="117" t="n">
        <f aca="false" ca="false" dt2D="false" dtr="false" t="normal">+B309+1</f>
        <v>103</v>
      </c>
      <c r="C310" s="104" t="s">
        <v>111</v>
      </c>
      <c r="D310" s="117" t="s">
        <v>386</v>
      </c>
      <c r="E310" s="113" t="n">
        <f aca="false" ca="true" dt2D="false" dtr="false" t="normal">SUBTOTAL(9, F310:T310)</f>
        <v>982262</v>
      </c>
      <c r="F310" s="114" t="n"/>
      <c r="G310" s="114" t="n"/>
      <c r="H310" s="114" t="n"/>
      <c r="I310" s="114" t="n"/>
      <c r="J310" s="114" t="n">
        <v>982262</v>
      </c>
      <c r="K310" s="114" t="n"/>
      <c r="L310" s="114" t="n"/>
      <c r="M310" s="114" t="n"/>
      <c r="N310" s="114" t="n"/>
      <c r="O310" s="114" t="n"/>
      <c r="P310" s="114" t="n"/>
      <c r="Q310" s="114" t="n">
        <v>0</v>
      </c>
      <c r="R310" s="114" t="n"/>
      <c r="S310" s="114" t="n"/>
      <c r="T310" s="115" t="n"/>
      <c r="U310" s="0" t="n"/>
      <c r="V310" s="0" t="n"/>
      <c r="W310" s="0" t="n"/>
      <c r="X310" s="0" t="n"/>
      <c r="Y310" s="0" t="n"/>
      <c r="Z310" s="0" t="n"/>
      <c r="AA310" s="0" t="n"/>
      <c r="AB310" s="0" t="n"/>
      <c r="AC310" s="0" t="n"/>
      <c r="AD310" s="0" t="n"/>
      <c r="AE310" s="0" t="n"/>
      <c r="AF310" s="0" t="n"/>
      <c r="AG310" s="0" t="n"/>
      <c r="AH310" s="0" t="n"/>
      <c r="AI310" s="0" t="n"/>
      <c r="AJ310" s="0" t="n"/>
      <c r="AK310" s="0" t="n"/>
      <c r="AL310" s="0" t="n"/>
      <c r="AM310" s="0" t="n"/>
      <c r="AN310" s="0" t="n"/>
      <c r="AO310" s="0" t="n"/>
      <c r="AP310" s="0" t="n"/>
      <c r="AQ310" s="0" t="n"/>
      <c r="AR310" s="0" t="n"/>
      <c r="AS310" s="0" t="n"/>
      <c r="AT310" s="0" t="n"/>
      <c r="AU310" s="0" t="n"/>
      <c r="AV310" s="0" t="n"/>
      <c r="AW310" s="0" t="n"/>
      <c r="AX310" s="0" t="n"/>
      <c r="AY310" s="0" t="n"/>
      <c r="AZ310" s="0" t="n"/>
      <c r="BA310" s="0" t="n"/>
      <c r="BB310" s="0" t="n"/>
      <c r="BC310" s="0" t="n"/>
      <c r="BD310" s="0" t="n"/>
      <c r="BE310" s="0" t="n"/>
      <c r="BF310" s="0" t="n"/>
      <c r="BG310" s="0" t="n"/>
      <c r="BH310" s="0" t="n"/>
      <c r="BI310" s="0" t="n"/>
      <c r="BJ310" s="0" t="n"/>
      <c r="BK310" s="0" t="n"/>
      <c r="BL310" s="0" t="n"/>
      <c r="BM310" s="0" t="n"/>
      <c r="BN310" s="0" t="n"/>
      <c r="BO310" s="0" t="n"/>
      <c r="BP310" s="0" t="n"/>
    </row>
    <row customFormat="true" hidden="false" ht="15" outlineLevel="0" r="311" s="206">
      <c r="A311" s="116" t="n">
        <f aca="false" ca="false" dt2D="false" dtr="false" t="normal">+A310+1</f>
        <v>292</v>
      </c>
      <c r="B311" s="117" t="n">
        <f aca="false" ca="false" dt2D="false" dtr="false" t="normal">+B310+1</f>
        <v>104</v>
      </c>
      <c r="C311" s="104" t="s">
        <v>111</v>
      </c>
      <c r="D311" s="117" t="s">
        <v>190</v>
      </c>
      <c r="E311" s="113" t="n">
        <f aca="false" ca="true" dt2D="false" dtr="false" t="normal">SUBTOTAL(9, F311:T311)</f>
        <v>37756385.57</v>
      </c>
      <c r="F311" s="114" t="n"/>
      <c r="G311" s="114" t="n"/>
      <c r="H311" s="114" t="n"/>
      <c r="I311" s="114" t="n"/>
      <c r="J311" s="114" t="n"/>
      <c r="K311" s="114" t="n"/>
      <c r="L311" s="114" t="n"/>
      <c r="M311" s="114" t="n"/>
      <c r="N311" s="114" t="n"/>
      <c r="O311" s="114" t="n"/>
      <c r="P311" s="114" t="n">
        <v>31442611.48</v>
      </c>
      <c r="Q311" s="114" t="n">
        <v>5699540.98</v>
      </c>
      <c r="R311" s="114" t="n">
        <v>607375.97</v>
      </c>
      <c r="S311" s="114" t="n">
        <v>6857.14</v>
      </c>
      <c r="T311" s="115" t="n"/>
      <c r="U311" s="0" t="n"/>
      <c r="V311" s="0" t="n"/>
      <c r="W311" s="0" t="n"/>
      <c r="X311" s="0" t="n"/>
      <c r="Y311" s="0" t="n"/>
      <c r="Z311" s="0" t="n"/>
      <c r="AA311" s="0" t="n"/>
      <c r="AB311" s="0" t="n"/>
      <c r="AC311" s="0" t="n"/>
      <c r="AD311" s="0" t="n"/>
      <c r="AE311" s="0" t="n"/>
      <c r="AF311" s="0" t="n"/>
      <c r="AG311" s="0" t="n"/>
      <c r="AH311" s="0" t="n"/>
      <c r="AI311" s="0" t="n"/>
      <c r="AJ311" s="0" t="n"/>
      <c r="AK311" s="0" t="n"/>
      <c r="AL311" s="0" t="n"/>
      <c r="AM311" s="0" t="n"/>
      <c r="AN311" s="0" t="n"/>
      <c r="AO311" s="0" t="n"/>
      <c r="AP311" s="0" t="n"/>
      <c r="AQ311" s="0" t="n"/>
      <c r="AR311" s="0" t="n"/>
      <c r="AS311" s="0" t="n"/>
      <c r="AT311" s="0" t="n"/>
      <c r="AU311" s="0" t="n"/>
      <c r="AV311" s="0" t="n"/>
      <c r="AW311" s="0" t="n"/>
      <c r="AX311" s="0" t="n"/>
      <c r="AY311" s="0" t="n"/>
      <c r="AZ311" s="0" t="n"/>
      <c r="BA311" s="0" t="n"/>
      <c r="BB311" s="0" t="n"/>
      <c r="BC311" s="0" t="n"/>
      <c r="BD311" s="0" t="n"/>
      <c r="BE311" s="0" t="n"/>
      <c r="BF311" s="0" t="n"/>
      <c r="BG311" s="0" t="n"/>
      <c r="BH311" s="0" t="n"/>
      <c r="BI311" s="0" t="n"/>
      <c r="BJ311" s="0" t="n"/>
      <c r="BK311" s="0" t="n"/>
      <c r="BL311" s="0" t="n"/>
      <c r="BM311" s="0" t="n"/>
      <c r="BN311" s="0" t="n"/>
      <c r="BO311" s="0" t="n"/>
      <c r="BP311" s="0" t="n"/>
    </row>
    <row customFormat="true" hidden="false" ht="15" outlineLevel="0" r="312" s="206">
      <c r="A312" s="116" t="n">
        <f aca="false" ca="false" dt2D="false" dtr="false" t="normal">+A311+1</f>
        <v>293</v>
      </c>
      <c r="B312" s="117" t="n">
        <f aca="false" ca="false" dt2D="false" dtr="false" t="normal">+B311+1</f>
        <v>105</v>
      </c>
      <c r="C312" s="104" t="s">
        <v>111</v>
      </c>
      <c r="D312" s="117" t="s">
        <v>387</v>
      </c>
      <c r="E312" s="113" t="n">
        <f aca="false" ca="true" dt2D="false" dtr="false" t="normal">SUBTOTAL(9, F312:T312)</f>
        <v>6472175.16</v>
      </c>
      <c r="F312" s="114" t="n"/>
      <c r="G312" s="114" t="n"/>
      <c r="H312" s="114" t="n"/>
      <c r="I312" s="114" t="n"/>
      <c r="J312" s="114" t="n"/>
      <c r="K312" s="114" t="n"/>
      <c r="L312" s="114" t="n"/>
      <c r="M312" s="114" t="n"/>
      <c r="N312" s="114" t="n"/>
      <c r="O312" s="114" t="n"/>
      <c r="P312" s="114" t="n"/>
      <c r="Q312" s="114" t="n">
        <v>6215148.3</v>
      </c>
      <c r="R312" s="114" t="n">
        <v>253598.29</v>
      </c>
      <c r="S312" s="114" t="n">
        <v>3428.57</v>
      </c>
      <c r="T312" s="115" t="n"/>
      <c r="U312" s="0" t="n"/>
      <c r="V312" s="0" t="n"/>
      <c r="W312" s="0" t="n"/>
      <c r="X312" s="0" t="n"/>
      <c r="Y312" s="0" t="n"/>
      <c r="Z312" s="0" t="n"/>
      <c r="AA312" s="0" t="n"/>
      <c r="AB312" s="0" t="n"/>
      <c r="AC312" s="0" t="n"/>
      <c r="AD312" s="0" t="n"/>
      <c r="AE312" s="0" t="n"/>
      <c r="AF312" s="0" t="n"/>
      <c r="AG312" s="0" t="n"/>
      <c r="AH312" s="0" t="n"/>
      <c r="AI312" s="0" t="n"/>
      <c r="AJ312" s="0" t="n"/>
      <c r="AK312" s="0" t="n"/>
      <c r="AL312" s="0" t="n"/>
      <c r="AM312" s="0" t="n"/>
      <c r="AN312" s="0" t="n"/>
      <c r="AO312" s="0" t="n"/>
      <c r="AP312" s="0" t="n"/>
      <c r="AQ312" s="0" t="n"/>
      <c r="AR312" s="0" t="n"/>
      <c r="AS312" s="0" t="n"/>
      <c r="AT312" s="0" t="n"/>
      <c r="AU312" s="0" t="n"/>
      <c r="AV312" s="0" t="n"/>
      <c r="AW312" s="0" t="n"/>
      <c r="AX312" s="0" t="n"/>
      <c r="AY312" s="0" t="n"/>
      <c r="AZ312" s="0" t="n"/>
      <c r="BA312" s="0" t="n"/>
      <c r="BB312" s="0" t="n"/>
      <c r="BC312" s="0" t="n"/>
      <c r="BD312" s="0" t="n"/>
      <c r="BE312" s="0" t="n"/>
      <c r="BF312" s="0" t="n"/>
      <c r="BG312" s="0" t="n"/>
      <c r="BH312" s="0" t="n"/>
      <c r="BI312" s="0" t="n"/>
      <c r="BJ312" s="0" t="n"/>
      <c r="BK312" s="0" t="n"/>
      <c r="BL312" s="0" t="n"/>
      <c r="BM312" s="0" t="n"/>
      <c r="BN312" s="0" t="n"/>
      <c r="BO312" s="0" t="n"/>
      <c r="BP312" s="0" t="n"/>
    </row>
    <row hidden="false" ht="15" outlineLevel="0" r="313">
      <c r="A313" s="116" t="n">
        <f aca="false" ca="false" dt2D="false" dtr="false" t="normal">+A312+1</f>
        <v>294</v>
      </c>
      <c r="B313" s="117" t="n">
        <f aca="false" ca="false" dt2D="false" dtr="false" t="normal">+B312+1</f>
        <v>106</v>
      </c>
      <c r="C313" s="104" t="s">
        <v>111</v>
      </c>
      <c r="D313" s="117" t="s">
        <v>388</v>
      </c>
      <c r="E313" s="186" t="n">
        <f aca="false" ca="true" dt2D="false" dtr="false" t="normal">SUBTOTAL(9, F313:T313)</f>
        <v>22551866.78</v>
      </c>
      <c r="F313" s="114" t="n"/>
      <c r="G313" s="114" t="n"/>
      <c r="H313" s="114" t="n"/>
      <c r="I313" s="114" t="n"/>
      <c r="J313" s="114" t="n"/>
      <c r="K313" s="114" t="n"/>
      <c r="L313" s="114" t="n"/>
      <c r="M313" s="114" t="n"/>
      <c r="N313" s="114" t="n">
        <v>11858145.5</v>
      </c>
      <c r="O313" s="114" t="n">
        <v>0</v>
      </c>
      <c r="P313" s="114" t="n"/>
      <c r="Q313" s="114" t="n">
        <v>10159720.21</v>
      </c>
      <c r="R313" s="114" t="n">
        <v>524401.07</v>
      </c>
      <c r="S313" s="114" t="n">
        <v>9600</v>
      </c>
      <c r="T313" s="115" t="n"/>
      <c r="U313" s="0" t="n"/>
      <c r="V313" s="0" t="n"/>
      <c r="W313" s="0" t="n"/>
      <c r="X313" s="0" t="n"/>
      <c r="Y313" s="0" t="n"/>
      <c r="Z313" s="0" t="n"/>
      <c r="AA313" s="0" t="n"/>
      <c r="AB313" s="0" t="n"/>
      <c r="AC313" s="0" t="n"/>
      <c r="AD313" s="0" t="n"/>
      <c r="AE313" s="0" t="n"/>
      <c r="AF313" s="0" t="n"/>
      <c r="AG313" s="0" t="n"/>
      <c r="AH313" s="0" t="n"/>
      <c r="AI313" s="0" t="n"/>
      <c r="AJ313" s="0" t="n"/>
      <c r="AK313" s="0" t="n"/>
      <c r="AL313" s="0" t="n"/>
      <c r="AM313" s="0" t="n"/>
      <c r="AN313" s="0" t="n"/>
      <c r="AO313" s="0" t="n"/>
      <c r="AP313" s="0" t="n"/>
      <c r="AQ313" s="0" t="n"/>
      <c r="AR313" s="0" t="n"/>
      <c r="AS313" s="0" t="n"/>
      <c r="AT313" s="0" t="n"/>
      <c r="AU313" s="0" t="n"/>
      <c r="AV313" s="0" t="n"/>
      <c r="AW313" s="0" t="n"/>
      <c r="AX313" s="0" t="n"/>
      <c r="AY313" s="0" t="n"/>
      <c r="AZ313" s="0" t="n"/>
      <c r="BA313" s="0" t="n"/>
      <c r="BB313" s="0" t="n"/>
      <c r="BC313" s="0" t="n"/>
      <c r="BD313" s="0" t="n"/>
      <c r="BE313" s="0" t="n"/>
      <c r="BF313" s="0" t="n"/>
      <c r="BG313" s="0" t="n"/>
      <c r="BH313" s="0" t="n"/>
      <c r="BI313" s="0" t="n"/>
      <c r="BJ313" s="0" t="n"/>
      <c r="BK313" s="0" t="n"/>
      <c r="BL313" s="0" t="n"/>
      <c r="BM313" s="0" t="n"/>
      <c r="BN313" s="0" t="n"/>
      <c r="BO313" s="0" t="n"/>
      <c r="BP313" s="0" t="n"/>
    </row>
    <row customFormat="true" hidden="false" ht="15" outlineLevel="0" r="314" s="206">
      <c r="A314" s="116" t="n">
        <f aca="false" ca="false" dt2D="false" dtr="false" t="normal">+A313+1</f>
        <v>295</v>
      </c>
      <c r="B314" s="117" t="n">
        <f aca="false" ca="false" dt2D="false" dtr="false" t="normal">+B313+1</f>
        <v>107</v>
      </c>
      <c r="C314" s="104" t="s">
        <v>111</v>
      </c>
      <c r="D314" s="117" t="s">
        <v>389</v>
      </c>
      <c r="E314" s="113" t="n">
        <f aca="false" ca="true" dt2D="false" dtr="false" t="normal">SUBTOTAL(9, F314:T314)</f>
        <v>19322281.259999998</v>
      </c>
      <c r="F314" s="114" t="n">
        <v>9193389.03</v>
      </c>
      <c r="G314" s="114" t="n">
        <v>2924499.67</v>
      </c>
      <c r="H314" s="114" t="n">
        <v>3230753.86</v>
      </c>
      <c r="I314" s="114" t="n">
        <v>3708442.52</v>
      </c>
      <c r="J314" s="114" t="n"/>
      <c r="K314" s="114" t="n"/>
      <c r="L314" s="114" t="n"/>
      <c r="M314" s="114" t="n"/>
      <c r="N314" s="114" t="n"/>
      <c r="O314" s="114" t="n"/>
      <c r="P314" s="114" t="n"/>
      <c r="Q314" s="114" t="n"/>
      <c r="R314" s="114" t="n">
        <v>226850.47</v>
      </c>
      <c r="S314" s="114" t="n">
        <v>38345.71</v>
      </c>
      <c r="T314" s="115" t="n"/>
      <c r="U314" s="0" t="n"/>
      <c r="V314" s="0" t="n"/>
      <c r="W314" s="0" t="n"/>
      <c r="X314" s="0" t="n"/>
      <c r="Y314" s="0" t="n"/>
      <c r="Z314" s="0" t="n"/>
      <c r="AA314" s="0" t="n"/>
      <c r="AB314" s="0" t="n"/>
      <c r="AC314" s="0" t="n"/>
      <c r="AD314" s="0" t="n"/>
      <c r="AE314" s="0" t="n"/>
      <c r="AF314" s="0" t="n"/>
      <c r="AG314" s="0" t="n"/>
      <c r="AH314" s="0" t="n"/>
      <c r="AI314" s="0" t="n"/>
      <c r="AJ314" s="0" t="n"/>
      <c r="AK314" s="0" t="n"/>
      <c r="AL314" s="0" t="n"/>
      <c r="AM314" s="0" t="n"/>
      <c r="AN314" s="0" t="n"/>
      <c r="AO314" s="0" t="n"/>
      <c r="AP314" s="0" t="n"/>
      <c r="AQ314" s="0" t="n"/>
      <c r="AR314" s="0" t="n"/>
      <c r="AS314" s="0" t="n"/>
      <c r="AT314" s="0" t="n"/>
      <c r="AU314" s="0" t="n"/>
      <c r="AV314" s="0" t="n"/>
      <c r="AW314" s="0" t="n"/>
      <c r="AX314" s="0" t="n"/>
      <c r="AY314" s="0" t="n"/>
      <c r="AZ314" s="0" t="n"/>
      <c r="BA314" s="0" t="n"/>
      <c r="BB314" s="0" t="n"/>
      <c r="BC314" s="0" t="n"/>
      <c r="BD314" s="0" t="n"/>
      <c r="BE314" s="0" t="n"/>
      <c r="BF314" s="0" t="n"/>
      <c r="BG314" s="0" t="n"/>
      <c r="BH314" s="0" t="n"/>
      <c r="BI314" s="0" t="n"/>
      <c r="BJ314" s="0" t="n"/>
      <c r="BK314" s="0" t="n"/>
      <c r="BL314" s="0" t="n"/>
      <c r="BM314" s="0" t="n"/>
      <c r="BN314" s="0" t="n"/>
      <c r="BO314" s="0" t="n"/>
      <c r="BP314" s="0" t="n"/>
    </row>
    <row hidden="false" ht="15" outlineLevel="0" r="315">
      <c r="A315" s="116" t="n">
        <f aca="false" ca="false" dt2D="false" dtr="false" t="normal">+A314+1</f>
        <v>296</v>
      </c>
      <c r="B315" s="117" t="n">
        <f aca="false" ca="false" dt2D="false" dtr="false" t="normal">+B314+1</f>
        <v>108</v>
      </c>
      <c r="C315" s="104" t="s">
        <v>111</v>
      </c>
      <c r="D315" s="117" t="s">
        <v>390</v>
      </c>
      <c r="E315" s="113" t="n">
        <f aca="false" ca="true" dt2D="false" dtr="false" t="normal">SUBTOTAL(9, F315:T315)</f>
        <v>5865383.100000001</v>
      </c>
      <c r="F315" s="114" t="n">
        <v>0</v>
      </c>
      <c r="G315" s="114" t="n"/>
      <c r="H315" s="114" t="n">
        <v>0</v>
      </c>
      <c r="I315" s="114" t="n"/>
      <c r="J315" s="114" t="n"/>
      <c r="K315" s="114" t="n"/>
      <c r="L315" s="114" t="n"/>
      <c r="M315" s="114" t="n">
        <v>0</v>
      </c>
      <c r="N315" s="114" t="n">
        <v>0</v>
      </c>
      <c r="O315" s="114" t="n">
        <v>0</v>
      </c>
      <c r="P315" s="114" t="n">
        <v>0</v>
      </c>
      <c r="Q315" s="114" t="n">
        <v>5650467.82</v>
      </c>
      <c r="R315" s="114" t="n">
        <v>202915.28</v>
      </c>
      <c r="S315" s="114" t="n">
        <v>12000</v>
      </c>
      <c r="T315" s="115" t="n"/>
      <c r="U315" s="0" t="n"/>
      <c r="V315" s="0" t="n"/>
      <c r="W315" s="0" t="n"/>
      <c r="X315" s="0" t="n"/>
      <c r="Y315" s="0" t="n"/>
      <c r="Z315" s="0" t="n"/>
      <c r="AA315" s="0" t="n"/>
      <c r="AB315" s="0" t="n"/>
      <c r="AC315" s="0" t="n"/>
      <c r="AD315" s="0" t="n"/>
      <c r="AE315" s="0" t="n"/>
      <c r="AF315" s="0" t="n"/>
      <c r="AG315" s="0" t="n"/>
      <c r="AH315" s="0" t="n"/>
      <c r="AI315" s="0" t="n"/>
      <c r="AJ315" s="0" t="n"/>
      <c r="AK315" s="0" t="n"/>
      <c r="AL315" s="0" t="n"/>
      <c r="AM315" s="0" t="n"/>
      <c r="AN315" s="0" t="n"/>
      <c r="AO315" s="0" t="n"/>
      <c r="AP315" s="0" t="n"/>
      <c r="AQ315" s="0" t="n"/>
      <c r="AR315" s="0" t="n"/>
      <c r="AS315" s="0" t="n"/>
      <c r="AT315" s="0" t="n"/>
      <c r="AU315" s="0" t="n"/>
      <c r="AV315" s="0" t="n"/>
      <c r="AW315" s="0" t="n"/>
      <c r="AX315" s="0" t="n"/>
      <c r="AY315" s="0" t="n"/>
      <c r="AZ315" s="0" t="n"/>
      <c r="BA315" s="0" t="n"/>
      <c r="BB315" s="0" t="n"/>
      <c r="BC315" s="0" t="n"/>
      <c r="BD315" s="0" t="n"/>
      <c r="BE315" s="0" t="n"/>
      <c r="BF315" s="0" t="n"/>
      <c r="BG315" s="0" t="n"/>
      <c r="BH315" s="0" t="n"/>
      <c r="BI315" s="0" t="n"/>
      <c r="BJ315" s="0" t="n"/>
      <c r="BK315" s="0" t="n"/>
      <c r="BL315" s="0" t="n"/>
      <c r="BM315" s="0" t="n"/>
      <c r="BN315" s="0" t="n"/>
      <c r="BO315" s="0" t="n"/>
      <c r="BP315" s="0" t="n"/>
    </row>
    <row customFormat="true" hidden="false" ht="15" outlineLevel="0" r="316" s="206">
      <c r="A316" s="116" t="n">
        <f aca="false" ca="false" dt2D="false" dtr="false" t="normal">+A315+1</f>
        <v>297</v>
      </c>
      <c r="B316" s="117" t="n">
        <f aca="false" ca="false" dt2D="false" dtr="false" t="normal">+B315+1</f>
        <v>109</v>
      </c>
      <c r="C316" s="104" t="s">
        <v>111</v>
      </c>
      <c r="D316" s="117" t="s">
        <v>391</v>
      </c>
      <c r="E316" s="113" t="n">
        <f aca="false" ca="true" dt2D="false" dtr="false" t="normal">SUBTOTAL(9, F316:T316)</f>
        <v>3976195.3000000003</v>
      </c>
      <c r="F316" s="114" t="n"/>
      <c r="G316" s="114" t="n"/>
      <c r="H316" s="114" t="n"/>
      <c r="I316" s="114" t="n"/>
      <c r="J316" s="114" t="n"/>
      <c r="K316" s="114" t="n"/>
      <c r="L316" s="114" t="n"/>
      <c r="M316" s="114" t="n"/>
      <c r="N316" s="114" t="n"/>
      <c r="O316" s="114" t="n"/>
      <c r="P316" s="114" t="n"/>
      <c r="Q316" s="114" t="n">
        <v>3781253.22</v>
      </c>
      <c r="R316" s="114" t="n">
        <v>188942.08</v>
      </c>
      <c r="S316" s="114" t="n">
        <v>6000</v>
      </c>
      <c r="T316" s="115" t="n"/>
      <c r="U316" s="0" t="n"/>
      <c r="V316" s="0" t="n"/>
      <c r="W316" s="0" t="n"/>
      <c r="X316" s="0" t="n"/>
      <c r="Y316" s="0" t="n"/>
      <c r="Z316" s="0" t="n"/>
      <c r="AA316" s="0" t="n"/>
      <c r="AB316" s="0" t="n"/>
      <c r="AC316" s="0" t="n"/>
      <c r="AD316" s="0" t="n"/>
      <c r="AE316" s="0" t="n"/>
      <c r="AF316" s="0" t="n"/>
      <c r="AG316" s="0" t="n"/>
      <c r="AH316" s="0" t="n"/>
      <c r="AI316" s="0" t="n"/>
      <c r="AJ316" s="0" t="n"/>
      <c r="AK316" s="0" t="n"/>
      <c r="AL316" s="0" t="n"/>
      <c r="AM316" s="0" t="n"/>
      <c r="AN316" s="0" t="n"/>
      <c r="AO316" s="0" t="n"/>
      <c r="AP316" s="0" t="n"/>
      <c r="AQ316" s="0" t="n"/>
      <c r="AR316" s="0" t="n"/>
      <c r="AS316" s="0" t="n"/>
      <c r="AT316" s="0" t="n"/>
      <c r="AU316" s="0" t="n"/>
      <c r="AV316" s="0" t="n"/>
      <c r="AW316" s="0" t="n"/>
      <c r="AX316" s="0" t="n"/>
      <c r="AY316" s="0" t="n"/>
      <c r="AZ316" s="0" t="n"/>
      <c r="BA316" s="0" t="n"/>
      <c r="BB316" s="0" t="n"/>
      <c r="BC316" s="0" t="n"/>
      <c r="BD316" s="0" t="n"/>
      <c r="BE316" s="0" t="n"/>
      <c r="BF316" s="0" t="n"/>
      <c r="BG316" s="0" t="n"/>
      <c r="BH316" s="0" t="n"/>
      <c r="BI316" s="0" t="n"/>
      <c r="BJ316" s="0" t="n"/>
      <c r="BK316" s="0" t="n"/>
      <c r="BL316" s="0" t="n"/>
      <c r="BM316" s="0" t="n"/>
      <c r="BN316" s="0" t="n"/>
      <c r="BO316" s="0" t="n"/>
      <c r="BP316" s="0" t="n"/>
    </row>
    <row hidden="false" ht="15" outlineLevel="0" r="317">
      <c r="A317" s="116" t="n">
        <f aca="false" ca="false" dt2D="false" dtr="false" t="normal">+A316+1</f>
        <v>298</v>
      </c>
      <c r="B317" s="117" t="n">
        <f aca="false" ca="false" dt2D="false" dtr="false" t="normal">+B316+1</f>
        <v>110</v>
      </c>
      <c r="C317" s="104" t="s">
        <v>111</v>
      </c>
      <c r="D317" s="117" t="s">
        <v>197</v>
      </c>
      <c r="E317" s="113" t="n">
        <f aca="false" ca="true" dt2D="false" dtr="false" t="normal">SUBTOTAL(9, F317:T317)</f>
        <v>14411004.84</v>
      </c>
      <c r="F317" s="114" t="n"/>
      <c r="G317" s="114" t="n"/>
      <c r="H317" s="114" t="n">
        <v>3542032.19</v>
      </c>
      <c r="I317" s="114" t="n"/>
      <c r="J317" s="114" t="n"/>
      <c r="K317" s="114" t="n"/>
      <c r="L317" s="114" t="n"/>
      <c r="M317" s="114" t="n">
        <v>0</v>
      </c>
      <c r="N317" s="114" t="n">
        <v>10714681.14</v>
      </c>
      <c r="O317" s="114" t="n">
        <v>0</v>
      </c>
      <c r="P317" s="114" t="n"/>
      <c r="Q317" s="114" t="n"/>
      <c r="R317" s="114" t="n"/>
      <c r="S317" s="114" t="n"/>
      <c r="T317" s="115" t="n">
        <f aca="false" ca="false" dt2D="false" dtr="false" t="normal">39596.34+114695.17</f>
        <v>154291.51</v>
      </c>
      <c r="U317" s="0" t="n"/>
      <c r="V317" s="0" t="n"/>
      <c r="W317" s="0" t="n"/>
      <c r="X317" s="0" t="n"/>
      <c r="Y317" s="0" t="n"/>
      <c r="Z317" s="0" t="n"/>
      <c r="AA317" s="0" t="n"/>
      <c r="AB317" s="0" t="n"/>
      <c r="AC317" s="0" t="n"/>
      <c r="AD317" s="0" t="n"/>
      <c r="AE317" s="0" t="n"/>
      <c r="AF317" s="0" t="n"/>
      <c r="AG317" s="0" t="n"/>
      <c r="AH317" s="0" t="n"/>
      <c r="AI317" s="0" t="n"/>
      <c r="AJ317" s="0" t="n"/>
      <c r="AK317" s="0" t="n"/>
      <c r="AL317" s="0" t="n"/>
      <c r="AM317" s="0" t="n"/>
      <c r="AN317" s="0" t="n"/>
      <c r="AO317" s="0" t="n"/>
      <c r="AP317" s="0" t="n"/>
      <c r="AQ317" s="0" t="n"/>
      <c r="AR317" s="0" t="n"/>
      <c r="AS317" s="0" t="n"/>
      <c r="AT317" s="0" t="n"/>
      <c r="AU317" s="0" t="n"/>
      <c r="AV317" s="0" t="n"/>
      <c r="AW317" s="0" t="n"/>
      <c r="AX317" s="0" t="n"/>
      <c r="AY317" s="0" t="n"/>
      <c r="AZ317" s="0" t="n"/>
      <c r="BA317" s="0" t="n"/>
      <c r="BB317" s="0" t="n"/>
      <c r="BC317" s="0" t="n"/>
      <c r="BD317" s="0" t="n"/>
      <c r="BE317" s="0" t="n"/>
      <c r="BF317" s="0" t="n"/>
      <c r="BG317" s="0" t="n"/>
      <c r="BH317" s="0" t="n"/>
      <c r="BI317" s="0" t="n"/>
      <c r="BJ317" s="0" t="n"/>
      <c r="BK317" s="0" t="n"/>
      <c r="BL317" s="0" t="n"/>
      <c r="BM317" s="0" t="n"/>
      <c r="BN317" s="0" t="n"/>
      <c r="BO317" s="0" t="n"/>
      <c r="BP317" s="0" t="n"/>
    </row>
    <row hidden="false" ht="15" outlineLevel="0" r="318">
      <c r="A318" s="116" t="n">
        <f aca="false" ca="false" dt2D="false" dtr="false" t="normal">+A317+1</f>
        <v>299</v>
      </c>
      <c r="B318" s="117" t="n">
        <f aca="false" ca="false" dt2D="false" dtr="false" t="normal">+B317+1</f>
        <v>111</v>
      </c>
      <c r="C318" s="104" t="s">
        <v>111</v>
      </c>
      <c r="D318" s="117" t="s">
        <v>392</v>
      </c>
      <c r="E318" s="186" t="n">
        <f aca="false" ca="true" dt2D="false" dtr="false" t="normal">SUBTOTAL(9, F318:T318)</f>
        <v>41231126.86</v>
      </c>
      <c r="F318" s="114" t="n">
        <v>10074980.95</v>
      </c>
      <c r="G318" s="114" t="n">
        <v>4483956.54</v>
      </c>
      <c r="H318" s="114" t="n">
        <v>3411282.04</v>
      </c>
      <c r="I318" s="114" t="n">
        <v>5243801.69</v>
      </c>
      <c r="J318" s="114" t="n"/>
      <c r="K318" s="114" t="n"/>
      <c r="L318" s="114" t="n"/>
      <c r="M318" s="114" t="n">
        <v>0</v>
      </c>
      <c r="N318" s="114" t="n">
        <v>9153591.7</v>
      </c>
      <c r="O318" s="114" t="n">
        <v>0</v>
      </c>
      <c r="P318" s="114" t="n"/>
      <c r="Q318" s="114" t="n">
        <v>8863513.94</v>
      </c>
      <c r="R318" s="114" t="n"/>
      <c r="S318" s="114" t="n"/>
      <c r="T318" s="115" t="n"/>
      <c r="U318" s="0" t="n"/>
      <c r="V318" s="0" t="n"/>
      <c r="W318" s="0" t="n"/>
      <c r="X318" s="0" t="n"/>
      <c r="Y318" s="0" t="n"/>
      <c r="Z318" s="0" t="n"/>
      <c r="AA318" s="0" t="n"/>
      <c r="AB318" s="0" t="n"/>
      <c r="AC318" s="0" t="n"/>
      <c r="AD318" s="0" t="n"/>
      <c r="AE318" s="0" t="n"/>
      <c r="AF318" s="0" t="n"/>
      <c r="AG318" s="0" t="n"/>
      <c r="AH318" s="0" t="n"/>
      <c r="AI318" s="0" t="n"/>
      <c r="AJ318" s="0" t="n"/>
      <c r="AK318" s="0" t="n"/>
      <c r="AL318" s="0" t="n"/>
      <c r="AM318" s="0" t="n"/>
      <c r="AN318" s="0" t="n"/>
      <c r="AO318" s="0" t="n"/>
      <c r="AP318" s="0" t="n"/>
      <c r="AQ318" s="0" t="n"/>
      <c r="AR318" s="0" t="n"/>
      <c r="AS318" s="0" t="n"/>
      <c r="AT318" s="0" t="n"/>
      <c r="AU318" s="0" t="n"/>
      <c r="AV318" s="0" t="n"/>
      <c r="AW318" s="0" t="n"/>
      <c r="AX318" s="0" t="n"/>
      <c r="AY318" s="0" t="n"/>
      <c r="AZ318" s="0" t="n"/>
      <c r="BA318" s="0" t="n"/>
      <c r="BB318" s="0" t="n"/>
      <c r="BC318" s="0" t="n"/>
      <c r="BD318" s="0" t="n"/>
      <c r="BE318" s="0" t="n"/>
      <c r="BF318" s="0" t="n"/>
      <c r="BG318" s="0" t="n"/>
      <c r="BH318" s="0" t="n"/>
      <c r="BI318" s="0" t="n"/>
      <c r="BJ318" s="0" t="n"/>
      <c r="BK318" s="0" t="n"/>
      <c r="BL318" s="0" t="n"/>
      <c r="BM318" s="0" t="n"/>
      <c r="BN318" s="0" t="n"/>
      <c r="BO318" s="0" t="n"/>
      <c r="BP318" s="0" t="n"/>
    </row>
    <row hidden="false" ht="15" outlineLevel="0" r="319">
      <c r="A319" s="116" t="n">
        <f aca="false" ca="false" dt2D="false" dtr="false" t="normal">+A318+1</f>
        <v>300</v>
      </c>
      <c r="B319" s="117" t="n">
        <f aca="false" ca="false" dt2D="false" dtr="false" t="normal">+B318+1</f>
        <v>112</v>
      </c>
      <c r="C319" s="104" t="s">
        <v>111</v>
      </c>
      <c r="D319" s="117" t="s">
        <v>194</v>
      </c>
      <c r="E319" s="113" t="n">
        <f aca="false" ca="true" dt2D="false" dtr="false" t="normal">SUBTOTAL(9, F319:T319)</f>
        <v>2721466.55</v>
      </c>
      <c r="F319" s="114" t="n">
        <v>2721466.55</v>
      </c>
      <c r="G319" s="114" t="n"/>
      <c r="H319" s="114" t="n">
        <v>0</v>
      </c>
      <c r="I319" s="114" t="n"/>
      <c r="J319" s="114" t="n"/>
      <c r="K319" s="114" t="n"/>
      <c r="L319" s="114" t="n"/>
      <c r="M319" s="114" t="n">
        <v>0</v>
      </c>
      <c r="N319" s="114" t="n">
        <v>0</v>
      </c>
      <c r="O319" s="114" t="n">
        <v>0</v>
      </c>
      <c r="P319" s="114" t="n"/>
      <c r="Q319" s="114" t="n">
        <v>0</v>
      </c>
      <c r="R319" s="114" t="n"/>
      <c r="S319" s="114" t="n"/>
      <c r="T319" s="115" t="n"/>
      <c r="U319" s="0" t="n"/>
      <c r="V319" s="0" t="n"/>
      <c r="W319" s="0" t="n"/>
      <c r="X319" s="0" t="n"/>
      <c r="Y319" s="0" t="n"/>
      <c r="Z319" s="0" t="n"/>
      <c r="AA319" s="0" t="n"/>
      <c r="AB319" s="0" t="n"/>
      <c r="AC319" s="0" t="n"/>
      <c r="AD319" s="0" t="n"/>
      <c r="AE319" s="0" t="n"/>
      <c r="AF319" s="0" t="n"/>
      <c r="AG319" s="0" t="n"/>
      <c r="AH319" s="0" t="n"/>
      <c r="AI319" s="0" t="n"/>
      <c r="AJ319" s="0" t="n"/>
      <c r="AK319" s="0" t="n"/>
      <c r="AL319" s="0" t="n"/>
      <c r="AM319" s="0" t="n"/>
      <c r="AN319" s="0" t="n"/>
      <c r="AO319" s="0" t="n"/>
      <c r="AP319" s="0" t="n"/>
      <c r="AQ319" s="0" t="n"/>
      <c r="AR319" s="0" t="n"/>
      <c r="AS319" s="0" t="n"/>
      <c r="AT319" s="0" t="n"/>
      <c r="AU319" s="0" t="n"/>
      <c r="AV319" s="0" t="n"/>
      <c r="AW319" s="0" t="n"/>
      <c r="AX319" s="0" t="n"/>
      <c r="AY319" s="0" t="n"/>
      <c r="AZ319" s="0" t="n"/>
      <c r="BA319" s="0" t="n"/>
      <c r="BB319" s="0" t="n"/>
      <c r="BC319" s="0" t="n"/>
      <c r="BD319" s="0" t="n"/>
      <c r="BE319" s="0" t="n"/>
      <c r="BF319" s="0" t="n"/>
      <c r="BG319" s="0" t="n"/>
      <c r="BH319" s="0" t="n"/>
      <c r="BI319" s="0" t="n"/>
      <c r="BJ319" s="0" t="n"/>
      <c r="BK319" s="0" t="n"/>
      <c r="BL319" s="0" t="n"/>
      <c r="BM319" s="0" t="n"/>
      <c r="BN319" s="0" t="n"/>
      <c r="BO319" s="0" t="n"/>
      <c r="BP319" s="0" t="n"/>
    </row>
    <row hidden="false" ht="15" outlineLevel="0" r="320">
      <c r="A320" s="116" t="n">
        <f aca="false" ca="false" dt2D="false" dtr="false" t="normal">+A319+1</f>
        <v>301</v>
      </c>
      <c r="B320" s="117" t="n">
        <f aca="false" ca="false" dt2D="false" dtr="false" t="normal">+B319+1</f>
        <v>113</v>
      </c>
      <c r="C320" s="104" t="s">
        <v>111</v>
      </c>
      <c r="D320" s="117" t="s">
        <v>393</v>
      </c>
      <c r="E320" s="113" t="n">
        <f aca="false" ca="true" dt2D="false" dtr="false" t="normal">SUBTOTAL(9, F320:T320)</f>
        <v>740900.59</v>
      </c>
      <c r="F320" s="114" t="n"/>
      <c r="G320" s="114" t="n"/>
      <c r="H320" s="114" t="n">
        <v>740900.59</v>
      </c>
      <c r="I320" s="114" t="n"/>
      <c r="J320" s="114" t="n"/>
      <c r="K320" s="114" t="n"/>
      <c r="L320" s="114" t="n"/>
      <c r="M320" s="114" t="n">
        <v>0</v>
      </c>
      <c r="N320" s="114" t="n">
        <v>0</v>
      </c>
      <c r="O320" s="114" t="n">
        <v>0</v>
      </c>
      <c r="P320" s="114" t="n"/>
      <c r="Q320" s="114" t="n">
        <v>0</v>
      </c>
      <c r="R320" s="114" t="n"/>
      <c r="S320" s="114" t="n"/>
      <c r="T320" s="115" t="n"/>
      <c r="U320" s="0" t="n"/>
      <c r="V320" s="0" t="n"/>
      <c r="W320" s="0" t="n"/>
      <c r="X320" s="0" t="n"/>
      <c r="Y320" s="0" t="n"/>
      <c r="Z320" s="0" t="n"/>
      <c r="AA320" s="0" t="n"/>
      <c r="AB320" s="0" t="n"/>
      <c r="AC320" s="0" t="n"/>
      <c r="AD320" s="0" t="n"/>
      <c r="AE320" s="0" t="n"/>
      <c r="AF320" s="0" t="n"/>
      <c r="AG320" s="0" t="n"/>
      <c r="AH320" s="0" t="n"/>
      <c r="AI320" s="0" t="n"/>
      <c r="AJ320" s="0" t="n"/>
      <c r="AK320" s="0" t="n"/>
      <c r="AL320" s="0" t="n"/>
      <c r="AM320" s="0" t="n"/>
      <c r="AN320" s="0" t="n"/>
      <c r="AO320" s="0" t="n"/>
      <c r="AP320" s="0" t="n"/>
      <c r="AQ320" s="0" t="n"/>
      <c r="AR320" s="0" t="n"/>
      <c r="AS320" s="0" t="n"/>
      <c r="AT320" s="0" t="n"/>
      <c r="AU320" s="0" t="n"/>
      <c r="AV320" s="0" t="n"/>
      <c r="AW320" s="0" t="n"/>
      <c r="AX320" s="0" t="n"/>
      <c r="AY320" s="0" t="n"/>
      <c r="AZ320" s="0" t="n"/>
      <c r="BA320" s="0" t="n"/>
      <c r="BB320" s="0" t="n"/>
      <c r="BC320" s="0" t="n"/>
      <c r="BD320" s="0" t="n"/>
      <c r="BE320" s="0" t="n"/>
      <c r="BF320" s="0" t="n"/>
      <c r="BG320" s="0" t="n"/>
      <c r="BH320" s="0" t="n"/>
      <c r="BI320" s="0" t="n"/>
      <c r="BJ320" s="0" t="n"/>
      <c r="BK320" s="0" t="n"/>
      <c r="BL320" s="0" t="n"/>
      <c r="BM320" s="0" t="n"/>
      <c r="BN320" s="0" t="n"/>
      <c r="BO320" s="0" t="n"/>
      <c r="BP320" s="0" t="n"/>
    </row>
    <row hidden="false" ht="15" outlineLevel="0" r="321">
      <c r="A321" s="116" t="n">
        <f aca="false" ca="false" dt2D="false" dtr="false" t="normal">+A320+1</f>
        <v>302</v>
      </c>
      <c r="B321" s="117" t="n">
        <f aca="false" ca="false" dt2D="false" dtr="false" t="normal">+B320+1</f>
        <v>114</v>
      </c>
      <c r="C321" s="104" t="s">
        <v>111</v>
      </c>
      <c r="D321" s="117" t="s">
        <v>394</v>
      </c>
      <c r="E321" s="186" t="n">
        <f aca="false" ca="true" dt2D="false" dtr="false" t="normal">SUBTOTAL(9, F321:T321)</f>
        <v>9608691.68</v>
      </c>
      <c r="F321" s="114" t="n"/>
      <c r="G321" s="114" t="n"/>
      <c r="H321" s="114" t="n">
        <v>691534.88</v>
      </c>
      <c r="I321" s="114" t="n"/>
      <c r="J321" s="114" t="n"/>
      <c r="K321" s="114" t="n"/>
      <c r="L321" s="114" t="n"/>
      <c r="M321" s="114" t="n">
        <v>0</v>
      </c>
      <c r="N321" s="114" t="n">
        <v>4297021.2</v>
      </c>
      <c r="O321" s="114" t="n">
        <v>0</v>
      </c>
      <c r="P321" s="114" t="n">
        <v>4620135.6</v>
      </c>
      <c r="Q321" s="114" t="n"/>
      <c r="R321" s="114" t="n"/>
      <c r="S321" s="114" t="n"/>
      <c r="T321" s="115" t="n"/>
      <c r="U321" s="0" t="n"/>
      <c r="V321" s="0" t="n"/>
      <c r="W321" s="0" t="n"/>
      <c r="X321" s="0" t="n"/>
      <c r="Y321" s="0" t="n"/>
      <c r="Z321" s="0" t="n"/>
      <c r="AA321" s="0" t="n"/>
      <c r="AB321" s="0" t="n"/>
      <c r="AC321" s="0" t="n"/>
      <c r="AD321" s="0" t="n"/>
      <c r="AE321" s="0" t="n"/>
      <c r="AF321" s="0" t="n"/>
      <c r="AG321" s="0" t="n"/>
      <c r="AH321" s="0" t="n"/>
      <c r="AI321" s="0" t="n"/>
      <c r="AJ321" s="0" t="n"/>
      <c r="AK321" s="0" t="n"/>
      <c r="AL321" s="0" t="n"/>
      <c r="AM321" s="0" t="n"/>
      <c r="AN321" s="0" t="n"/>
      <c r="AO321" s="0" t="n"/>
      <c r="AP321" s="0" t="n"/>
      <c r="AQ321" s="0" t="n"/>
      <c r="AR321" s="0" t="n"/>
      <c r="AS321" s="0" t="n"/>
      <c r="AT321" s="0" t="n"/>
      <c r="AU321" s="0" t="n"/>
      <c r="AV321" s="0" t="n"/>
      <c r="AW321" s="0" t="n"/>
      <c r="AX321" s="0" t="n"/>
      <c r="AY321" s="0" t="n"/>
      <c r="AZ321" s="0" t="n"/>
      <c r="BA321" s="0" t="n"/>
      <c r="BB321" s="0" t="n"/>
      <c r="BC321" s="0" t="n"/>
      <c r="BD321" s="0" t="n"/>
      <c r="BE321" s="0" t="n"/>
      <c r="BF321" s="0" t="n"/>
      <c r="BG321" s="0" t="n"/>
      <c r="BH321" s="0" t="n"/>
      <c r="BI321" s="0" t="n"/>
      <c r="BJ321" s="0" t="n"/>
      <c r="BK321" s="0" t="n"/>
      <c r="BL321" s="0" t="n"/>
      <c r="BM321" s="0" t="n"/>
      <c r="BN321" s="0" t="n"/>
      <c r="BO321" s="0" t="n"/>
      <c r="BP321" s="0" t="n"/>
    </row>
    <row hidden="false" ht="15" outlineLevel="0" r="322">
      <c r="A322" s="116" t="n">
        <f aca="false" ca="false" dt2D="false" dtr="false" t="normal">+A321+1</f>
        <v>303</v>
      </c>
      <c r="B322" s="117" t="n">
        <f aca="false" ca="false" dt2D="false" dtr="false" t="normal">+B321+1</f>
        <v>115</v>
      </c>
      <c r="C322" s="104" t="s">
        <v>111</v>
      </c>
      <c r="D322" s="117" t="s">
        <v>395</v>
      </c>
      <c r="E322" s="186" t="n">
        <f aca="false" ca="true" dt2D="false" dtr="false" t="normal">SUBTOTAL(9, F322:T322)</f>
        <v>9943011.63</v>
      </c>
      <c r="F322" s="114" t="n">
        <v>5602096.16</v>
      </c>
      <c r="G322" s="114" t="n"/>
      <c r="H322" s="114" t="n">
        <v>2119328.04</v>
      </c>
      <c r="I322" s="114" t="n">
        <v>2021455.51</v>
      </c>
      <c r="J322" s="114" t="n"/>
      <c r="K322" s="114" t="n"/>
      <c r="L322" s="114" t="n"/>
      <c r="M322" s="114" t="n">
        <v>0</v>
      </c>
      <c r="N322" s="114" t="n">
        <v>0</v>
      </c>
      <c r="O322" s="114" t="n">
        <v>0</v>
      </c>
      <c r="P322" s="114" t="n">
        <v>0</v>
      </c>
      <c r="Q322" s="114" t="n">
        <v>0</v>
      </c>
      <c r="R322" s="114" t="n">
        <v>75973.29</v>
      </c>
      <c r="S322" s="114" t="n">
        <v>18000</v>
      </c>
      <c r="T322" s="115" t="n">
        <f aca="false" ca="false" dt2D="false" dtr="false" t="normal">57091.46+25343.66+23723.51</f>
        <v>106158.62999999999</v>
      </c>
      <c r="U322" s="0" t="n"/>
      <c r="V322" s="0" t="n"/>
      <c r="W322" s="0" t="n"/>
      <c r="X322" s="0" t="n"/>
      <c r="Y322" s="0" t="n"/>
      <c r="Z322" s="0" t="n"/>
      <c r="AA322" s="0" t="n"/>
      <c r="AB322" s="0" t="n"/>
      <c r="AC322" s="0" t="n"/>
      <c r="AD322" s="0" t="n"/>
      <c r="AE322" s="0" t="n"/>
      <c r="AF322" s="0" t="n"/>
      <c r="AG322" s="0" t="n"/>
      <c r="AH322" s="0" t="n"/>
      <c r="AI322" s="0" t="n"/>
      <c r="AJ322" s="0" t="n"/>
      <c r="AK322" s="0" t="n"/>
      <c r="AL322" s="0" t="n"/>
      <c r="AM322" s="0" t="n"/>
      <c r="AN322" s="0" t="n"/>
      <c r="AO322" s="0" t="n"/>
      <c r="AP322" s="0" t="n"/>
      <c r="AQ322" s="0" t="n"/>
      <c r="AR322" s="0" t="n"/>
      <c r="AS322" s="0" t="n"/>
      <c r="AT322" s="0" t="n"/>
      <c r="AU322" s="0" t="n"/>
      <c r="AV322" s="0" t="n"/>
      <c r="AW322" s="0" t="n"/>
      <c r="AX322" s="0" t="n"/>
      <c r="AY322" s="0" t="n"/>
      <c r="AZ322" s="0" t="n"/>
      <c r="BA322" s="0" t="n"/>
      <c r="BB322" s="0" t="n"/>
      <c r="BC322" s="0" t="n"/>
      <c r="BD322" s="0" t="n"/>
      <c r="BE322" s="0" t="n"/>
      <c r="BF322" s="0" t="n"/>
      <c r="BG322" s="0" t="n"/>
      <c r="BH322" s="0" t="n"/>
      <c r="BI322" s="0" t="n"/>
      <c r="BJ322" s="0" t="n"/>
      <c r="BK322" s="0" t="n"/>
      <c r="BL322" s="0" t="n"/>
      <c r="BM322" s="0" t="n"/>
      <c r="BN322" s="0" t="n"/>
      <c r="BO322" s="0" t="n"/>
      <c r="BP322" s="0" t="n"/>
    </row>
    <row hidden="false" ht="15" outlineLevel="0" r="323">
      <c r="A323" s="116" t="n">
        <f aca="false" ca="false" dt2D="false" dtr="false" t="normal">+A322+1</f>
        <v>304</v>
      </c>
      <c r="B323" s="117" t="n">
        <f aca="false" ca="false" dt2D="false" dtr="false" t="normal">+B322+1</f>
        <v>116</v>
      </c>
      <c r="C323" s="104" t="s">
        <v>396</v>
      </c>
      <c r="D323" s="117" t="s">
        <v>397</v>
      </c>
      <c r="E323" s="113" t="n">
        <f aca="false" ca="false" dt2D="false" dtr="false" t="normal">SUM(F323:T323)</f>
        <v>4371808.87</v>
      </c>
      <c r="F323" s="117" t="n"/>
      <c r="G323" s="114" t="n"/>
      <c r="H323" s="114" t="n"/>
      <c r="I323" s="114" t="n"/>
      <c r="J323" s="114" t="n"/>
      <c r="K323" s="114" t="n"/>
      <c r="L323" s="114" t="n"/>
      <c r="M323" s="114" t="n"/>
      <c r="N323" s="114" t="n"/>
      <c r="O323" s="114" t="n"/>
      <c r="P323" s="114" t="n">
        <v>4363808.87</v>
      </c>
      <c r="Q323" s="114" t="n"/>
      <c r="R323" s="114" t="n"/>
      <c r="S323" s="114" t="n">
        <v>8000</v>
      </c>
      <c r="T323" s="115" t="n"/>
      <c r="U323" s="0" t="n"/>
      <c r="V323" s="0" t="n"/>
      <c r="W323" s="0" t="n"/>
      <c r="X323" s="0" t="n"/>
      <c r="Y323" s="0" t="n"/>
      <c r="Z323" s="0" t="n"/>
      <c r="AA323" s="0" t="n"/>
      <c r="AB323" s="0" t="n"/>
      <c r="AC323" s="0" t="n"/>
      <c r="AD323" s="0" t="n"/>
      <c r="AE323" s="0" t="n"/>
      <c r="AF323" s="0" t="n"/>
      <c r="AG323" s="0" t="n"/>
      <c r="AH323" s="0" t="n"/>
      <c r="AI323" s="0" t="n"/>
      <c r="AJ323" s="0" t="n"/>
      <c r="AK323" s="0" t="n"/>
      <c r="AL323" s="0" t="n"/>
      <c r="AM323" s="0" t="n"/>
      <c r="AN323" s="0" t="n"/>
      <c r="AO323" s="0" t="n"/>
      <c r="AP323" s="0" t="n"/>
      <c r="AQ323" s="0" t="n"/>
      <c r="AR323" s="0" t="n"/>
      <c r="AS323" s="0" t="n"/>
      <c r="AT323" s="0" t="n"/>
      <c r="AU323" s="0" t="n"/>
      <c r="AV323" s="0" t="n"/>
      <c r="AW323" s="0" t="n"/>
      <c r="AX323" s="0" t="n"/>
      <c r="AY323" s="0" t="n"/>
      <c r="AZ323" s="0" t="n"/>
      <c r="BA323" s="0" t="n"/>
      <c r="BB323" s="0" t="n"/>
      <c r="BC323" s="0" t="n"/>
      <c r="BD323" s="0" t="n"/>
      <c r="BE323" s="0" t="n"/>
      <c r="BF323" s="0" t="n"/>
      <c r="BG323" s="0" t="n"/>
      <c r="BH323" s="0" t="n"/>
      <c r="BI323" s="0" t="n"/>
      <c r="BJ323" s="0" t="n"/>
      <c r="BK323" s="0" t="n"/>
      <c r="BL323" s="0" t="n"/>
      <c r="BM323" s="0" t="n"/>
      <c r="BN323" s="0" t="n"/>
      <c r="BO323" s="0" t="n"/>
      <c r="BP323" s="0" t="n"/>
    </row>
    <row hidden="false" ht="15" outlineLevel="0" r="324">
      <c r="A324" s="116" t="n">
        <f aca="false" ca="false" dt2D="false" dtr="false" t="normal">+A323+1</f>
        <v>305</v>
      </c>
      <c r="B324" s="117" t="n">
        <f aca="false" ca="false" dt2D="false" dtr="false" t="normal">+B323+1</f>
        <v>117</v>
      </c>
      <c r="C324" s="104" t="s">
        <v>396</v>
      </c>
      <c r="D324" s="117" t="s">
        <v>398</v>
      </c>
      <c r="E324" s="113" t="n">
        <f aca="false" ca="false" dt2D="false" dtr="false" t="normal">SUM(F324:T324)</f>
        <v>4868835.68</v>
      </c>
      <c r="F324" s="117" t="n"/>
      <c r="G324" s="114" t="n"/>
      <c r="H324" s="114" t="n"/>
      <c r="I324" s="114" t="n"/>
      <c r="J324" s="114" t="n"/>
      <c r="K324" s="114" t="n"/>
      <c r="L324" s="114" t="n"/>
      <c r="M324" s="114" t="n"/>
      <c r="N324" s="114" t="n"/>
      <c r="O324" s="114" t="n"/>
      <c r="P324" s="114" t="n">
        <v>4860835.68</v>
      </c>
      <c r="Q324" s="114" t="n"/>
      <c r="R324" s="114" t="n"/>
      <c r="S324" s="114" t="n">
        <v>8000</v>
      </c>
      <c r="T324" s="115" t="n"/>
      <c r="U324" s="0" t="n"/>
      <c r="V324" s="0" t="n"/>
      <c r="W324" s="0" t="n"/>
      <c r="X324" s="0" t="n"/>
      <c r="Y324" s="0" t="n"/>
      <c r="Z324" s="0" t="n"/>
      <c r="AA324" s="0" t="n"/>
      <c r="AB324" s="0" t="n"/>
      <c r="AC324" s="0" t="n"/>
      <c r="AD324" s="0" t="n"/>
      <c r="AE324" s="0" t="n"/>
      <c r="AF324" s="0" t="n"/>
      <c r="AG324" s="0" t="n"/>
      <c r="AH324" s="0" t="n"/>
      <c r="AI324" s="0" t="n"/>
      <c r="AJ324" s="0" t="n"/>
      <c r="AK324" s="0" t="n"/>
      <c r="AL324" s="0" t="n"/>
      <c r="AM324" s="0" t="n"/>
      <c r="AN324" s="0" t="n"/>
      <c r="AO324" s="0" t="n"/>
      <c r="AP324" s="0" t="n"/>
      <c r="AQ324" s="0" t="n"/>
      <c r="AR324" s="0" t="n"/>
      <c r="AS324" s="0" t="n"/>
      <c r="AT324" s="0" t="n"/>
      <c r="AU324" s="0" t="n"/>
      <c r="AV324" s="0" t="n"/>
      <c r="AW324" s="0" t="n"/>
      <c r="AX324" s="0" t="n"/>
      <c r="AY324" s="0" t="n"/>
      <c r="AZ324" s="0" t="n"/>
      <c r="BA324" s="0" t="n"/>
      <c r="BB324" s="0" t="n"/>
      <c r="BC324" s="0" t="n"/>
      <c r="BD324" s="0" t="n"/>
      <c r="BE324" s="0" t="n"/>
      <c r="BF324" s="0" t="n"/>
      <c r="BG324" s="0" t="n"/>
      <c r="BH324" s="0" t="n"/>
      <c r="BI324" s="0" t="n"/>
      <c r="BJ324" s="0" t="n"/>
      <c r="BK324" s="0" t="n"/>
      <c r="BL324" s="0" t="n"/>
      <c r="BM324" s="0" t="n"/>
      <c r="BN324" s="0" t="n"/>
      <c r="BO324" s="0" t="n"/>
      <c r="BP324" s="0" t="n"/>
    </row>
    <row hidden="false" ht="15" outlineLevel="0" r="325">
      <c r="A325" s="116" t="n">
        <f aca="false" ca="false" dt2D="false" dtr="false" t="normal">+A324+1</f>
        <v>306</v>
      </c>
      <c r="B325" s="117" t="n">
        <f aca="false" ca="false" dt2D="false" dtr="false" t="normal">+B324+1</f>
        <v>118</v>
      </c>
      <c r="C325" s="104" t="s">
        <v>396</v>
      </c>
      <c r="D325" s="117" t="s">
        <v>399</v>
      </c>
      <c r="E325" s="113" t="n">
        <f aca="false" ca="false" dt2D="false" dtr="false" t="normal">SUM(F325:T325)</f>
        <v>4279157.95</v>
      </c>
      <c r="F325" s="117" t="n"/>
      <c r="G325" s="114" t="n"/>
      <c r="H325" s="114" t="n"/>
      <c r="I325" s="114" t="n"/>
      <c r="J325" s="114" t="n"/>
      <c r="K325" s="114" t="n"/>
      <c r="L325" s="114" t="n"/>
      <c r="M325" s="114" t="n"/>
      <c r="N325" s="114" t="n"/>
      <c r="O325" s="114" t="n"/>
      <c r="P325" s="114" t="n">
        <v>4274357.95</v>
      </c>
      <c r="Q325" s="114" t="n"/>
      <c r="R325" s="114" t="n"/>
      <c r="S325" s="114" t="n">
        <v>4800</v>
      </c>
      <c r="T325" s="115" t="n"/>
      <c r="U325" s="0" t="n"/>
      <c r="V325" s="0" t="n"/>
      <c r="W325" s="0" t="n"/>
      <c r="X325" s="0" t="n"/>
      <c r="Y325" s="0" t="n"/>
      <c r="Z325" s="0" t="n"/>
      <c r="AA325" s="0" t="n"/>
      <c r="AB325" s="0" t="n"/>
      <c r="AC325" s="0" t="n"/>
      <c r="AD325" s="0" t="n"/>
      <c r="AE325" s="0" t="n"/>
      <c r="AF325" s="0" t="n"/>
      <c r="AG325" s="0" t="n"/>
      <c r="AH325" s="0" t="n"/>
      <c r="AI325" s="0" t="n"/>
      <c r="AJ325" s="0" t="n"/>
      <c r="AK325" s="0" t="n"/>
      <c r="AL325" s="0" t="n"/>
      <c r="AM325" s="0" t="n"/>
      <c r="AN325" s="0" t="n"/>
      <c r="AO325" s="0" t="n"/>
      <c r="AP325" s="0" t="n"/>
      <c r="AQ325" s="0" t="n"/>
      <c r="AR325" s="0" t="n"/>
      <c r="AS325" s="0" t="n"/>
      <c r="AT325" s="0" t="n"/>
      <c r="AU325" s="0" t="n"/>
      <c r="AV325" s="0" t="n"/>
      <c r="AW325" s="0" t="n"/>
      <c r="AX325" s="0" t="n"/>
      <c r="AY325" s="0" t="n"/>
      <c r="AZ325" s="0" t="n"/>
      <c r="BA325" s="0" t="n"/>
      <c r="BB325" s="0" t="n"/>
      <c r="BC325" s="0" t="n"/>
      <c r="BD325" s="0" t="n"/>
      <c r="BE325" s="0" t="n"/>
      <c r="BF325" s="0" t="n"/>
      <c r="BG325" s="0" t="n"/>
      <c r="BH325" s="0" t="n"/>
      <c r="BI325" s="0" t="n"/>
      <c r="BJ325" s="0" t="n"/>
      <c r="BK325" s="0" t="n"/>
      <c r="BL325" s="0" t="n"/>
      <c r="BM325" s="0" t="n"/>
      <c r="BN325" s="0" t="n"/>
      <c r="BO325" s="0" t="n"/>
      <c r="BP325" s="0" t="n"/>
    </row>
    <row hidden="false" ht="15" outlineLevel="0" r="326">
      <c r="A326" s="116" t="n">
        <f aca="false" ca="false" dt2D="false" dtr="false" t="normal">+A325+1</f>
        <v>307</v>
      </c>
      <c r="B326" s="117" t="n">
        <f aca="false" ca="false" dt2D="false" dtr="false" t="normal">+B325+1</f>
        <v>119</v>
      </c>
      <c r="C326" s="104" t="s">
        <v>207</v>
      </c>
      <c r="D326" s="117" t="s">
        <v>401</v>
      </c>
      <c r="E326" s="113" t="n">
        <f aca="false" ca="true" dt2D="false" dtr="false" t="normal">SUBTOTAL(9, F326:T326)</f>
        <v>3709381.2</v>
      </c>
      <c r="F326" s="114" t="n">
        <v>0</v>
      </c>
      <c r="G326" s="114" t="n">
        <v>0</v>
      </c>
      <c r="H326" s="114" t="n">
        <v>0</v>
      </c>
      <c r="I326" s="114" t="n">
        <v>0</v>
      </c>
      <c r="J326" s="114" t="n">
        <v>0</v>
      </c>
      <c r="K326" s="114" t="n"/>
      <c r="L326" s="114" t="n"/>
      <c r="M326" s="114" t="n">
        <v>0</v>
      </c>
      <c r="N326" s="114" t="n">
        <v>0</v>
      </c>
      <c r="O326" s="114" t="n">
        <v>0</v>
      </c>
      <c r="P326" s="114" t="n">
        <v>3647660.37</v>
      </c>
      <c r="Q326" s="114" t="n">
        <v>0</v>
      </c>
      <c r="R326" s="114" t="n">
        <v>37720.83</v>
      </c>
      <c r="S326" s="114" t="n">
        <v>24000</v>
      </c>
      <c r="T326" s="115" t="n"/>
      <c r="U326" s="0" t="n"/>
      <c r="V326" s="0" t="n"/>
      <c r="W326" s="0" t="n"/>
      <c r="X326" s="0" t="n"/>
      <c r="Y326" s="0" t="n"/>
      <c r="Z326" s="0" t="n"/>
      <c r="AA326" s="0" t="n"/>
      <c r="AB326" s="0" t="n"/>
      <c r="AC326" s="0" t="n"/>
      <c r="AD326" s="0" t="n"/>
      <c r="AE326" s="0" t="n"/>
      <c r="AF326" s="0" t="n"/>
      <c r="AG326" s="0" t="n"/>
      <c r="AH326" s="0" t="n"/>
      <c r="AI326" s="0" t="n"/>
      <c r="AJ326" s="0" t="n"/>
      <c r="AK326" s="0" t="n"/>
      <c r="AL326" s="0" t="n"/>
      <c r="AM326" s="0" t="n"/>
      <c r="AN326" s="0" t="n"/>
      <c r="AO326" s="0" t="n"/>
      <c r="AP326" s="0" t="n"/>
      <c r="AQ326" s="0" t="n"/>
      <c r="AR326" s="0" t="n"/>
      <c r="AS326" s="0" t="n"/>
      <c r="AT326" s="0" t="n"/>
      <c r="AU326" s="0" t="n"/>
      <c r="AV326" s="0" t="n"/>
      <c r="AW326" s="0" t="n"/>
      <c r="AX326" s="0" t="n"/>
      <c r="AY326" s="0" t="n"/>
      <c r="AZ326" s="0" t="n"/>
      <c r="BA326" s="0" t="n"/>
      <c r="BB326" s="0" t="n"/>
      <c r="BC326" s="0" t="n"/>
      <c r="BD326" s="0" t="n"/>
      <c r="BE326" s="0" t="n"/>
      <c r="BF326" s="0" t="n"/>
      <c r="BG326" s="0" t="n"/>
      <c r="BH326" s="0" t="n"/>
      <c r="BI326" s="0" t="n"/>
      <c r="BJ326" s="0" t="n"/>
      <c r="BK326" s="0" t="n"/>
      <c r="BL326" s="0" t="n"/>
      <c r="BM326" s="0" t="n"/>
      <c r="BN326" s="0" t="n"/>
      <c r="BO326" s="0" t="n"/>
      <c r="BP326" s="0" t="n"/>
    </row>
    <row hidden="false" ht="15" outlineLevel="0" r="327">
      <c r="A327" s="116" t="n">
        <f aca="false" ca="false" dt2D="false" dtr="false" t="normal">+A326+1</f>
        <v>308</v>
      </c>
      <c r="B327" s="117" t="n">
        <f aca="false" ca="false" dt2D="false" dtr="false" t="normal">+B326+1</f>
        <v>120</v>
      </c>
      <c r="C327" s="104" t="s">
        <v>209</v>
      </c>
      <c r="D327" s="117" t="s">
        <v>402</v>
      </c>
      <c r="E327" s="113" t="n">
        <f aca="false" ca="true" dt2D="false" dtr="false" t="normal">SUBTOTAL(9, F327:T327)</f>
        <v>8466256.14</v>
      </c>
      <c r="F327" s="114" t="n">
        <v>0</v>
      </c>
      <c r="G327" s="114" t="n">
        <v>0</v>
      </c>
      <c r="H327" s="114" t="n">
        <v>0</v>
      </c>
      <c r="I327" s="114" t="n">
        <v>0</v>
      </c>
      <c r="J327" s="114" t="n">
        <v>0</v>
      </c>
      <c r="K327" s="114" t="n"/>
      <c r="L327" s="114" t="n"/>
      <c r="M327" s="114" t="n">
        <v>0</v>
      </c>
      <c r="N327" s="114" t="n">
        <v>8397877.99</v>
      </c>
      <c r="O327" s="114" t="n">
        <v>0</v>
      </c>
      <c r="P327" s="114" t="n">
        <v>0</v>
      </c>
      <c r="Q327" s="114" t="n">
        <v>0</v>
      </c>
      <c r="R327" s="114" t="n">
        <v>44378.15</v>
      </c>
      <c r="S327" s="114" t="n">
        <v>24000</v>
      </c>
      <c r="T327" s="115" t="n"/>
      <c r="U327" s="0" t="n"/>
      <c r="V327" s="0" t="n"/>
      <c r="W327" s="0" t="n"/>
      <c r="X327" s="0" t="n"/>
      <c r="Y327" s="0" t="n"/>
      <c r="Z327" s="0" t="n"/>
      <c r="AA327" s="0" t="n"/>
      <c r="AB327" s="0" t="n"/>
      <c r="AC327" s="0" t="n"/>
      <c r="AD327" s="0" t="n"/>
      <c r="AE327" s="0" t="n"/>
      <c r="AF327" s="0" t="n"/>
      <c r="AG327" s="0" t="n"/>
      <c r="AH327" s="0" t="n"/>
      <c r="AI327" s="0" t="n"/>
      <c r="AJ327" s="0" t="n"/>
      <c r="AK327" s="0" t="n"/>
      <c r="AL327" s="0" t="n"/>
      <c r="AM327" s="0" t="n"/>
      <c r="AN327" s="0" t="n"/>
      <c r="AO327" s="0" t="n"/>
      <c r="AP327" s="0" t="n"/>
      <c r="AQ327" s="0" t="n"/>
      <c r="AR327" s="0" t="n"/>
      <c r="AS327" s="0" t="n"/>
      <c r="AT327" s="0" t="n"/>
      <c r="AU327" s="0" t="n"/>
      <c r="AV327" s="0" t="n"/>
      <c r="AW327" s="0" t="n"/>
      <c r="AX327" s="0" t="n"/>
      <c r="AY327" s="0" t="n"/>
      <c r="AZ327" s="0" t="n"/>
      <c r="BA327" s="0" t="n"/>
      <c r="BB327" s="0" t="n"/>
      <c r="BC327" s="0" t="n"/>
      <c r="BD327" s="0" t="n"/>
      <c r="BE327" s="0" t="n"/>
      <c r="BF327" s="0" t="n"/>
      <c r="BG327" s="0" t="n"/>
      <c r="BH327" s="0" t="n"/>
      <c r="BI327" s="0" t="n"/>
      <c r="BJ327" s="0" t="n"/>
      <c r="BK327" s="0" t="n"/>
      <c r="BL327" s="0" t="n"/>
      <c r="BM327" s="0" t="n"/>
      <c r="BN327" s="0" t="n"/>
      <c r="BO327" s="0" t="n"/>
      <c r="BP327" s="0" t="n"/>
    </row>
    <row hidden="false" ht="15" outlineLevel="0" r="328">
      <c r="A328" s="116" t="n">
        <f aca="false" ca="false" dt2D="false" dtr="false" t="normal">+A327+1</f>
        <v>309</v>
      </c>
      <c r="B328" s="117" t="n">
        <f aca="false" ca="false" dt2D="false" dtr="false" t="normal">+B327+1</f>
        <v>121</v>
      </c>
      <c r="C328" s="104" t="s">
        <v>209</v>
      </c>
      <c r="D328" s="117" t="s">
        <v>403</v>
      </c>
      <c r="E328" s="113" t="n">
        <f aca="false" ca="true" dt2D="false" dtr="false" t="normal">SUBTOTAL(9, F328:T328)</f>
        <v>5347241.11</v>
      </c>
      <c r="F328" s="114" t="n">
        <v>0</v>
      </c>
      <c r="G328" s="114" t="n">
        <v>0</v>
      </c>
      <c r="H328" s="114" t="n">
        <v>0</v>
      </c>
      <c r="I328" s="114" t="n">
        <v>0</v>
      </c>
      <c r="J328" s="114" t="n">
        <v>0</v>
      </c>
      <c r="K328" s="114" t="n"/>
      <c r="L328" s="114" t="n"/>
      <c r="M328" s="114" t="n">
        <v>0</v>
      </c>
      <c r="N328" s="114" t="n">
        <v>5277865.75</v>
      </c>
      <c r="O328" s="114" t="n">
        <v>0</v>
      </c>
      <c r="P328" s="114" t="n">
        <v>0</v>
      </c>
      <c r="Q328" s="114" t="n">
        <v>0</v>
      </c>
      <c r="R328" s="114" t="n">
        <v>45375.36</v>
      </c>
      <c r="S328" s="114" t="n">
        <v>24000</v>
      </c>
      <c r="T328" s="115" t="n"/>
      <c r="U328" s="0" t="n"/>
      <c r="V328" s="0" t="n"/>
      <c r="W328" s="0" t="n"/>
      <c r="X328" s="0" t="n"/>
      <c r="Y328" s="0" t="n"/>
      <c r="Z328" s="0" t="n"/>
      <c r="AA328" s="0" t="n"/>
      <c r="AB328" s="0" t="n"/>
      <c r="AC328" s="0" t="n"/>
      <c r="AD328" s="0" t="n"/>
      <c r="AE328" s="0" t="n"/>
      <c r="AF328" s="0" t="n"/>
      <c r="AG328" s="0" t="n"/>
      <c r="AH328" s="0" t="n"/>
      <c r="AI328" s="0" t="n"/>
      <c r="AJ328" s="0" t="n"/>
      <c r="AK328" s="0" t="n"/>
      <c r="AL328" s="0" t="n"/>
      <c r="AM328" s="0" t="n"/>
      <c r="AN328" s="0" t="n"/>
      <c r="AO328" s="0" t="n"/>
      <c r="AP328" s="0" t="n"/>
      <c r="AQ328" s="0" t="n"/>
      <c r="AR328" s="0" t="n"/>
      <c r="AS328" s="0" t="n"/>
      <c r="AT328" s="0" t="n"/>
      <c r="AU328" s="0" t="n"/>
      <c r="AV328" s="0" t="n"/>
      <c r="AW328" s="0" t="n"/>
      <c r="AX328" s="0" t="n"/>
      <c r="AY328" s="0" t="n"/>
      <c r="AZ328" s="0" t="n"/>
      <c r="BA328" s="0" t="n"/>
      <c r="BB328" s="0" t="n"/>
      <c r="BC328" s="0" t="n"/>
      <c r="BD328" s="0" t="n"/>
      <c r="BE328" s="0" t="n"/>
      <c r="BF328" s="0" t="n"/>
      <c r="BG328" s="0" t="n"/>
      <c r="BH328" s="0" t="n"/>
      <c r="BI328" s="0" t="n"/>
      <c r="BJ328" s="0" t="n"/>
      <c r="BK328" s="0" t="n"/>
      <c r="BL328" s="0" t="n"/>
      <c r="BM328" s="0" t="n"/>
      <c r="BN328" s="0" t="n"/>
      <c r="BO328" s="0" t="n"/>
      <c r="BP328" s="0" t="n"/>
    </row>
    <row hidden="false" ht="15" outlineLevel="0" r="329">
      <c r="A329" s="116" t="n">
        <f aca="false" ca="false" dt2D="false" dtr="false" t="normal">+A328+1</f>
        <v>310</v>
      </c>
      <c r="B329" s="117" t="n">
        <f aca="false" ca="false" dt2D="false" dtr="false" t="normal">+B328+1</f>
        <v>122</v>
      </c>
      <c r="C329" s="104" t="s">
        <v>209</v>
      </c>
      <c r="D329" s="117" t="s">
        <v>210</v>
      </c>
      <c r="E329" s="113" t="n">
        <f aca="false" ca="true" dt2D="false" dtr="false" t="normal">SUBTOTAL(9, F329:T329)</f>
        <v>2289454.43</v>
      </c>
      <c r="F329" s="114" t="n"/>
      <c r="G329" s="114" t="n"/>
      <c r="H329" s="114" t="n">
        <v>0</v>
      </c>
      <c r="I329" s="114" t="n"/>
      <c r="J329" s="114" t="n"/>
      <c r="K329" s="114" t="n"/>
      <c r="L329" s="114" t="n"/>
      <c r="M329" s="114" t="n">
        <v>0</v>
      </c>
      <c r="N329" s="114" t="n">
        <v>0</v>
      </c>
      <c r="O329" s="114" t="n">
        <v>2289454.43</v>
      </c>
      <c r="P329" s="114" t="n">
        <v>0</v>
      </c>
      <c r="Q329" s="114" t="n"/>
      <c r="R329" s="114" t="n"/>
      <c r="S329" s="114" t="n"/>
      <c r="T329" s="115" t="n"/>
      <c r="U329" s="0" t="n"/>
      <c r="V329" s="0" t="n"/>
      <c r="W329" s="0" t="n"/>
      <c r="X329" s="0" t="n"/>
      <c r="Y329" s="0" t="n"/>
      <c r="Z329" s="0" t="n"/>
      <c r="AA329" s="0" t="n"/>
      <c r="AB329" s="0" t="n"/>
      <c r="AC329" s="0" t="n"/>
      <c r="AD329" s="0" t="n"/>
      <c r="AE329" s="0" t="n"/>
      <c r="AF329" s="0" t="n"/>
      <c r="AG329" s="0" t="n"/>
      <c r="AH329" s="0" t="n"/>
      <c r="AI329" s="0" t="n"/>
      <c r="AJ329" s="0" t="n"/>
      <c r="AK329" s="0" t="n"/>
      <c r="AL329" s="0" t="n"/>
      <c r="AM329" s="0" t="n"/>
      <c r="AN329" s="0" t="n"/>
      <c r="AO329" s="0" t="n"/>
      <c r="AP329" s="0" t="n"/>
      <c r="AQ329" s="0" t="n"/>
      <c r="AR329" s="0" t="n"/>
      <c r="AS329" s="0" t="n"/>
      <c r="AT329" s="0" t="n"/>
      <c r="AU329" s="0" t="n"/>
      <c r="AV329" s="0" t="n"/>
      <c r="AW329" s="0" t="n"/>
      <c r="AX329" s="0" t="n"/>
      <c r="AY329" s="0" t="n"/>
      <c r="AZ329" s="0" t="n"/>
      <c r="BA329" s="0" t="n"/>
      <c r="BB329" s="0" t="n"/>
      <c r="BC329" s="0" t="n"/>
      <c r="BD329" s="0" t="n"/>
      <c r="BE329" s="0" t="n"/>
      <c r="BF329" s="0" t="n"/>
      <c r="BG329" s="0" t="n"/>
      <c r="BH329" s="0" t="n"/>
      <c r="BI329" s="0" t="n"/>
      <c r="BJ329" s="0" t="n"/>
      <c r="BK329" s="0" t="n"/>
      <c r="BL329" s="0" t="n"/>
      <c r="BM329" s="0" t="n"/>
      <c r="BN329" s="0" t="n"/>
      <c r="BO329" s="0" t="n"/>
      <c r="BP329" s="0" t="n"/>
    </row>
    <row customHeight="true" hidden="false" ht="13.5" outlineLevel="0" r="330">
      <c r="A330" s="116" t="n">
        <f aca="false" ca="false" dt2D="false" dtr="false" t="normal">+A329+1</f>
        <v>311</v>
      </c>
      <c r="B330" s="117" t="n">
        <f aca="false" ca="false" dt2D="false" dtr="false" t="normal">+B329+1</f>
        <v>123</v>
      </c>
      <c r="C330" s="104" t="s">
        <v>209</v>
      </c>
      <c r="D330" s="117" t="s">
        <v>212</v>
      </c>
      <c r="E330" s="113" t="n">
        <f aca="false" ca="true" dt2D="false" dtr="false" t="normal">SUBTOTAL(9, F330:T330)</f>
        <v>3010833.7</v>
      </c>
      <c r="F330" s="114" t="n"/>
      <c r="G330" s="114" t="n"/>
      <c r="H330" s="114" t="n">
        <v>0</v>
      </c>
      <c r="I330" s="114" t="n"/>
      <c r="J330" s="114" t="n"/>
      <c r="K330" s="114" t="n"/>
      <c r="L330" s="114" t="n"/>
      <c r="M330" s="114" t="n">
        <v>0</v>
      </c>
      <c r="N330" s="114" t="n">
        <v>0</v>
      </c>
      <c r="O330" s="114" t="n">
        <v>3010833.7</v>
      </c>
      <c r="P330" s="114" t="n">
        <v>0</v>
      </c>
      <c r="Q330" s="114" t="n"/>
      <c r="R330" s="114" t="n"/>
      <c r="S330" s="114" t="n"/>
      <c r="T330" s="115" t="n"/>
      <c r="U330" s="0" t="n"/>
      <c r="V330" s="0" t="n"/>
      <c r="W330" s="0" t="n"/>
      <c r="X330" s="0" t="n"/>
      <c r="Y330" s="0" t="n"/>
      <c r="Z330" s="0" t="n"/>
      <c r="AA330" s="0" t="n"/>
      <c r="AB330" s="0" t="n"/>
      <c r="AC330" s="0" t="n"/>
      <c r="AD330" s="0" t="n"/>
      <c r="AE330" s="0" t="n"/>
      <c r="AF330" s="0" t="n"/>
      <c r="AG330" s="0" t="n"/>
      <c r="AH330" s="0" t="n"/>
      <c r="AI330" s="0" t="n"/>
      <c r="AJ330" s="0" t="n"/>
      <c r="AK330" s="0" t="n"/>
      <c r="AL330" s="0" t="n"/>
      <c r="AM330" s="0" t="n"/>
      <c r="AN330" s="0" t="n"/>
      <c r="AO330" s="0" t="n"/>
      <c r="AP330" s="0" t="n"/>
      <c r="AQ330" s="0" t="n"/>
      <c r="AR330" s="0" t="n"/>
      <c r="AS330" s="0" t="n"/>
      <c r="AT330" s="0" t="n"/>
      <c r="AU330" s="0" t="n"/>
      <c r="AV330" s="0" t="n"/>
      <c r="AW330" s="0" t="n"/>
      <c r="AX330" s="0" t="n"/>
      <c r="AY330" s="0" t="n"/>
      <c r="AZ330" s="0" t="n"/>
      <c r="BA330" s="0" t="n"/>
      <c r="BB330" s="0" t="n"/>
      <c r="BC330" s="0" t="n"/>
      <c r="BD330" s="0" t="n"/>
      <c r="BE330" s="0" t="n"/>
      <c r="BF330" s="0" t="n"/>
      <c r="BG330" s="0" t="n"/>
      <c r="BH330" s="0" t="n"/>
      <c r="BI330" s="0" t="n"/>
      <c r="BJ330" s="0" t="n"/>
      <c r="BK330" s="0" t="n"/>
      <c r="BL330" s="0" t="n"/>
      <c r="BM330" s="0" t="n"/>
      <c r="BN330" s="0" t="n"/>
      <c r="BO330" s="0" t="n"/>
      <c r="BP330" s="0" t="n"/>
    </row>
    <row hidden="false" ht="15" outlineLevel="0" r="331">
      <c r="A331" s="116" t="n">
        <f aca="false" ca="false" dt2D="false" dtr="false" t="normal">+A330+1</f>
        <v>312</v>
      </c>
      <c r="B331" s="117" t="n">
        <f aca="false" ca="false" dt2D="false" dtr="false" t="normal">+B330+1</f>
        <v>124</v>
      </c>
      <c r="C331" s="104" t="s">
        <v>404</v>
      </c>
      <c r="D331" s="117" t="s">
        <v>405</v>
      </c>
      <c r="E331" s="113" t="n">
        <f aca="false" ca="true" dt2D="false" dtr="false" t="normal">SUBTOTAL(9, F331:T331)</f>
        <v>1652498.41</v>
      </c>
      <c r="F331" s="114" t="n">
        <v>0</v>
      </c>
      <c r="G331" s="114" t="n">
        <v>0</v>
      </c>
      <c r="H331" s="114" t="n">
        <v>1652498.41</v>
      </c>
      <c r="I331" s="114" t="n">
        <v>0</v>
      </c>
      <c r="J331" s="114" t="n">
        <v>0</v>
      </c>
      <c r="K331" s="114" t="n"/>
      <c r="L331" s="114" t="n"/>
      <c r="M331" s="114" t="n">
        <v>0</v>
      </c>
      <c r="N331" s="114" t="n">
        <v>0</v>
      </c>
      <c r="O331" s="114" t="n">
        <v>0</v>
      </c>
      <c r="P331" s="114" t="n">
        <v>0</v>
      </c>
      <c r="Q331" s="114" t="n">
        <v>0</v>
      </c>
      <c r="R331" s="114" t="n"/>
      <c r="S331" s="114" t="n"/>
      <c r="T331" s="115" t="n"/>
      <c r="U331" s="0" t="n"/>
      <c r="V331" s="0" t="n"/>
      <c r="W331" s="0" t="n"/>
      <c r="X331" s="0" t="n"/>
      <c r="Y331" s="0" t="n"/>
      <c r="Z331" s="0" t="n"/>
      <c r="AA331" s="0" t="n"/>
      <c r="AB331" s="0" t="n"/>
      <c r="AC331" s="0" t="n"/>
      <c r="AD331" s="0" t="n"/>
      <c r="AE331" s="0" t="n"/>
      <c r="AF331" s="0" t="n"/>
      <c r="AG331" s="0" t="n"/>
      <c r="AH331" s="0" t="n"/>
      <c r="AI331" s="0" t="n"/>
      <c r="AJ331" s="0" t="n"/>
      <c r="AK331" s="0" t="n"/>
      <c r="AL331" s="0" t="n"/>
      <c r="AM331" s="0" t="n"/>
      <c r="AN331" s="0" t="n"/>
      <c r="AO331" s="0" t="n"/>
      <c r="AP331" s="0" t="n"/>
      <c r="AQ331" s="0" t="n"/>
      <c r="AR331" s="0" t="n"/>
      <c r="AS331" s="0" t="n"/>
      <c r="AT331" s="0" t="n"/>
      <c r="AU331" s="0" t="n"/>
      <c r="AV331" s="0" t="n"/>
      <c r="AW331" s="0" t="n"/>
      <c r="AX331" s="0" t="n"/>
      <c r="AY331" s="0" t="n"/>
      <c r="AZ331" s="0" t="n"/>
      <c r="BA331" s="0" t="n"/>
      <c r="BB331" s="0" t="n"/>
      <c r="BC331" s="0" t="n"/>
      <c r="BD331" s="0" t="n"/>
      <c r="BE331" s="0" t="n"/>
      <c r="BF331" s="0" t="n"/>
      <c r="BG331" s="0" t="n"/>
      <c r="BH331" s="0" t="n"/>
      <c r="BI331" s="0" t="n"/>
      <c r="BJ331" s="0" t="n"/>
      <c r="BK331" s="0" t="n"/>
      <c r="BL331" s="0" t="n"/>
      <c r="BM331" s="0" t="n"/>
      <c r="BN331" s="0" t="n"/>
      <c r="BO331" s="0" t="n"/>
      <c r="BP331" s="0" t="n"/>
    </row>
    <row hidden="false" ht="15" outlineLevel="0" r="332">
      <c r="A332" s="116" t="n">
        <f aca="false" ca="false" dt2D="false" dtr="false" t="normal">+A331+1</f>
        <v>313</v>
      </c>
      <c r="B332" s="117" t="n">
        <f aca="false" ca="false" dt2D="false" dtr="false" t="normal">+B331+1</f>
        <v>125</v>
      </c>
      <c r="C332" s="104" t="s">
        <v>404</v>
      </c>
      <c r="D332" s="117" t="s">
        <v>406</v>
      </c>
      <c r="E332" s="113" t="n">
        <f aca="false" ca="true" dt2D="false" dtr="false" t="normal">SUBTOTAL(9, F332:T332)</f>
        <v>1424229.18</v>
      </c>
      <c r="F332" s="114" t="n">
        <v>0</v>
      </c>
      <c r="G332" s="114" t="n">
        <v>0</v>
      </c>
      <c r="H332" s="114" t="n">
        <v>1424229.18</v>
      </c>
      <c r="I332" s="114" t="n">
        <v>0</v>
      </c>
      <c r="J332" s="114" t="n">
        <v>0</v>
      </c>
      <c r="K332" s="114" t="n"/>
      <c r="L332" s="114" t="n"/>
      <c r="M332" s="114" t="n">
        <v>0</v>
      </c>
      <c r="N332" s="114" t="n">
        <v>0</v>
      </c>
      <c r="O332" s="114" t="n">
        <v>0</v>
      </c>
      <c r="P332" s="114" t="n">
        <v>0</v>
      </c>
      <c r="Q332" s="114" t="n">
        <v>0</v>
      </c>
      <c r="R332" s="114" t="n"/>
      <c r="S332" s="114" t="n"/>
      <c r="T332" s="115" t="n"/>
    </row>
    <row hidden="false" ht="15" outlineLevel="0" r="333">
      <c r="A333" s="116" t="n">
        <f aca="false" ca="false" dt2D="false" dtr="false" t="normal">+A332+1</f>
        <v>314</v>
      </c>
      <c r="B333" s="117" t="n">
        <f aca="false" ca="false" dt2D="false" dtr="false" t="normal">+B332+1</f>
        <v>126</v>
      </c>
      <c r="C333" s="104" t="s">
        <v>215</v>
      </c>
      <c r="D333" s="117" t="s">
        <v>216</v>
      </c>
      <c r="E333" s="113" t="n">
        <f aca="false" ca="true" dt2D="false" dtr="false" t="normal">SUBTOTAL(9, F333:T333)</f>
        <v>17277398.860000003</v>
      </c>
      <c r="F333" s="114" t="n">
        <v>5026597.23</v>
      </c>
      <c r="G333" s="114" t="n">
        <v>1761810.43</v>
      </c>
      <c r="H333" s="114" t="n">
        <v>2190965.3</v>
      </c>
      <c r="I333" s="114" t="n">
        <v>962343.08</v>
      </c>
      <c r="J333" s="114" t="n"/>
      <c r="K333" s="114" t="n"/>
      <c r="L333" s="114" t="n"/>
      <c r="M333" s="114" t="n"/>
      <c r="N333" s="114" t="n"/>
      <c r="O333" s="114" t="n">
        <v>0</v>
      </c>
      <c r="P333" s="114" t="n"/>
      <c r="Q333" s="114" t="n">
        <v>7229466.91</v>
      </c>
      <c r="R333" s="114" t="n"/>
      <c r="S333" s="114" t="n"/>
      <c r="T333" s="115" t="n">
        <f aca="false" ca="false" dt2D="false" dtr="false" t="normal">143369.99-37154.08</f>
        <v>106215.90999999999</v>
      </c>
    </row>
    <row hidden="false" ht="15" outlineLevel="0" r="334">
      <c r="A334" s="116" t="n">
        <f aca="false" ca="false" dt2D="false" dtr="false" t="normal">+A333+1</f>
        <v>315</v>
      </c>
      <c r="B334" s="117" t="n">
        <f aca="false" ca="false" dt2D="false" dtr="false" t="normal">+B333+1</f>
        <v>127</v>
      </c>
      <c r="C334" s="104" t="s">
        <v>217</v>
      </c>
      <c r="D334" s="117" t="s">
        <v>218</v>
      </c>
      <c r="E334" s="113" t="n">
        <f aca="false" ca="true" dt2D="false" dtr="false" t="normal">SUBTOTAL(9, F334:T334)</f>
        <v>17387080.56</v>
      </c>
      <c r="F334" s="114" t="n"/>
      <c r="G334" s="114" t="n"/>
      <c r="H334" s="114" t="n">
        <v>3897843.76</v>
      </c>
      <c r="I334" s="114" t="n"/>
      <c r="J334" s="114" t="n">
        <v>0</v>
      </c>
      <c r="K334" s="114" t="n"/>
      <c r="L334" s="114" t="n"/>
      <c r="M334" s="114" t="n">
        <v>0</v>
      </c>
      <c r="N334" s="114" t="n"/>
      <c r="O334" s="114" t="n">
        <v>0</v>
      </c>
      <c r="P334" s="114" t="n"/>
      <c r="Q334" s="114" t="n">
        <v>13397912.35</v>
      </c>
      <c r="R334" s="114" t="n"/>
      <c r="S334" s="114" t="n"/>
      <c r="T334" s="115" t="n">
        <v>91324.45</v>
      </c>
    </row>
    <row hidden="false" ht="15" outlineLevel="0" r="335">
      <c r="A335" s="116" t="n">
        <f aca="false" ca="false" dt2D="false" dtr="false" t="normal">+A334+1</f>
        <v>316</v>
      </c>
      <c r="B335" s="117" t="n">
        <f aca="false" ca="false" dt2D="false" dtr="false" t="normal">+B334+1</f>
        <v>128</v>
      </c>
      <c r="C335" s="104" t="s">
        <v>221</v>
      </c>
      <c r="D335" s="117" t="s">
        <v>409</v>
      </c>
      <c r="E335" s="186" t="n">
        <f aca="false" ca="true" dt2D="false" dtr="false" t="normal">SUBTOTAL(9, F335:T335)</f>
        <v>723055.9</v>
      </c>
      <c r="F335" s="114" t="n">
        <v>0</v>
      </c>
      <c r="G335" s="114" t="n">
        <v>0</v>
      </c>
      <c r="H335" s="114" t="n"/>
      <c r="I335" s="114" t="n">
        <v>0</v>
      </c>
      <c r="J335" s="114" t="n">
        <v>0</v>
      </c>
      <c r="K335" s="114" t="n"/>
      <c r="L335" s="114" t="n"/>
      <c r="M335" s="114" t="n">
        <v>0</v>
      </c>
      <c r="N335" s="114" t="n">
        <v>0</v>
      </c>
      <c r="O335" s="114" t="n"/>
      <c r="P335" s="114" t="n">
        <v>0</v>
      </c>
      <c r="Q335" s="114" t="n">
        <v>723055.9</v>
      </c>
      <c r="R335" s="114" t="n"/>
      <c r="S335" s="114" t="n"/>
      <c r="T335" s="115" t="n"/>
    </row>
    <row hidden="false" ht="15" outlineLevel="0" r="336">
      <c r="A336" s="116" t="n">
        <f aca="false" ca="false" dt2D="false" dtr="false" t="normal">+A335+1</f>
        <v>317</v>
      </c>
      <c r="B336" s="117" t="n">
        <f aca="false" ca="false" dt2D="false" dtr="false" t="normal">+B335+1</f>
        <v>129</v>
      </c>
      <c r="C336" s="104" t="s">
        <v>221</v>
      </c>
      <c r="D336" s="117" t="s">
        <v>410</v>
      </c>
      <c r="E336" s="186" t="n">
        <f aca="false" ca="true" dt2D="false" dtr="false" t="normal">SUBTOTAL(9, F336:T336)</f>
        <v>17170798.84</v>
      </c>
      <c r="F336" s="114" t="n">
        <v>4702523.48</v>
      </c>
      <c r="G336" s="114" t="n">
        <v>2022696.79</v>
      </c>
      <c r="H336" s="114" t="n">
        <v>1167206.26</v>
      </c>
      <c r="I336" s="114" t="n">
        <v>727220.9</v>
      </c>
      <c r="J336" s="114" t="n">
        <v>0</v>
      </c>
      <c r="K336" s="114" t="n"/>
      <c r="L336" s="114" t="n"/>
      <c r="M336" s="114" t="n">
        <v>0</v>
      </c>
      <c r="N336" s="114" t="n">
        <v>8051725.51</v>
      </c>
      <c r="O336" s="114" t="n"/>
      <c r="P336" s="114" t="n"/>
      <c r="Q336" s="114" t="n">
        <v>499425.9</v>
      </c>
      <c r="R336" s="114" t="n"/>
      <c r="S336" s="114" t="n"/>
      <c r="T336" s="115" t="n"/>
    </row>
    <row customFormat="true" hidden="false" ht="15" outlineLevel="0" r="337" s="129">
      <c r="A337" s="116" t="n">
        <f aca="false" ca="false" dt2D="false" dtr="false" t="normal">+A336+1</f>
        <v>318</v>
      </c>
      <c r="B337" s="117" t="n">
        <f aca="false" ca="false" dt2D="false" dtr="false" t="normal">+B336+1</f>
        <v>130</v>
      </c>
      <c r="C337" s="104" t="s">
        <v>221</v>
      </c>
      <c r="D337" s="117" t="s">
        <v>411</v>
      </c>
      <c r="E337" s="113" t="n">
        <f aca="false" ca="true" dt2D="false" dtr="false" t="normal">SUBTOTAL(9, F337:T337)</f>
        <v>48104587.04</v>
      </c>
      <c r="F337" s="114" t="n">
        <v>7902876.34</v>
      </c>
      <c r="G337" s="114" t="n">
        <v>4092711.1</v>
      </c>
      <c r="H337" s="114" t="n">
        <v>4295794.1</v>
      </c>
      <c r="I337" s="114" t="n"/>
      <c r="J337" s="114" t="n"/>
      <c r="K337" s="114" t="n"/>
      <c r="L337" s="114" t="n"/>
      <c r="M337" s="114" t="n"/>
      <c r="N337" s="114" t="n">
        <v>28212794</v>
      </c>
      <c r="O337" s="114" t="n"/>
      <c r="P337" s="114" t="n"/>
      <c r="Q337" s="114" t="n">
        <v>2361500.36</v>
      </c>
      <c r="R337" s="114" t="n">
        <v>1221768.28</v>
      </c>
      <c r="S337" s="114" t="n">
        <v>17142.86</v>
      </c>
      <c r="T337" s="115" t="n"/>
    </row>
    <row hidden="false" ht="15" outlineLevel="0" r="338">
      <c r="A338" s="116" t="n">
        <f aca="false" ca="false" dt2D="false" dtr="false" t="normal">+A337+1</f>
        <v>319</v>
      </c>
      <c r="B338" s="117" t="n">
        <f aca="false" ca="false" dt2D="false" dtr="false" t="normal">+B337+1</f>
        <v>131</v>
      </c>
      <c r="C338" s="104" t="s">
        <v>221</v>
      </c>
      <c r="D338" s="117" t="s">
        <v>412</v>
      </c>
      <c r="E338" s="186" t="n">
        <f aca="false" ca="true" dt2D="false" dtr="false" t="normal">SUBTOTAL(9, F338:T338)</f>
        <v>12188197.200000001</v>
      </c>
      <c r="F338" s="114" t="n">
        <v>2561264.63</v>
      </c>
      <c r="G338" s="114" t="n">
        <v>1831960.83</v>
      </c>
      <c r="H338" s="114" t="n">
        <v>1491883.2</v>
      </c>
      <c r="I338" s="114" t="n">
        <v>879028.5</v>
      </c>
      <c r="J338" s="114" t="n">
        <v>0</v>
      </c>
      <c r="K338" s="114" t="n"/>
      <c r="L338" s="114" t="n"/>
      <c r="M338" s="114" t="n"/>
      <c r="N338" s="114" t="n">
        <v>4643142.23</v>
      </c>
      <c r="O338" s="114" t="n"/>
      <c r="P338" s="114" t="n">
        <v>0</v>
      </c>
      <c r="Q338" s="114" t="n">
        <v>780917.81</v>
      </c>
      <c r="R338" s="114" t="n"/>
      <c r="S338" s="114" t="n"/>
      <c r="T338" s="115" t="n"/>
    </row>
    <row hidden="false" ht="15" outlineLevel="0" r="339">
      <c r="A339" s="116" t="n">
        <f aca="false" ca="false" dt2D="false" dtr="false" t="normal">+A338+1</f>
        <v>320</v>
      </c>
      <c r="B339" s="117" t="n">
        <f aca="false" ca="false" dt2D="false" dtr="false" t="normal">+B338+1</f>
        <v>132</v>
      </c>
      <c r="C339" s="104" t="s">
        <v>221</v>
      </c>
      <c r="D339" s="117" t="s">
        <v>413</v>
      </c>
      <c r="E339" s="186" t="n">
        <f aca="false" ca="true" dt2D="false" dtr="false" t="normal">SUBTOTAL(9, F339:T339)</f>
        <v>13503759.23</v>
      </c>
      <c r="F339" s="114" t="n">
        <v>10796865.48</v>
      </c>
      <c r="G339" s="114" t="n"/>
      <c r="H339" s="114" t="n">
        <v>2146766.74</v>
      </c>
      <c r="I339" s="114" t="n"/>
      <c r="J339" s="114" t="n">
        <v>0</v>
      </c>
      <c r="K339" s="114" t="n"/>
      <c r="L339" s="114" t="n"/>
      <c r="M339" s="114" t="n">
        <v>0</v>
      </c>
      <c r="N339" s="114" t="n"/>
      <c r="O339" s="114" t="n">
        <v>0</v>
      </c>
      <c r="P339" s="114" t="n"/>
      <c r="Q339" s="114" t="n">
        <v>560127.01</v>
      </c>
      <c r="R339" s="114" t="n"/>
      <c r="S339" s="114" t="n"/>
      <c r="T339" s="115" t="n"/>
    </row>
    <row hidden="false" ht="15" outlineLevel="0" r="340">
      <c r="A340" s="116" t="n">
        <f aca="false" ca="false" dt2D="false" dtr="false" t="normal">+A339+1</f>
        <v>321</v>
      </c>
      <c r="B340" s="117" t="n">
        <f aca="false" ca="false" dt2D="false" dtr="false" t="normal">+B339+1</f>
        <v>133</v>
      </c>
      <c r="C340" s="104" t="s">
        <v>221</v>
      </c>
      <c r="D340" s="117" t="s">
        <v>414</v>
      </c>
      <c r="E340" s="113" t="n">
        <f aca="false" ca="true" dt2D="false" dtr="false" t="normal">SUBTOTAL(9, F340:T340)</f>
        <v>5375027</v>
      </c>
      <c r="F340" s="191" t="n"/>
      <c r="G340" s="114" t="n"/>
      <c r="H340" s="114" t="n"/>
      <c r="I340" s="114" t="n"/>
      <c r="J340" s="114" t="n"/>
      <c r="K340" s="114" t="n"/>
      <c r="L340" s="114" t="n"/>
      <c r="M340" s="114" t="n">
        <v>5252854.22</v>
      </c>
      <c r="N340" s="114" t="n"/>
      <c r="O340" s="114" t="n"/>
      <c r="P340" s="114" t="n"/>
      <c r="Q340" s="114" t="n"/>
      <c r="R340" s="114" t="n">
        <v>103820.17</v>
      </c>
      <c r="S340" s="114" t="n">
        <v>18352.61</v>
      </c>
      <c r="T340" s="115" t="n"/>
    </row>
    <row hidden="false" ht="15" outlineLevel="0" r="341">
      <c r="A341" s="116" t="n">
        <f aca="false" ca="false" dt2D="false" dtr="false" t="normal">+A340+1</f>
        <v>322</v>
      </c>
      <c r="B341" s="117" t="n">
        <f aca="false" ca="false" dt2D="false" dtr="false" t="normal">+B340+1</f>
        <v>134</v>
      </c>
      <c r="C341" s="104" t="s">
        <v>221</v>
      </c>
      <c r="D341" s="117" t="s">
        <v>416</v>
      </c>
      <c r="E341" s="186" t="n">
        <f aca="false" ca="true" dt2D="false" dtr="false" t="normal">SUBTOTAL(9, F341:T341)</f>
        <v>4053363.43</v>
      </c>
      <c r="F341" s="114" t="n"/>
      <c r="G341" s="114" t="n"/>
      <c r="H341" s="114" t="n"/>
      <c r="I341" s="114" t="n"/>
      <c r="J341" s="114" t="n">
        <v>0</v>
      </c>
      <c r="K341" s="114" t="n"/>
      <c r="L341" s="114" t="n"/>
      <c r="M341" s="114" t="n">
        <v>0</v>
      </c>
      <c r="N341" s="114" t="n">
        <v>4053363.43</v>
      </c>
      <c r="O341" s="114" t="n">
        <v>0</v>
      </c>
      <c r="P341" s="114" t="n"/>
      <c r="Q341" s="114" t="n"/>
      <c r="R341" s="114" t="n"/>
      <c r="S341" s="114" t="n"/>
      <c r="T341" s="115" t="n"/>
    </row>
    <row hidden="false" ht="15" outlineLevel="0" r="342">
      <c r="A342" s="116" t="n">
        <f aca="false" ca="false" dt2D="false" dtr="false" t="normal">+A341+1</f>
        <v>323</v>
      </c>
      <c r="B342" s="117" t="n">
        <f aca="false" ca="false" dt2D="false" dtr="false" t="normal">+B341+1</f>
        <v>135</v>
      </c>
      <c r="C342" s="104" t="s">
        <v>221</v>
      </c>
      <c r="D342" s="117" t="s">
        <v>417</v>
      </c>
      <c r="E342" s="186" t="n">
        <f aca="false" ca="true" dt2D="false" dtr="false" t="normal">SUBTOTAL(9, F342:T342)</f>
        <v>11760430.97</v>
      </c>
      <c r="F342" s="114" t="n"/>
      <c r="G342" s="114" t="n"/>
      <c r="H342" s="114" t="n"/>
      <c r="I342" s="114" t="n"/>
      <c r="J342" s="114" t="n"/>
      <c r="K342" s="114" t="n"/>
      <c r="L342" s="114" t="n"/>
      <c r="M342" s="114" t="n">
        <v>0</v>
      </c>
      <c r="N342" s="114" t="n">
        <v>10962284.21</v>
      </c>
      <c r="O342" s="114" t="n">
        <v>0</v>
      </c>
      <c r="P342" s="114" t="n"/>
      <c r="Q342" s="114" t="n">
        <v>798146.76</v>
      </c>
      <c r="R342" s="114" t="n"/>
      <c r="S342" s="114" t="n"/>
      <c r="T342" s="115" t="n"/>
    </row>
    <row hidden="false" ht="15" outlineLevel="0" r="343">
      <c r="A343" s="116" t="n">
        <f aca="false" ca="false" dt2D="false" dtr="false" t="normal">+A342+1</f>
        <v>324</v>
      </c>
      <c r="B343" s="117" t="n">
        <f aca="false" ca="false" dt2D="false" dtr="false" t="normal">+B342+1</f>
        <v>136</v>
      </c>
      <c r="C343" s="104" t="s">
        <v>221</v>
      </c>
      <c r="D343" s="117" t="s">
        <v>418</v>
      </c>
      <c r="E343" s="186" t="n">
        <f aca="false" ca="true" dt2D="false" dtr="false" t="normal">SUBTOTAL(9, F343:T343)</f>
        <v>5428761.3100000005</v>
      </c>
      <c r="F343" s="114" t="n"/>
      <c r="G343" s="114" t="n"/>
      <c r="H343" s="114" t="n"/>
      <c r="I343" s="114" t="n"/>
      <c r="J343" s="114" t="n"/>
      <c r="K343" s="114" t="n"/>
      <c r="L343" s="114" t="n"/>
      <c r="M343" s="114" t="n">
        <v>0</v>
      </c>
      <c r="N343" s="114" t="n">
        <v>4587330.62</v>
      </c>
      <c r="O343" s="114" t="n">
        <v>0</v>
      </c>
      <c r="P343" s="114" t="n"/>
      <c r="Q343" s="114" t="n">
        <v>841430.69</v>
      </c>
      <c r="R343" s="114" t="n"/>
      <c r="S343" s="114" t="n"/>
      <c r="T343" s="115" t="n"/>
    </row>
    <row hidden="false" ht="15" outlineLevel="0" r="344">
      <c r="A344" s="116" t="n">
        <f aca="false" ca="false" dt2D="false" dtr="false" t="normal">+A343+1</f>
        <v>325</v>
      </c>
      <c r="B344" s="117" t="n">
        <f aca="false" ca="false" dt2D="false" dtr="false" t="normal">+B343+1</f>
        <v>137</v>
      </c>
      <c r="C344" s="104" t="s">
        <v>221</v>
      </c>
      <c r="D344" s="117" t="s">
        <v>419</v>
      </c>
      <c r="E344" s="186" t="n">
        <f aca="false" ca="true" dt2D="false" dtr="false" t="normal">SUBTOTAL(9, F344:T344)</f>
        <v>1345945.45</v>
      </c>
      <c r="F344" s="114" t="n"/>
      <c r="G344" s="114" t="n"/>
      <c r="H344" s="114" t="n"/>
      <c r="I344" s="114" t="n"/>
      <c r="J344" s="114" t="n">
        <v>0</v>
      </c>
      <c r="K344" s="114" t="n"/>
      <c r="L344" s="114" t="n"/>
      <c r="M344" s="114" t="n">
        <v>0</v>
      </c>
      <c r="N344" s="114" t="n"/>
      <c r="O344" s="114" t="n"/>
      <c r="P344" s="114" t="n"/>
      <c r="Q344" s="114" t="n">
        <v>1345945.45</v>
      </c>
      <c r="R344" s="114" t="n"/>
      <c r="S344" s="114" t="n"/>
      <c r="T344" s="115" t="n"/>
    </row>
    <row hidden="false" ht="15" outlineLevel="0" r="345">
      <c r="A345" s="116" t="n">
        <f aca="false" ca="false" dt2D="false" dtr="false" t="normal">+A344+1</f>
        <v>326</v>
      </c>
      <c r="B345" s="117" t="n">
        <f aca="false" ca="false" dt2D="false" dtr="false" t="normal">+B344+1</f>
        <v>138</v>
      </c>
      <c r="C345" s="104" t="s">
        <v>221</v>
      </c>
      <c r="D345" s="117" t="s">
        <v>420</v>
      </c>
      <c r="E345" s="113" t="n">
        <f aca="false" ca="true" dt2D="false" dtr="false" t="normal">SUBTOTAL(9, F345:T345)</f>
        <v>17534237.759999998</v>
      </c>
      <c r="F345" s="114" t="n"/>
      <c r="G345" s="114" t="n"/>
      <c r="H345" s="114" t="n"/>
      <c r="I345" s="114" t="n"/>
      <c r="J345" s="114" t="n">
        <v>0</v>
      </c>
      <c r="K345" s="114" t="n"/>
      <c r="L345" s="114" t="n"/>
      <c r="M345" s="114" t="n">
        <v>0</v>
      </c>
      <c r="N345" s="114" t="n">
        <v>8787135.97</v>
      </c>
      <c r="O345" s="114" t="n">
        <v>0</v>
      </c>
      <c r="P345" s="114" t="n">
        <v>8747101.79</v>
      </c>
      <c r="Q345" s="114" t="n"/>
      <c r="R345" s="114" t="n"/>
      <c r="S345" s="114" t="n"/>
      <c r="T345" s="115" t="n"/>
      <c r="X345" s="206" t="n"/>
    </row>
    <row hidden="false" ht="15" outlineLevel="0" r="346">
      <c r="A346" s="116" t="n">
        <f aca="false" ca="false" dt2D="false" dtr="false" t="normal">+A345+1</f>
        <v>327</v>
      </c>
      <c r="B346" s="117" t="n">
        <f aca="false" ca="false" dt2D="false" dtr="false" t="normal">+B345+1</f>
        <v>139</v>
      </c>
      <c r="C346" s="104" t="s">
        <v>221</v>
      </c>
      <c r="D346" s="117" t="s">
        <v>421</v>
      </c>
      <c r="E346" s="186" t="n">
        <f aca="false" ca="true" dt2D="false" dtr="false" t="normal">SUBTOTAL(9, F346:T346)</f>
        <v>12625636.22</v>
      </c>
      <c r="F346" s="114" t="n"/>
      <c r="G346" s="114" t="n"/>
      <c r="H346" s="114" t="n"/>
      <c r="I346" s="114" t="n"/>
      <c r="J346" s="114" t="n">
        <v>0</v>
      </c>
      <c r="K346" s="114" t="n"/>
      <c r="L346" s="114" t="n"/>
      <c r="M346" s="114" t="n">
        <v>0</v>
      </c>
      <c r="N346" s="114" t="n">
        <v>11687466.91</v>
      </c>
      <c r="O346" s="114" t="n">
        <v>0</v>
      </c>
      <c r="P346" s="114" t="n"/>
      <c r="Q346" s="114" t="n">
        <v>938169.31</v>
      </c>
      <c r="R346" s="114" t="n"/>
      <c r="S346" s="114" t="n"/>
      <c r="T346" s="115" t="n"/>
    </row>
    <row hidden="false" ht="15" outlineLevel="0" r="347">
      <c r="A347" s="116" t="n">
        <f aca="false" ca="false" dt2D="false" dtr="false" t="normal">+A346+1</f>
        <v>328</v>
      </c>
      <c r="B347" s="117" t="n">
        <f aca="false" ca="false" dt2D="false" dtr="false" t="normal">+B346+1</f>
        <v>140</v>
      </c>
      <c r="C347" s="104" t="s">
        <v>221</v>
      </c>
      <c r="D347" s="117" t="s">
        <v>422</v>
      </c>
      <c r="E347" s="186" t="n">
        <f aca="false" ca="true" dt2D="false" dtr="false" t="normal">SUBTOTAL(9, F347:T347)</f>
        <v>14985012.030000001</v>
      </c>
      <c r="F347" s="114" t="n">
        <v>3850862.68</v>
      </c>
      <c r="G347" s="114" t="n">
        <v>1527090.45</v>
      </c>
      <c r="H347" s="114" t="n">
        <v>1632419.86</v>
      </c>
      <c r="I347" s="114" t="n">
        <v>1086100.56</v>
      </c>
      <c r="J347" s="114" t="n">
        <v>0</v>
      </c>
      <c r="K347" s="114" t="n"/>
      <c r="L347" s="114" t="n"/>
      <c r="M347" s="114" t="n">
        <v>0</v>
      </c>
      <c r="N347" s="114" t="n">
        <v>5722546.32</v>
      </c>
      <c r="O347" s="114" t="n"/>
      <c r="P347" s="114" t="n"/>
      <c r="Q347" s="114" t="n">
        <v>1165992.16</v>
      </c>
      <c r="R347" s="114" t="n"/>
      <c r="S347" s="114" t="n"/>
      <c r="T347" s="115" t="n"/>
    </row>
    <row hidden="false" ht="15" outlineLevel="0" r="348">
      <c r="A348" s="116" t="n">
        <f aca="false" ca="false" dt2D="false" dtr="false" t="normal">+A347+1</f>
        <v>329</v>
      </c>
      <c r="B348" s="117" t="n">
        <f aca="false" ca="false" dt2D="false" dtr="false" t="normal">+B347+1</f>
        <v>141</v>
      </c>
      <c r="C348" s="104" t="s">
        <v>221</v>
      </c>
      <c r="D348" s="117" t="s">
        <v>226</v>
      </c>
      <c r="E348" s="113" t="n">
        <f aca="false" ca="true" dt2D="false" dtr="false" t="normal">SUBTOTAL(9, F348:T348)</f>
        <v>9645371.620000001</v>
      </c>
      <c r="F348" s="114" t="n"/>
      <c r="G348" s="114" t="n"/>
      <c r="H348" s="114" t="n">
        <v>1203384.4</v>
      </c>
      <c r="I348" s="114" t="n"/>
      <c r="J348" s="114" t="n">
        <v>0</v>
      </c>
      <c r="K348" s="114" t="n"/>
      <c r="L348" s="114" t="n"/>
      <c r="M348" s="114" t="n">
        <v>0</v>
      </c>
      <c r="N348" s="114" t="n"/>
      <c r="O348" s="114" t="n">
        <v>0</v>
      </c>
      <c r="P348" s="114" t="n">
        <v>8441987.22</v>
      </c>
      <c r="Q348" s="114" t="n"/>
      <c r="R348" s="114" t="n"/>
      <c r="S348" s="114" t="n"/>
      <c r="T348" s="115" t="n"/>
    </row>
    <row hidden="false" ht="15" outlineLevel="0" r="349">
      <c r="A349" s="116" t="n">
        <f aca="false" ca="false" dt2D="false" dtr="false" t="normal">+A348+1</f>
        <v>330</v>
      </c>
      <c r="B349" s="117" t="n">
        <f aca="false" ca="false" dt2D="false" dtr="false" t="normal">+B348+1</f>
        <v>142</v>
      </c>
      <c r="C349" s="104" t="s">
        <v>221</v>
      </c>
      <c r="D349" s="117" t="s">
        <v>423</v>
      </c>
      <c r="E349" s="186" t="n">
        <f aca="false" ca="true" dt2D="false" dtr="false" t="normal">SUBTOTAL(9, F349:T349)</f>
        <v>8377348.360000001</v>
      </c>
      <c r="F349" s="114" t="n"/>
      <c r="G349" s="114" t="n"/>
      <c r="H349" s="114" t="n">
        <v>1619194.32</v>
      </c>
      <c r="I349" s="114" t="n"/>
      <c r="J349" s="114" t="n">
        <v>0</v>
      </c>
      <c r="K349" s="114" t="n"/>
      <c r="L349" s="114" t="n"/>
      <c r="M349" s="114" t="n">
        <v>0</v>
      </c>
      <c r="N349" s="114" t="n">
        <v>5914808.48</v>
      </c>
      <c r="O349" s="114" t="n">
        <v>0</v>
      </c>
      <c r="P349" s="114" t="n">
        <v>0</v>
      </c>
      <c r="Q349" s="114" t="n">
        <v>843345.56</v>
      </c>
      <c r="R349" s="114" t="n"/>
      <c r="S349" s="114" t="n"/>
      <c r="T349" s="115" t="n"/>
    </row>
    <row hidden="false" ht="15" outlineLevel="0" r="350">
      <c r="A350" s="116" t="n">
        <f aca="false" ca="false" dt2D="false" dtr="false" t="normal">+A349+1</f>
        <v>331</v>
      </c>
      <c r="B350" s="117" t="n">
        <f aca="false" ca="false" dt2D="false" dtr="false" t="normal">+B349+1</f>
        <v>143</v>
      </c>
      <c r="C350" s="104" t="s">
        <v>227</v>
      </c>
      <c r="D350" s="117" t="s">
        <v>424</v>
      </c>
      <c r="E350" s="186" t="n">
        <f aca="false" ca="true" dt2D="false" dtr="false" t="normal">SUBTOTAL(9, F350:T350)</f>
        <v>7075919.609999999</v>
      </c>
      <c r="F350" s="114" t="n"/>
      <c r="G350" s="114" t="n"/>
      <c r="H350" s="114" t="n">
        <v>6760576.64</v>
      </c>
      <c r="I350" s="114" t="n"/>
      <c r="J350" s="114" t="n">
        <v>0</v>
      </c>
      <c r="K350" s="114" t="n"/>
      <c r="L350" s="114" t="n"/>
      <c r="M350" s="114" t="n"/>
      <c r="N350" s="114" t="n">
        <v>0</v>
      </c>
      <c r="O350" s="114" t="n">
        <v>0</v>
      </c>
      <c r="P350" s="114" t="n"/>
      <c r="Q350" s="114" t="n">
        <v>0</v>
      </c>
      <c r="R350" s="114" t="n">
        <v>312485.83</v>
      </c>
      <c r="S350" s="114" t="n">
        <v>2857.14</v>
      </c>
      <c r="T350" s="115" t="n"/>
    </row>
    <row hidden="false" ht="15" outlineLevel="0" r="351">
      <c r="A351" s="116" t="n">
        <f aca="false" ca="false" dt2D="false" dtr="false" t="normal">+A350+1</f>
        <v>332</v>
      </c>
      <c r="B351" s="117" t="n">
        <f aca="false" ca="false" dt2D="false" dtr="false" t="normal">+B350+1</f>
        <v>144</v>
      </c>
      <c r="C351" s="104" t="s">
        <v>227</v>
      </c>
      <c r="D351" s="117" t="s">
        <v>425</v>
      </c>
      <c r="E351" s="113" t="n">
        <f aca="false" ca="true" dt2D="false" dtr="false" t="normal">SUBTOTAL(9, F351:T351)</f>
        <v>2729687.92</v>
      </c>
      <c r="F351" s="114" t="n"/>
      <c r="G351" s="114" t="n"/>
      <c r="H351" s="114" t="n"/>
      <c r="I351" s="114" t="n"/>
      <c r="J351" s="114" t="n">
        <v>0</v>
      </c>
      <c r="K351" s="114" t="n"/>
      <c r="L351" s="114" t="n"/>
      <c r="M351" s="114" t="n">
        <v>0</v>
      </c>
      <c r="N351" s="114" t="n"/>
      <c r="O351" s="114" t="n">
        <v>0</v>
      </c>
      <c r="P351" s="114" t="n">
        <v>0</v>
      </c>
      <c r="Q351" s="114" t="n">
        <v>2729687.92</v>
      </c>
      <c r="R351" s="114" t="n"/>
      <c r="S351" s="114" t="n"/>
      <c r="T351" s="115" t="n"/>
    </row>
    <row hidden="false" ht="15" outlineLevel="0" r="352">
      <c r="A352" s="116" t="n">
        <f aca="false" ca="false" dt2D="false" dtr="false" t="normal">+A351+1</f>
        <v>333</v>
      </c>
      <c r="B352" s="117" t="n">
        <f aca="false" ca="false" dt2D="false" dtr="false" t="normal">+B351+1</f>
        <v>145</v>
      </c>
      <c r="C352" s="104" t="s">
        <v>227</v>
      </c>
      <c r="D352" s="117" t="s">
        <v>426</v>
      </c>
      <c r="E352" s="113" t="n">
        <f aca="false" ca="true" dt2D="false" dtr="false" t="normal">SUBTOTAL(9, F352:T352)</f>
        <v>9222273.99</v>
      </c>
      <c r="F352" s="114" t="n"/>
      <c r="H352" s="114" t="n"/>
      <c r="I352" s="114" t="n"/>
      <c r="J352" s="114" t="n"/>
      <c r="K352" s="114" t="n"/>
      <c r="L352" s="114" t="n"/>
      <c r="M352" s="114" t="n">
        <v>0</v>
      </c>
      <c r="N352" s="114" t="n"/>
      <c r="O352" s="114" t="n">
        <v>0</v>
      </c>
      <c r="P352" s="114" t="n"/>
      <c r="Q352" s="114" t="n">
        <v>9222273.99</v>
      </c>
      <c r="R352" s="114" t="n"/>
      <c r="S352" s="114" t="n"/>
      <c r="T352" s="115" t="n"/>
    </row>
    <row hidden="false" ht="15" outlineLevel="0" r="353">
      <c r="A353" s="116" t="n">
        <f aca="false" ca="false" dt2D="false" dtr="false" t="normal">+A352+1</f>
        <v>334</v>
      </c>
      <c r="B353" s="117" t="n">
        <f aca="false" ca="false" dt2D="false" dtr="false" t="normal">+B352+1</f>
        <v>146</v>
      </c>
      <c r="C353" s="104" t="s">
        <v>227</v>
      </c>
      <c r="D353" s="117" t="s">
        <v>242</v>
      </c>
      <c r="E353" s="113" t="n">
        <f aca="false" ca="true" dt2D="false" dtr="false" t="normal">SUBTOTAL(9, F353:T353)</f>
        <v>7376207.09</v>
      </c>
      <c r="F353" s="114" t="n">
        <v>7298871.85</v>
      </c>
      <c r="G353" s="114" t="n"/>
      <c r="H353" s="114" t="n"/>
      <c r="I353" s="114" t="n"/>
      <c r="J353" s="114" t="n"/>
      <c r="K353" s="114" t="n"/>
      <c r="L353" s="114" t="n"/>
      <c r="M353" s="114" t="n">
        <v>0</v>
      </c>
      <c r="N353" s="114" t="n">
        <v>0</v>
      </c>
      <c r="O353" s="114" t="n">
        <v>0</v>
      </c>
      <c r="P353" s="114" t="n">
        <v>0</v>
      </c>
      <c r="Q353" s="114" t="n"/>
      <c r="R353" s="114" t="n"/>
      <c r="S353" s="114" t="n"/>
      <c r="T353" s="115" t="n">
        <v>77335.24</v>
      </c>
    </row>
    <row hidden="false" ht="15" outlineLevel="0" r="354">
      <c r="A354" s="116" t="n">
        <f aca="false" ca="false" dt2D="false" dtr="false" t="normal">+A353+1</f>
        <v>335</v>
      </c>
      <c r="B354" s="117" t="n">
        <f aca="false" ca="false" dt2D="false" dtr="false" t="normal">+B353+1</f>
        <v>147</v>
      </c>
      <c r="C354" s="104" t="s">
        <v>227</v>
      </c>
      <c r="D354" s="117" t="s">
        <v>241</v>
      </c>
      <c r="E354" s="113" t="n">
        <f aca="false" ca="true" dt2D="false" dtr="false" t="normal">SUBTOTAL(9, F354:T354)</f>
        <v>28409546.349999998</v>
      </c>
      <c r="F354" s="114" t="n">
        <v>16253478.92</v>
      </c>
      <c r="G354" s="114" t="n"/>
      <c r="H354" s="114" t="n">
        <v>5982768.16</v>
      </c>
      <c r="I354" s="114" t="n">
        <v>6173299.27</v>
      </c>
      <c r="J354" s="114" t="n">
        <v>0</v>
      </c>
      <c r="K354" s="114" t="n"/>
      <c r="L354" s="114" t="n"/>
      <c r="M354" s="114" t="n">
        <v>0</v>
      </c>
      <c r="N354" s="114" t="n">
        <v>0</v>
      </c>
      <c r="O354" s="114" t="n">
        <v>0</v>
      </c>
      <c r="P354" s="114" t="n">
        <v>0</v>
      </c>
      <c r="Q354" s="114" t="n"/>
      <c r="R354" s="114" t="n"/>
      <c r="S354" s="114" t="n"/>
      <c r="T354" s="115" t="n"/>
    </row>
    <row hidden="false" ht="15" outlineLevel="0" r="355">
      <c r="A355" s="116" t="n">
        <f aca="false" ca="false" dt2D="false" dtr="false" t="normal">+A354+1</f>
        <v>336</v>
      </c>
      <c r="B355" s="117" t="n">
        <f aca="false" ca="false" dt2D="false" dtr="false" t="normal">+B354+1</f>
        <v>148</v>
      </c>
      <c r="C355" s="104" t="s">
        <v>227</v>
      </c>
      <c r="D355" s="117" t="s">
        <v>245</v>
      </c>
      <c r="E355" s="113" t="n">
        <f aca="false" ca="true" dt2D="false" dtr="false" t="normal">SUBTOTAL(9, F355:T355)</f>
        <v>2120543.06</v>
      </c>
      <c r="F355" s="114" t="n"/>
      <c r="G355" s="114" t="n"/>
      <c r="H355" s="114" t="n"/>
      <c r="I355" s="114" t="n"/>
      <c r="J355" s="114" t="n"/>
      <c r="K355" s="114" t="n"/>
      <c r="L355" s="114" t="n"/>
      <c r="M355" s="114" t="n">
        <v>0</v>
      </c>
      <c r="N355" s="114" t="n">
        <v>0</v>
      </c>
      <c r="O355" s="114" t="n">
        <v>0</v>
      </c>
      <c r="P355" s="114" t="n">
        <v>2120543.06</v>
      </c>
      <c r="Q355" s="114" t="n"/>
      <c r="R355" s="114" t="n"/>
      <c r="S355" s="114" t="n"/>
      <c r="T355" s="115" t="n"/>
    </row>
    <row hidden="false" ht="15" outlineLevel="0" r="356">
      <c r="A356" s="116" t="n">
        <f aca="false" ca="false" dt2D="false" dtr="false" t="normal">+A355+1</f>
        <v>337</v>
      </c>
      <c r="B356" s="117" t="n">
        <f aca="false" ca="false" dt2D="false" dtr="false" t="normal">+B355+1</f>
        <v>149</v>
      </c>
      <c r="C356" s="104" t="s">
        <v>247</v>
      </c>
      <c r="D356" s="117" t="s">
        <v>427</v>
      </c>
      <c r="E356" s="113" t="n">
        <f aca="false" ca="true" dt2D="false" dtr="false" t="normal">SUBTOTAL(9, F356:T356)</f>
        <v>9484647.87</v>
      </c>
      <c r="F356" s="114" t="n"/>
      <c r="G356" s="114" t="n"/>
      <c r="H356" s="114" t="n"/>
      <c r="I356" s="114" t="n"/>
      <c r="J356" s="114" t="n"/>
      <c r="K356" s="114" t="n"/>
      <c r="L356" s="114" t="n"/>
      <c r="M356" s="114" t="n">
        <v>0</v>
      </c>
      <c r="N356" s="114" t="n">
        <v>9484647.87</v>
      </c>
      <c r="O356" s="114" t="n">
        <v>0</v>
      </c>
      <c r="P356" s="114" t="n">
        <v>0</v>
      </c>
      <c r="Q356" s="114" t="n">
        <v>0</v>
      </c>
      <c r="R356" s="114" t="n"/>
      <c r="S356" s="114" t="n"/>
      <c r="T356" s="115" t="n"/>
    </row>
    <row hidden="false" ht="15" outlineLevel="0" r="357">
      <c r="A357" s="116" t="n">
        <f aca="false" ca="false" dt2D="false" dtr="false" t="normal">+A356+1</f>
        <v>338</v>
      </c>
      <c r="B357" s="117" t="n">
        <f aca="false" ca="false" dt2D="false" dtr="false" t="normal">+B356+1</f>
        <v>150</v>
      </c>
      <c r="C357" s="104" t="s">
        <v>428</v>
      </c>
      <c r="D357" s="117" t="s">
        <v>429</v>
      </c>
      <c r="E357" s="113" t="n">
        <f aca="false" ca="true" dt2D="false" dtr="false" t="normal">SUBTOTAL(9, F357:T357)</f>
        <v>1830078.26</v>
      </c>
      <c r="F357" s="114" t="n"/>
      <c r="G357" s="114" t="n"/>
      <c r="H357" s="114" t="n">
        <v>1830078.26</v>
      </c>
      <c r="I357" s="114" t="n"/>
      <c r="J357" s="114" t="n">
        <v>0</v>
      </c>
      <c r="K357" s="114" t="n"/>
      <c r="L357" s="114" t="n"/>
      <c r="M357" s="114" t="n">
        <v>0</v>
      </c>
      <c r="N357" s="114" t="n">
        <v>0</v>
      </c>
      <c r="O357" s="114" t="n">
        <v>0</v>
      </c>
      <c r="P357" s="114" t="n"/>
      <c r="Q357" s="114" t="n">
        <v>0</v>
      </c>
      <c r="R357" s="114" t="n"/>
      <c r="S357" s="114" t="n"/>
      <c r="T357" s="115" t="n"/>
    </row>
    <row hidden="false" ht="15" outlineLevel="0" r="358">
      <c r="A358" s="116" t="n">
        <f aca="false" ca="false" dt2D="false" dtr="false" t="normal">+A357+1</f>
        <v>339</v>
      </c>
      <c r="B358" s="117" t="n">
        <f aca="false" ca="false" dt2D="false" dtr="false" t="normal">+B357+1</f>
        <v>151</v>
      </c>
      <c r="C358" s="104" t="s">
        <v>430</v>
      </c>
      <c r="D358" s="117" t="s">
        <v>431</v>
      </c>
      <c r="E358" s="113" t="n">
        <f aca="false" ca="true" dt2D="false" dtr="false" t="normal">SUBTOTAL(9, F358:T358)</f>
        <v>2603999.18</v>
      </c>
      <c r="F358" s="114" t="n"/>
      <c r="G358" s="114" t="n">
        <v>751912.8</v>
      </c>
      <c r="H358" s="114" t="n">
        <v>1650658.8</v>
      </c>
      <c r="I358" s="114" t="n"/>
      <c r="J358" s="114" t="n">
        <v>0</v>
      </c>
      <c r="K358" s="114" t="n"/>
      <c r="L358" s="114" t="n"/>
      <c r="M358" s="114" t="n"/>
      <c r="N358" s="114" t="n"/>
      <c r="O358" s="114" t="n"/>
      <c r="P358" s="114" t="n"/>
      <c r="Q358" s="114" t="n"/>
      <c r="R358" s="114" t="n">
        <v>196427.58</v>
      </c>
      <c r="S358" s="114" t="n">
        <v>5000</v>
      </c>
      <c r="T358" s="115" t="n"/>
    </row>
    <row hidden="false" ht="15" outlineLevel="0" r="359">
      <c r="A359" s="116" t="n">
        <f aca="false" ca="false" dt2D="false" dtr="false" t="normal">+A358+1</f>
        <v>340</v>
      </c>
      <c r="B359" s="117" t="n">
        <f aca="false" ca="false" dt2D="false" dtr="false" t="normal">+B358+1</f>
        <v>152</v>
      </c>
      <c r="C359" s="104" t="s">
        <v>430</v>
      </c>
      <c r="D359" s="117" t="s">
        <v>433</v>
      </c>
      <c r="E359" s="113" t="n">
        <f aca="false" ca="true" dt2D="false" dtr="false" t="normal">SUBTOTAL(9, F359:T359)</f>
        <v>6615764.22</v>
      </c>
      <c r="F359" s="114" t="n">
        <v>3671016.16</v>
      </c>
      <c r="G359" s="114" t="n">
        <v>553302</v>
      </c>
      <c r="H359" s="114" t="n">
        <v>1993290</v>
      </c>
      <c r="I359" s="114" t="n"/>
      <c r="J359" s="114" t="n"/>
      <c r="K359" s="114" t="n"/>
      <c r="L359" s="114" t="n"/>
      <c r="M359" s="114" t="n"/>
      <c r="N359" s="114" t="n"/>
      <c r="O359" s="114" t="n"/>
      <c r="P359" s="114" t="n"/>
      <c r="Q359" s="114" t="n"/>
      <c r="R359" s="114" t="n">
        <v>390656.06</v>
      </c>
      <c r="S359" s="114" t="n">
        <v>7500</v>
      </c>
      <c r="T359" s="115" t="n"/>
    </row>
    <row hidden="false" ht="15" outlineLevel="0" r="360">
      <c r="A360" s="116" t="n">
        <f aca="false" ca="false" dt2D="false" dtr="false" t="normal">+A359+1</f>
        <v>341</v>
      </c>
      <c r="B360" s="117" t="n">
        <f aca="false" ca="false" dt2D="false" dtr="false" t="normal">+B359+1</f>
        <v>153</v>
      </c>
      <c r="C360" s="104" t="s">
        <v>430</v>
      </c>
      <c r="D360" s="117" t="s">
        <v>434</v>
      </c>
      <c r="E360" s="113" t="n">
        <f aca="false" ca="true" dt2D="false" dtr="false" t="normal">SUBTOTAL(9, F360:T360)</f>
        <v>17328320.75</v>
      </c>
      <c r="F360" s="114" t="n">
        <v>4837764.19</v>
      </c>
      <c r="G360" s="114" t="n">
        <v>1918622.4</v>
      </c>
      <c r="H360" s="114" t="n">
        <v>1933540.8</v>
      </c>
      <c r="I360" s="114" t="n"/>
      <c r="J360" s="114" t="n"/>
      <c r="K360" s="114" t="n"/>
      <c r="L360" s="114" t="n"/>
      <c r="M360" s="114" t="n"/>
      <c r="N360" s="114" t="n"/>
      <c r="O360" s="114" t="n"/>
      <c r="P360" s="114" t="n"/>
      <c r="Q360" s="114" t="n">
        <v>8046351.6</v>
      </c>
      <c r="R360" s="114" t="n">
        <v>582041.76</v>
      </c>
      <c r="S360" s="114" t="n">
        <v>10000</v>
      </c>
      <c r="T360" s="115" t="n"/>
    </row>
    <row hidden="false" ht="15" outlineLevel="0" r="361">
      <c r="A361" s="116" t="n">
        <f aca="false" ca="false" dt2D="false" dtr="false" t="normal">+A360+1</f>
        <v>342</v>
      </c>
      <c r="B361" s="117" t="n">
        <f aca="false" ca="false" dt2D="false" dtr="false" t="normal">+B360+1</f>
        <v>154</v>
      </c>
      <c r="C361" s="104" t="s">
        <v>430</v>
      </c>
      <c r="D361" s="117" t="s">
        <v>435</v>
      </c>
      <c r="E361" s="113" t="n">
        <f aca="false" ca="true" dt2D="false" dtr="false" t="normal">SUBTOTAL(9, F361:T361)</f>
        <v>18898820.96</v>
      </c>
      <c r="F361" s="114" t="n">
        <v>3853039.2</v>
      </c>
      <c r="G361" s="114" t="n">
        <v>1198699.2</v>
      </c>
      <c r="H361" s="114" t="n">
        <v>1829712</v>
      </c>
      <c r="I361" s="114" t="n"/>
      <c r="J361" s="114" t="n"/>
      <c r="K361" s="114" t="n"/>
      <c r="L361" s="114" t="n"/>
      <c r="M361" s="114" t="n"/>
      <c r="N361" s="114" t="n"/>
      <c r="O361" s="114" t="n"/>
      <c r="P361" s="114" t="n"/>
      <c r="Q361" s="114" t="n">
        <v>11256530.4</v>
      </c>
      <c r="R361" s="114" t="n">
        <v>751240.16</v>
      </c>
      <c r="S361" s="114" t="n">
        <v>9600</v>
      </c>
      <c r="T361" s="115" t="n"/>
    </row>
    <row hidden="false" ht="15" outlineLevel="0" r="362">
      <c r="A362" s="116" t="n">
        <f aca="false" ca="false" dt2D="false" dtr="false" t="normal">+A361+1</f>
        <v>343</v>
      </c>
      <c r="B362" s="117" t="n">
        <f aca="false" ca="false" dt2D="false" dtr="false" t="normal">+B361+1</f>
        <v>155</v>
      </c>
      <c r="C362" s="104" t="s">
        <v>430</v>
      </c>
      <c r="D362" s="117" t="s">
        <v>437</v>
      </c>
      <c r="E362" s="113" t="n">
        <f aca="false" ca="true" dt2D="false" dtr="false" t="normal">SUBTOTAL(9, F362:T362)</f>
        <v>8140752.16</v>
      </c>
      <c r="F362" s="114" t="n"/>
      <c r="G362" s="114" t="n"/>
      <c r="H362" s="114" t="n"/>
      <c r="I362" s="114" t="n"/>
      <c r="J362" s="114" t="n"/>
      <c r="K362" s="114" t="n"/>
      <c r="L362" s="114" t="n"/>
      <c r="M362" s="114" t="n"/>
      <c r="N362" s="114" t="n">
        <v>7901132.4</v>
      </c>
      <c r="O362" s="114" t="n"/>
      <c r="P362" s="114" t="n"/>
      <c r="Q362" s="114" t="n"/>
      <c r="R362" s="114" t="n">
        <v>231619.76</v>
      </c>
      <c r="S362" s="114" t="n">
        <v>8000</v>
      </c>
      <c r="T362" s="115" t="n"/>
    </row>
    <row hidden="false" ht="15" outlineLevel="0" r="363">
      <c r="A363" s="116" t="n">
        <f aca="false" ca="false" dt2D="false" dtr="false" t="normal">+A362+1</f>
        <v>344</v>
      </c>
      <c r="B363" s="117" t="n">
        <f aca="false" ca="false" dt2D="false" dtr="false" t="normal">+B362+1</f>
        <v>156</v>
      </c>
      <c r="C363" s="104" t="s">
        <v>430</v>
      </c>
      <c r="D363" s="117" t="s">
        <v>439</v>
      </c>
      <c r="E363" s="113" t="n">
        <f aca="false" ca="true" dt2D="false" dtr="false" t="normal">SUBTOTAL(9, F363:T363)</f>
        <v>24916959.259999998</v>
      </c>
      <c r="F363" s="114" t="n">
        <v>2354587.2</v>
      </c>
      <c r="G363" s="114" t="n">
        <v>1865384.4</v>
      </c>
      <c r="H363" s="114" t="n">
        <v>2468315.46</v>
      </c>
      <c r="I363" s="114" t="n"/>
      <c r="J363" s="114" t="n"/>
      <c r="K363" s="114" t="n"/>
      <c r="L363" s="114" t="n"/>
      <c r="M363" s="114" t="n"/>
      <c r="N363" s="114" t="n">
        <v>6202495.2</v>
      </c>
      <c r="O363" s="114" t="n"/>
      <c r="P363" s="114" t="n">
        <v>11009160.29</v>
      </c>
      <c r="Q363" s="114" t="n"/>
      <c r="R363" s="114" t="n">
        <v>1007016.71</v>
      </c>
      <c r="S363" s="114" t="n">
        <v>10000</v>
      </c>
      <c r="T363" s="115" t="n"/>
    </row>
    <row hidden="false" ht="15" outlineLevel="0" r="364">
      <c r="A364" s="116" t="n">
        <f aca="false" ca="false" dt2D="false" dtr="false" t="normal">+A363+1</f>
        <v>345</v>
      </c>
      <c r="B364" s="117" t="n">
        <f aca="false" ca="false" dt2D="false" dtr="false" t="normal">+B363+1</f>
        <v>157</v>
      </c>
      <c r="C364" s="104" t="s">
        <v>442</v>
      </c>
      <c r="D364" s="117" t="s">
        <v>441</v>
      </c>
      <c r="E364" s="186" t="n">
        <f aca="false" ca="true" dt2D="false" dtr="false" t="normal">SUBTOTAL(9, F364:T364)</f>
        <v>7749923.51</v>
      </c>
      <c r="F364" s="114" t="n"/>
      <c r="G364" s="114" t="n"/>
      <c r="H364" s="114" t="n"/>
      <c r="I364" s="114" t="n"/>
      <c r="J364" s="114" t="n"/>
      <c r="K364" s="114" t="n"/>
      <c r="L364" s="114" t="n"/>
      <c r="M364" s="114" t="n"/>
      <c r="N364" s="114" t="n"/>
      <c r="O364" s="114" t="n"/>
      <c r="P364" s="114" t="n"/>
      <c r="Q364" s="114" t="n">
        <v>7460881.2</v>
      </c>
      <c r="R364" s="114" t="n">
        <v>265042.31</v>
      </c>
      <c r="S364" s="114" t="n">
        <v>24000</v>
      </c>
      <c r="T364" s="115" t="n"/>
    </row>
    <row hidden="false" ht="15" outlineLevel="0" r="365">
      <c r="A365" s="116" t="n">
        <f aca="false" ca="false" dt2D="false" dtr="false" t="normal">+A364+1</f>
        <v>346</v>
      </c>
      <c r="B365" s="117" t="n">
        <f aca="false" ca="false" dt2D="false" dtr="false" t="normal">+B364+1</f>
        <v>158</v>
      </c>
      <c r="C365" s="104" t="s">
        <v>442</v>
      </c>
      <c r="D365" s="117" t="s">
        <v>443</v>
      </c>
      <c r="E365" s="186" t="n">
        <f aca="false" ca="true" dt2D="false" dtr="false" t="normal">SUBTOTAL(9, F365:T365)</f>
        <v>6034759.850000001</v>
      </c>
      <c r="F365" s="114" t="n"/>
      <c r="G365" s="114" t="n"/>
      <c r="H365" s="114" t="n"/>
      <c r="I365" s="114" t="n"/>
      <c r="J365" s="114" t="n"/>
      <c r="K365" s="114" t="n"/>
      <c r="L365" s="114" t="n"/>
      <c r="M365" s="114" t="n"/>
      <c r="N365" s="114" t="n"/>
      <c r="O365" s="114" t="n"/>
      <c r="P365" s="114" t="n"/>
      <c r="Q365" s="114" t="n">
        <v>5755369.2</v>
      </c>
      <c r="R365" s="114" t="n">
        <v>255390.65</v>
      </c>
      <c r="S365" s="114" t="n">
        <v>24000</v>
      </c>
      <c r="T365" s="115" t="n"/>
    </row>
    <row hidden="false" ht="15" outlineLevel="0" r="366">
      <c r="A366" s="116" t="n">
        <f aca="false" ca="false" dt2D="false" dtr="false" t="normal">+A365+1</f>
        <v>347</v>
      </c>
      <c r="B366" s="117" t="n">
        <f aca="false" ca="false" dt2D="false" dtr="false" t="normal">+B365+1</f>
        <v>159</v>
      </c>
      <c r="C366" s="104" t="s">
        <v>259</v>
      </c>
      <c r="D366" s="117" t="s">
        <v>444</v>
      </c>
      <c r="E366" s="113" t="n">
        <f aca="false" ca="true" dt2D="false" dtr="false" t="normal">SUBTOTAL(9, F366:T366)</f>
        <v>8204171.4799999995</v>
      </c>
      <c r="F366" s="114" t="n"/>
      <c r="G366" s="114" t="n"/>
      <c r="H366" s="114" t="n">
        <v>1019979.61</v>
      </c>
      <c r="I366" s="114" t="n"/>
      <c r="J366" s="114" t="n">
        <v>0</v>
      </c>
      <c r="K366" s="114" t="n"/>
      <c r="L366" s="114" t="n"/>
      <c r="M366" s="114" t="n">
        <v>0</v>
      </c>
      <c r="N366" s="114" t="n">
        <v>6953406.85</v>
      </c>
      <c r="O366" s="114" t="n">
        <v>0</v>
      </c>
      <c r="P366" s="114" t="n">
        <v>0</v>
      </c>
      <c r="Q366" s="114" t="n">
        <v>0</v>
      </c>
      <c r="R366" s="114" t="n">
        <v>200943.02</v>
      </c>
      <c r="S366" s="114" t="n">
        <v>29842</v>
      </c>
      <c r="T366" s="115" t="n"/>
    </row>
    <row hidden="false" ht="15" outlineLevel="0" r="367">
      <c r="A367" s="116" t="n">
        <f aca="false" ca="false" dt2D="false" dtr="false" t="normal">+A366+1</f>
        <v>348</v>
      </c>
      <c r="B367" s="117" t="n">
        <f aca="false" ca="false" dt2D="false" dtr="false" t="normal">+B366+1</f>
        <v>160</v>
      </c>
      <c r="C367" s="104" t="s">
        <v>445</v>
      </c>
      <c r="D367" s="104" t="s">
        <v>446</v>
      </c>
      <c r="E367" s="186" t="n">
        <f aca="false" ca="true" dt2D="false" dtr="false" t="normal">SUBTOTAL(9, F367:T367)</f>
        <v>2212764.58</v>
      </c>
      <c r="F367" s="114" t="n"/>
      <c r="G367" s="114" t="n">
        <v>0</v>
      </c>
      <c r="H367" s="114" t="n"/>
      <c r="I367" s="114" t="n"/>
      <c r="J367" s="114" t="n">
        <v>0</v>
      </c>
      <c r="K367" s="114" t="n"/>
      <c r="L367" s="114" t="n"/>
      <c r="M367" s="114" t="n">
        <v>0</v>
      </c>
      <c r="N367" s="114" t="n">
        <v>2212764.58</v>
      </c>
      <c r="O367" s="114" t="n">
        <v>0</v>
      </c>
      <c r="P367" s="114" t="n"/>
      <c r="Q367" s="114" t="n"/>
      <c r="R367" s="114" t="n"/>
      <c r="S367" s="114" t="n"/>
      <c r="T367" s="115" t="n"/>
    </row>
    <row hidden="false" ht="15" outlineLevel="0" r="368">
      <c r="A368" s="116" t="n">
        <f aca="false" ca="false" dt2D="false" dtr="false" t="normal">+A367+1</f>
        <v>349</v>
      </c>
      <c r="B368" s="117" t="n">
        <f aca="false" ca="false" dt2D="false" dtr="false" t="normal">+B367+1</f>
        <v>161</v>
      </c>
      <c r="C368" s="104" t="s">
        <v>280</v>
      </c>
      <c r="D368" s="117" t="s">
        <v>448</v>
      </c>
      <c r="E368" s="186" t="n">
        <f aca="false" ca="true" dt2D="false" dtr="false" t="normal">SUBTOTAL(9, F368:T368)</f>
        <v>2847700.42</v>
      </c>
      <c r="F368" s="114" t="n">
        <v>0</v>
      </c>
      <c r="G368" s="114" t="n">
        <v>0</v>
      </c>
      <c r="H368" s="114" t="n"/>
      <c r="I368" s="114" t="n"/>
      <c r="J368" s="114" t="n"/>
      <c r="K368" s="114" t="n"/>
      <c r="L368" s="114" t="n"/>
      <c r="M368" s="114" t="n">
        <v>0</v>
      </c>
      <c r="N368" s="114" t="n">
        <v>0</v>
      </c>
      <c r="O368" s="114" t="n">
        <v>0</v>
      </c>
      <c r="P368" s="114" t="n">
        <v>0</v>
      </c>
      <c r="Q368" s="114" t="n">
        <v>2719951.1</v>
      </c>
      <c r="R368" s="114" t="n">
        <v>103749.32</v>
      </c>
      <c r="S368" s="114" t="n">
        <v>24000</v>
      </c>
      <c r="T368" s="115" t="n"/>
    </row>
    <row hidden="false" ht="15" outlineLevel="0" r="369">
      <c r="A369" s="116" t="n">
        <f aca="false" ca="false" dt2D="false" dtr="false" t="normal">+A368+1</f>
        <v>350</v>
      </c>
      <c r="B369" s="117" t="n">
        <f aca="false" ca="false" dt2D="false" dtr="false" t="normal">+B368+1</f>
        <v>162</v>
      </c>
      <c r="C369" s="104" t="s">
        <v>280</v>
      </c>
      <c r="D369" s="117" t="s">
        <v>450</v>
      </c>
      <c r="E369" s="186" t="n">
        <f aca="false" ca="true" dt2D="false" dtr="false" t="normal">SUBTOTAL(9, F369:T369)</f>
        <v>10053149.61</v>
      </c>
      <c r="F369" s="114" t="n"/>
      <c r="G369" s="114" t="n"/>
      <c r="H369" s="114" t="n"/>
      <c r="I369" s="114" t="n"/>
      <c r="J369" s="114" t="n"/>
      <c r="K369" s="114" t="n"/>
      <c r="L369" s="114" t="n"/>
      <c r="M369" s="114" t="n"/>
      <c r="N369" s="114" t="n"/>
      <c r="O369" s="114" t="n"/>
      <c r="P369" s="114" t="n"/>
      <c r="Q369" s="114" t="n">
        <v>9759955.27</v>
      </c>
      <c r="R369" s="114" t="n">
        <v>269194.34</v>
      </c>
      <c r="S369" s="114" t="n">
        <v>24000</v>
      </c>
      <c r="T369" s="115" t="n"/>
    </row>
    <row hidden="false" ht="15" outlineLevel="0" r="370">
      <c r="A370" s="116" t="n">
        <f aca="false" ca="false" dt2D="false" dtr="false" t="normal">+A369+1</f>
        <v>351</v>
      </c>
      <c r="B370" s="117" t="n">
        <f aca="false" ca="false" dt2D="false" dtr="false" t="normal">+B369+1</f>
        <v>163</v>
      </c>
      <c r="C370" s="104" t="s">
        <v>280</v>
      </c>
      <c r="D370" s="117" t="s">
        <v>451</v>
      </c>
      <c r="E370" s="113" t="n">
        <f aca="false" ca="true" dt2D="false" dtr="false" t="normal">SUBTOTAL(9, F370:T370)</f>
        <v>1611028.9</v>
      </c>
      <c r="F370" s="114" t="n">
        <v>0</v>
      </c>
      <c r="G370" s="114" t="n">
        <v>0</v>
      </c>
      <c r="H370" s="114" t="n">
        <v>0</v>
      </c>
      <c r="I370" s="114" t="n">
        <v>0</v>
      </c>
      <c r="J370" s="114" t="n">
        <v>1611028.9</v>
      </c>
      <c r="K370" s="114" t="n"/>
      <c r="L370" s="114" t="n"/>
      <c r="M370" s="114" t="n">
        <v>0</v>
      </c>
      <c r="N370" s="114" t="n">
        <v>0</v>
      </c>
      <c r="O370" s="114" t="n">
        <v>0</v>
      </c>
      <c r="P370" s="114" t="n">
        <v>0</v>
      </c>
      <c r="Q370" s="114" t="n">
        <v>0</v>
      </c>
      <c r="R370" s="114" t="n"/>
      <c r="S370" s="114" t="n"/>
      <c r="T370" s="115" t="n"/>
    </row>
    <row hidden="false" ht="15" outlineLevel="0" r="371">
      <c r="A371" s="116" t="n">
        <f aca="false" ca="false" dt2D="false" dtr="false" t="normal">+A370+1</f>
        <v>352</v>
      </c>
      <c r="B371" s="117" t="n">
        <f aca="false" ca="false" dt2D="false" dtr="false" t="normal">+B370+1</f>
        <v>164</v>
      </c>
      <c r="C371" s="104" t="s">
        <v>280</v>
      </c>
      <c r="D371" s="117" t="s">
        <v>452</v>
      </c>
      <c r="E371" s="113" t="n">
        <f aca="false" ca="true" dt2D="false" dtr="false" t="normal">SUBTOTAL(9, F371:T371)</f>
        <v>2853099.65</v>
      </c>
      <c r="F371" s="114" t="n">
        <v>0</v>
      </c>
      <c r="G371" s="114" t="n">
        <v>0</v>
      </c>
      <c r="H371" s="114" t="n">
        <v>0</v>
      </c>
      <c r="I371" s="114" t="n">
        <v>0</v>
      </c>
      <c r="J371" s="114" t="n">
        <v>316916.15</v>
      </c>
      <c r="K371" s="114" t="n"/>
      <c r="L371" s="114" t="n"/>
      <c r="M371" s="114" t="n">
        <v>0</v>
      </c>
      <c r="N371" s="114" t="n">
        <v>0</v>
      </c>
      <c r="O371" s="114" t="n">
        <v>0</v>
      </c>
      <c r="P371" s="114" t="n">
        <v>0</v>
      </c>
      <c r="Q371" s="114" t="n">
        <v>2536183.5</v>
      </c>
      <c r="R371" s="114" t="n"/>
      <c r="S371" s="114" t="n"/>
      <c r="T371" s="115" t="n"/>
    </row>
    <row hidden="false" ht="15" outlineLevel="0" r="372">
      <c r="A372" s="116" t="n">
        <f aca="false" ca="false" dt2D="false" dtr="false" t="normal">+A371+1</f>
        <v>353</v>
      </c>
      <c r="B372" s="117" t="n">
        <f aca="false" ca="false" dt2D="false" dtr="false" t="normal">+B371+1</f>
        <v>165</v>
      </c>
      <c r="C372" s="104" t="s">
        <v>280</v>
      </c>
      <c r="D372" s="117" t="s">
        <v>453</v>
      </c>
      <c r="E372" s="113" t="n">
        <f aca="false" ca="true" dt2D="false" dtr="false" t="normal">SUBTOTAL(9, F372:T372)</f>
        <v>2778863.9</v>
      </c>
      <c r="F372" s="114" t="n">
        <v>0</v>
      </c>
      <c r="G372" s="114" t="n">
        <v>0</v>
      </c>
      <c r="H372" s="114" t="n">
        <v>0</v>
      </c>
      <c r="I372" s="114" t="n">
        <v>0</v>
      </c>
      <c r="J372" s="114" t="n">
        <v>375448.21</v>
      </c>
      <c r="K372" s="114" t="n"/>
      <c r="L372" s="114" t="n"/>
      <c r="M372" s="114" t="n">
        <v>0</v>
      </c>
      <c r="N372" s="114" t="n">
        <v>0</v>
      </c>
      <c r="O372" s="114" t="n">
        <v>0</v>
      </c>
      <c r="P372" s="114" t="n">
        <v>0</v>
      </c>
      <c r="Q372" s="114" t="n">
        <v>2403415.69</v>
      </c>
      <c r="R372" s="114" t="n"/>
      <c r="S372" s="114" t="n"/>
      <c r="T372" s="115" t="n"/>
    </row>
    <row hidden="false" ht="15" outlineLevel="0" r="373">
      <c r="A373" s="116" t="n">
        <f aca="false" ca="false" dt2D="false" dtr="false" t="normal">+A372+1</f>
        <v>354</v>
      </c>
      <c r="B373" s="117" t="n">
        <f aca="false" ca="false" dt2D="false" dtr="false" t="normal">+B372+1</f>
        <v>166</v>
      </c>
      <c r="C373" s="104" t="s">
        <v>283</v>
      </c>
      <c r="D373" s="117" t="s">
        <v>454</v>
      </c>
      <c r="E373" s="113" t="n">
        <f aca="false" ca="true" dt2D="false" dtr="false" t="normal">SUBTOTAL(9, F373:T373)</f>
        <v>1097350.65</v>
      </c>
      <c r="F373" s="114" t="n">
        <v>0</v>
      </c>
      <c r="G373" s="114" t="n">
        <v>0</v>
      </c>
      <c r="H373" s="114" t="n">
        <v>0</v>
      </c>
      <c r="I373" s="114" t="n">
        <v>0</v>
      </c>
      <c r="J373" s="114" t="n"/>
      <c r="K373" s="114" t="n"/>
      <c r="L373" s="114" t="n"/>
      <c r="M373" s="114" t="n">
        <v>0</v>
      </c>
      <c r="N373" s="114" t="n">
        <v>0</v>
      </c>
      <c r="O373" s="114" t="n">
        <v>0</v>
      </c>
      <c r="P373" s="114" t="n">
        <v>0</v>
      </c>
      <c r="Q373" s="114" t="n">
        <v>1097350.65</v>
      </c>
      <c r="R373" s="114" t="n"/>
      <c r="S373" s="114" t="n"/>
      <c r="T373" s="115" t="n"/>
    </row>
    <row hidden="false" ht="15" outlineLevel="0" r="374">
      <c r="A374" s="116" t="n">
        <f aca="false" ca="false" dt2D="false" dtr="false" t="normal">+A373+1</f>
        <v>355</v>
      </c>
      <c r="B374" s="117" t="n">
        <f aca="false" ca="false" dt2D="false" dtr="false" t="normal">+B373+1</f>
        <v>167</v>
      </c>
      <c r="C374" s="104" t="s">
        <v>283</v>
      </c>
      <c r="D374" s="117" t="s">
        <v>292</v>
      </c>
      <c r="E374" s="113" t="n">
        <f aca="false" ca="true" dt2D="false" dtr="false" t="normal">SUBTOTAL(9, F374:T374)</f>
        <v>6360000</v>
      </c>
      <c r="F374" s="114" t="n">
        <v>0</v>
      </c>
      <c r="G374" s="114" t="n">
        <v>0</v>
      </c>
      <c r="H374" s="114" t="n">
        <v>0</v>
      </c>
      <c r="I374" s="114" t="n">
        <v>0</v>
      </c>
      <c r="J374" s="114" t="n"/>
      <c r="K374" s="114" t="n"/>
      <c r="L374" s="114" t="n"/>
      <c r="M374" s="114" t="n">
        <v>0</v>
      </c>
      <c r="N374" s="114" t="n">
        <v>0</v>
      </c>
      <c r="O374" s="114" t="n">
        <v>0</v>
      </c>
      <c r="P374" s="114" t="n"/>
      <c r="Q374" s="114" t="n">
        <v>6360000</v>
      </c>
      <c r="R374" s="114" t="n"/>
      <c r="S374" s="114" t="n"/>
      <c r="T374" s="115" t="n"/>
    </row>
    <row hidden="false" ht="15" outlineLevel="0" r="375">
      <c r="A375" s="116" t="n">
        <f aca="false" ca="false" dt2D="false" dtr="false" t="normal">+A374+1</f>
        <v>356</v>
      </c>
      <c r="B375" s="117" t="n">
        <f aca="false" ca="false" dt2D="false" dtr="false" t="normal">+B374+1</f>
        <v>168</v>
      </c>
      <c r="C375" s="104" t="s">
        <v>283</v>
      </c>
      <c r="D375" s="117" t="s">
        <v>290</v>
      </c>
      <c r="E375" s="113" t="n">
        <f aca="false" ca="true" dt2D="false" dtr="false" t="normal">SUBTOTAL(9, F375:T375)</f>
        <v>530082.84</v>
      </c>
      <c r="F375" s="114" t="n"/>
      <c r="G375" s="114" t="n"/>
      <c r="H375" s="114" t="n"/>
      <c r="I375" s="114" t="n"/>
      <c r="J375" s="114" t="n">
        <v>530082.84</v>
      </c>
      <c r="K375" s="114" t="n"/>
      <c r="L375" s="114" t="n"/>
      <c r="M375" s="114" t="n">
        <v>0</v>
      </c>
      <c r="N375" s="114" t="n">
        <v>0</v>
      </c>
      <c r="O375" s="114" t="n">
        <v>0</v>
      </c>
      <c r="P375" s="114" t="n">
        <v>0</v>
      </c>
      <c r="Q375" s="114" t="n">
        <v>0</v>
      </c>
      <c r="R375" s="114" t="n"/>
      <c r="S375" s="114" t="n"/>
      <c r="T375" s="115" t="n"/>
    </row>
    <row hidden="false" ht="15" outlineLevel="0" r="376">
      <c r="A376" s="116" t="n">
        <f aca="false" ca="false" dt2D="false" dtr="false" t="normal">+A375+1</f>
        <v>357</v>
      </c>
      <c r="B376" s="117" t="n">
        <f aca="false" ca="false" dt2D="false" dtr="false" t="normal">+B375+1</f>
        <v>169</v>
      </c>
      <c r="C376" s="104" t="s">
        <v>455</v>
      </c>
      <c r="D376" s="117" t="s">
        <v>456</v>
      </c>
      <c r="E376" s="186" t="n">
        <f aca="false" ca="true" dt2D="false" dtr="false" t="normal">SUBTOTAL(9, F376:T376)</f>
        <v>2017825.74</v>
      </c>
      <c r="F376" s="114" t="n"/>
      <c r="G376" s="114" t="n"/>
      <c r="H376" s="114" t="n"/>
      <c r="I376" s="114" t="n"/>
      <c r="J376" s="114" t="n"/>
      <c r="K376" s="114" t="n"/>
      <c r="L376" s="114" t="n"/>
      <c r="M376" s="114" t="n"/>
      <c r="N376" s="114" t="n"/>
      <c r="O376" s="114" t="n"/>
      <c r="P376" s="114" t="n"/>
      <c r="Q376" s="114" t="n">
        <v>1885957.2</v>
      </c>
      <c r="R376" s="114" t="n">
        <v>107868.54</v>
      </c>
      <c r="S376" s="114" t="n">
        <v>24000</v>
      </c>
      <c r="T376" s="115" t="n"/>
    </row>
    <row hidden="false" ht="15" outlineLevel="0" r="377">
      <c r="A377" s="116" t="n">
        <f aca="false" ca="false" dt2D="false" dtr="false" t="normal">+A376+1</f>
        <v>358</v>
      </c>
      <c r="B377" s="117" t="n">
        <f aca="false" ca="false" dt2D="false" dtr="false" t="normal">+B376+1</f>
        <v>170</v>
      </c>
      <c r="C377" s="104" t="s">
        <v>111</v>
      </c>
      <c r="D377" s="117" t="s">
        <v>458</v>
      </c>
      <c r="E377" s="113" t="n">
        <f aca="false" ca="true" dt2D="false" dtr="false" t="normal">SUBTOTAL(9, F377:T377)</f>
        <v>19396547.59</v>
      </c>
      <c r="F377" s="114" t="n">
        <v>0</v>
      </c>
      <c r="G377" s="114" t="n">
        <v>0</v>
      </c>
      <c r="H377" s="114" t="n">
        <v>0</v>
      </c>
      <c r="I377" s="114" t="n">
        <v>0</v>
      </c>
      <c r="J377" s="114" t="n">
        <v>0</v>
      </c>
      <c r="K377" s="114" t="n"/>
      <c r="L377" s="114" t="n"/>
      <c r="M377" s="114" t="n">
        <v>0</v>
      </c>
      <c r="N377" s="114" t="n">
        <v>19396547.59</v>
      </c>
      <c r="O377" s="114" t="n">
        <v>0</v>
      </c>
      <c r="P377" s="114" t="n">
        <v>0</v>
      </c>
      <c r="Q377" s="114" t="n">
        <v>0</v>
      </c>
      <c r="R377" s="114" t="n"/>
      <c r="S377" s="114" t="n"/>
      <c r="T377" s="115" t="n"/>
      <c r="U377" s="0" t="n"/>
      <c r="V377" s="0" t="n"/>
      <c r="W377" s="0" t="n"/>
      <c r="X377" s="0" t="n"/>
      <c r="Y377" s="0" t="n"/>
      <c r="Z377" s="0" t="n"/>
      <c r="AA377" s="0" t="n"/>
      <c r="AB377" s="0" t="n"/>
      <c r="AC377" s="0" t="n"/>
      <c r="AD377" s="0" t="n"/>
      <c r="AE377" s="0" t="n"/>
      <c r="AF377" s="0" t="n"/>
      <c r="AG377" s="0" t="n"/>
      <c r="AH377" s="0" t="n"/>
      <c r="AI377" s="0" t="n"/>
      <c r="AJ377" s="0" t="n"/>
      <c r="AK377" s="0" t="n"/>
      <c r="AL377" s="0" t="n"/>
      <c r="AM377" s="0" t="n"/>
      <c r="AN377" s="0" t="n"/>
      <c r="AO377" s="0" t="n"/>
      <c r="AP377" s="0" t="n"/>
      <c r="AQ377" s="0" t="n"/>
      <c r="AR377" s="0" t="n"/>
      <c r="AS377" s="0" t="n"/>
      <c r="AT377" s="0" t="n"/>
      <c r="AU377" s="0" t="n"/>
      <c r="AV377" s="0" t="n"/>
      <c r="AW377" s="0" t="n"/>
      <c r="AX377" s="0" t="n"/>
      <c r="AY377" s="0" t="n"/>
      <c r="AZ377" s="0" t="n"/>
      <c r="BA377" s="0" t="n"/>
      <c r="BB377" s="0" t="n"/>
      <c r="BC377" s="0" t="n"/>
      <c r="BD377" s="0" t="n"/>
      <c r="BE377" s="0" t="n"/>
      <c r="BF377" s="0" t="n"/>
      <c r="BG377" s="0" t="n"/>
      <c r="BH377" s="0" t="n"/>
      <c r="BI377" s="0" t="n"/>
      <c r="BJ377" s="0" t="n"/>
      <c r="BK377" s="0" t="n"/>
      <c r="BL377" s="0" t="n"/>
      <c r="BM377" s="0" t="n"/>
      <c r="BN377" s="0" t="n"/>
      <c r="BO377" s="0" t="n"/>
      <c r="BP377" s="0" t="n"/>
    </row>
    <row hidden="false" ht="15" outlineLevel="0" r="378">
      <c r="A378" s="116" t="n">
        <f aca="false" ca="false" dt2D="false" dtr="false" t="normal">+A377+1</f>
        <v>359</v>
      </c>
      <c r="B378" s="117" t="n">
        <f aca="false" ca="false" dt2D="false" dtr="false" t="normal">+B377+1</f>
        <v>171</v>
      </c>
      <c r="C378" s="104" t="s">
        <v>111</v>
      </c>
      <c r="D378" s="117" t="s">
        <v>460</v>
      </c>
      <c r="E378" s="113" t="n">
        <f aca="false" ca="true" dt2D="false" dtr="false" t="normal">SUBTOTAL(9, F378:T378)</f>
        <v>27023830.790000003</v>
      </c>
      <c r="F378" s="114" t="n">
        <v>0</v>
      </c>
      <c r="G378" s="114" t="n">
        <v>0</v>
      </c>
      <c r="H378" s="114" t="n">
        <v>0</v>
      </c>
      <c r="I378" s="114" t="n">
        <v>0</v>
      </c>
      <c r="J378" s="114" t="n">
        <v>0</v>
      </c>
      <c r="K378" s="114" t="n"/>
      <c r="L378" s="114" t="n"/>
      <c r="M378" s="114" t="n">
        <v>0</v>
      </c>
      <c r="N378" s="114" t="n">
        <v>2963117.94</v>
      </c>
      <c r="O378" s="114" t="n">
        <v>0</v>
      </c>
      <c r="P378" s="114" t="n">
        <v>24060712.85</v>
      </c>
      <c r="Q378" s="114" t="n">
        <v>0</v>
      </c>
      <c r="R378" s="114" t="n"/>
      <c r="S378" s="114" t="n"/>
      <c r="T378" s="115" t="n"/>
      <c r="U378" s="0" t="n"/>
      <c r="V378" s="0" t="n"/>
      <c r="W378" s="0" t="n"/>
      <c r="X378" s="0" t="n"/>
      <c r="Y378" s="0" t="n"/>
      <c r="Z378" s="0" t="n"/>
      <c r="AA378" s="0" t="n"/>
      <c r="AB378" s="0" t="n"/>
      <c r="AC378" s="0" t="n"/>
      <c r="AD378" s="0" t="n"/>
      <c r="AE378" s="0" t="n"/>
      <c r="AF378" s="0" t="n"/>
      <c r="AG378" s="0" t="n"/>
      <c r="AH378" s="0" t="n"/>
      <c r="AI378" s="0" t="n"/>
      <c r="AJ378" s="0" t="n"/>
      <c r="AK378" s="0" t="n"/>
      <c r="AL378" s="0" t="n"/>
      <c r="AM378" s="0" t="n"/>
      <c r="AN378" s="0" t="n"/>
      <c r="AO378" s="0" t="n"/>
      <c r="AP378" s="0" t="n"/>
      <c r="AQ378" s="0" t="n"/>
      <c r="AR378" s="0" t="n"/>
      <c r="AS378" s="0" t="n"/>
      <c r="AT378" s="0" t="n"/>
      <c r="AU378" s="0" t="n"/>
      <c r="AV378" s="0" t="n"/>
      <c r="AW378" s="0" t="n"/>
      <c r="AX378" s="0" t="n"/>
      <c r="AY378" s="0" t="n"/>
      <c r="AZ378" s="0" t="n"/>
      <c r="BA378" s="0" t="n"/>
      <c r="BB378" s="0" t="n"/>
      <c r="BC378" s="0" t="n"/>
      <c r="BD378" s="0" t="n"/>
      <c r="BE378" s="0" t="n"/>
      <c r="BF378" s="0" t="n"/>
      <c r="BG378" s="0" t="n"/>
      <c r="BH378" s="0" t="n"/>
      <c r="BI378" s="0" t="n"/>
      <c r="BJ378" s="0" t="n"/>
      <c r="BK378" s="0" t="n"/>
      <c r="BL378" s="0" t="n"/>
      <c r="BM378" s="0" t="n"/>
      <c r="BN378" s="0" t="n"/>
      <c r="BO378" s="0" t="n"/>
      <c r="BP378" s="0" t="n"/>
    </row>
    <row hidden="false" ht="15" outlineLevel="0" r="379">
      <c r="A379" s="116" t="n">
        <f aca="false" ca="false" dt2D="false" dtr="false" t="normal">+A378+1</f>
        <v>360</v>
      </c>
      <c r="B379" s="117" t="n">
        <f aca="false" ca="false" dt2D="false" dtr="false" t="normal">+B378+1</f>
        <v>172</v>
      </c>
      <c r="C379" s="104" t="s">
        <v>111</v>
      </c>
      <c r="D379" s="117" t="s">
        <v>461</v>
      </c>
      <c r="E379" s="113" t="n">
        <f aca="false" ca="true" dt2D="false" dtr="false" t="normal">SUBTOTAL(9, F379:T379)</f>
        <v>893135.77</v>
      </c>
      <c r="F379" s="114" t="n"/>
      <c r="G379" s="114" t="n">
        <v>893135.77</v>
      </c>
      <c r="H379" s="114" t="n"/>
      <c r="I379" s="114" t="n"/>
      <c r="J379" s="114" t="n"/>
      <c r="K379" s="114" t="n"/>
      <c r="L379" s="114" t="n"/>
      <c r="M379" s="114" t="n"/>
      <c r="N379" s="114" t="n"/>
      <c r="O379" s="114" t="n"/>
      <c r="P379" s="114" t="n"/>
      <c r="Q379" s="114" t="n"/>
      <c r="R379" s="114" t="n"/>
      <c r="S379" s="114" t="n"/>
      <c r="T379" s="115" t="n"/>
      <c r="U379" s="0" t="n"/>
      <c r="V379" s="0" t="n"/>
      <c r="W379" s="0" t="n"/>
      <c r="X379" s="0" t="n"/>
      <c r="Y379" s="0" t="n"/>
      <c r="Z379" s="0" t="n"/>
      <c r="AA379" s="0" t="n"/>
      <c r="AB379" s="0" t="n"/>
      <c r="AC379" s="0" t="n"/>
      <c r="AD379" s="0" t="n"/>
      <c r="AE379" s="0" t="n"/>
      <c r="AF379" s="0" t="n"/>
      <c r="AG379" s="0" t="n"/>
      <c r="AH379" s="0" t="n"/>
      <c r="AI379" s="0" t="n"/>
      <c r="AJ379" s="0" t="n"/>
      <c r="AK379" s="0" t="n"/>
      <c r="AL379" s="0" t="n"/>
      <c r="AM379" s="0" t="n"/>
      <c r="AN379" s="0" t="n"/>
      <c r="AO379" s="0" t="n"/>
      <c r="AP379" s="0" t="n"/>
      <c r="AQ379" s="0" t="n"/>
      <c r="AR379" s="0" t="n"/>
      <c r="AS379" s="0" t="n"/>
      <c r="AT379" s="0" t="n"/>
      <c r="AU379" s="0" t="n"/>
      <c r="AV379" s="0" t="n"/>
      <c r="AW379" s="0" t="n"/>
      <c r="AX379" s="0" t="n"/>
      <c r="AY379" s="0" t="n"/>
      <c r="AZ379" s="0" t="n"/>
      <c r="BA379" s="0" t="n"/>
      <c r="BB379" s="0" t="n"/>
      <c r="BC379" s="0" t="n"/>
      <c r="BD379" s="0" t="n"/>
      <c r="BE379" s="0" t="n"/>
      <c r="BF379" s="0" t="n"/>
      <c r="BG379" s="0" t="n"/>
      <c r="BH379" s="0" t="n"/>
      <c r="BI379" s="0" t="n"/>
      <c r="BJ379" s="0" t="n"/>
      <c r="BK379" s="0" t="n"/>
      <c r="BL379" s="0" t="n"/>
      <c r="BM379" s="0" t="n"/>
      <c r="BN379" s="0" t="n"/>
      <c r="BO379" s="0" t="n"/>
      <c r="BP379" s="0" t="n"/>
    </row>
    <row customFormat="true" hidden="false" ht="15" outlineLevel="0" r="380" s="217">
      <c r="A380" s="230" t="n"/>
      <c r="B380" s="218" t="n"/>
      <c r="C380" s="162" t="n"/>
      <c r="D380" s="163" t="s">
        <v>462</v>
      </c>
      <c r="E380" s="165" t="n">
        <f aca="false" ca="false" dt2D="false" dtr="false" t="normal">SUM(E381:E480)</f>
        <v>768473364.1720002</v>
      </c>
      <c r="F380" s="165" t="n">
        <f aca="false" ca="false" dt2D="false" dtr="false" t="normal">SUM(F381:F480)</f>
        <v>144425420.322</v>
      </c>
      <c r="G380" s="165" t="n">
        <f aca="false" ca="false" dt2D="false" dtr="false" t="normal">SUM(G381:G480)</f>
        <v>42222260.470000006</v>
      </c>
      <c r="H380" s="165" t="n">
        <f aca="false" ca="false" dt2D="false" dtr="false" t="normal">SUM(H381:H480)</f>
        <v>25505444.809999995</v>
      </c>
      <c r="I380" s="165" t="n">
        <f aca="false" ca="false" dt2D="false" dtr="false" t="normal">SUM(I381:I480)</f>
        <v>22649169.309999995</v>
      </c>
      <c r="J380" s="165" t="n">
        <f aca="false" ca="false" dt2D="false" dtr="false" t="normal">SUM(J381:J480)</f>
        <v>5533470.3100000005</v>
      </c>
      <c r="K380" s="165" t="n">
        <f aca="false" ca="false" dt2D="false" dtr="false" t="normal">SUM(K381:K480)</f>
        <v>0</v>
      </c>
      <c r="L380" s="165" t="n">
        <f aca="false" ca="false" dt2D="false" dtr="false" t="normal">SUM(L381:L480)</f>
        <v>1515829.2</v>
      </c>
      <c r="M380" s="165" t="n">
        <f aca="false" ca="false" dt2D="false" dtr="false" t="normal">SUM(M381:M480)</f>
        <v>16975058.39</v>
      </c>
      <c r="N380" s="165" t="n">
        <f aca="false" ca="false" dt2D="false" dtr="false" t="normal">SUM(N381:N480)</f>
        <v>49520642.9</v>
      </c>
      <c r="O380" s="165" t="n">
        <f aca="false" ca="false" dt2D="false" dtr="false" t="normal">SUM(O381:O480)</f>
        <v>20258175.979999997</v>
      </c>
      <c r="P380" s="165" t="n">
        <f aca="false" ca="false" dt2D="false" dtr="false" t="normal">SUM(P381:P480)</f>
        <v>363622876.85999995</v>
      </c>
      <c r="Q380" s="165" t="n">
        <f aca="false" ca="false" dt2D="false" dtr="false" t="normal">SUM(Q381:Q480)</f>
        <v>67272553.66</v>
      </c>
      <c r="R380" s="165" t="n">
        <f aca="false" ca="false" dt2D="false" dtr="false" t="normal">SUM(R381:R480)</f>
        <v>6903550.989999998</v>
      </c>
      <c r="S380" s="165" t="n">
        <f aca="false" ca="false" dt2D="false" dtr="false" t="normal">SUM(S381:S480)</f>
        <v>602514.6</v>
      </c>
      <c r="T380" s="165" t="n">
        <f aca="false" ca="false" dt2D="false" dtr="false" t="normal">SUM(T381:T480)</f>
        <v>1466396.3699999999</v>
      </c>
      <c r="U380" s="221" t="n"/>
      <c r="Y380" s="222" t="n"/>
      <c r="AB380" s="222" t="n"/>
      <c r="AN380" s="223" t="n"/>
      <c r="AO380" s="224" t="n"/>
      <c r="AP380" s="225" t="n"/>
      <c r="AQ380" s="225" t="n"/>
      <c r="AR380" s="226" t="n"/>
      <c r="AS380" s="226" t="n"/>
      <c r="AT380" s="226" t="n"/>
      <c r="AU380" s="227" t="n"/>
      <c r="AV380" s="228" t="n"/>
      <c r="AW380" s="228" t="n"/>
      <c r="AX380" s="228" t="n"/>
      <c r="AY380" s="228" t="n"/>
      <c r="AZ380" s="228" t="n"/>
      <c r="BA380" s="228" t="n"/>
      <c r="BB380" s="228" t="n"/>
      <c r="BC380" s="228" t="n"/>
      <c r="BD380" s="228" t="n"/>
      <c r="BE380" s="228" t="n"/>
      <c r="BF380" s="228" t="n"/>
      <c r="BG380" s="228" t="n"/>
      <c r="BH380" s="228" t="n"/>
      <c r="BI380" s="169" t="n"/>
      <c r="BJ380" s="229" t="n"/>
      <c r="BK380" s="227" t="n"/>
      <c r="BL380" s="228" t="n"/>
      <c r="BM380" s="228" t="n"/>
      <c r="BN380" s="228" t="n"/>
      <c r="BO380" s="228" t="n"/>
      <c r="BP380" s="228" t="n"/>
      <c r="BQ380" s="228" t="n"/>
      <c r="BR380" s="228" t="n"/>
      <c r="BS380" s="228" t="n"/>
      <c r="BT380" s="228" t="n"/>
      <c r="BU380" s="228" t="n"/>
      <c r="BV380" s="228" t="n"/>
      <c r="BW380" s="228" t="n"/>
      <c r="BX380" s="228" t="n"/>
      <c r="BY380" s="169" t="n"/>
      <c r="BZ380" s="229" t="n"/>
    </row>
    <row hidden="false" ht="15" outlineLevel="0" r="381">
      <c r="A381" s="116" t="n">
        <v>361</v>
      </c>
      <c r="B381" s="117" t="s">
        <v>463</v>
      </c>
      <c r="C381" s="104" t="s">
        <v>66</v>
      </c>
      <c r="D381" s="117" t="s">
        <v>67</v>
      </c>
      <c r="E381" s="113" t="n">
        <f aca="false" ca="true" dt2D="false" dtr="false" t="normal">SUBTOTAL(9, F381:T381)</f>
        <v>25340387.450000003</v>
      </c>
      <c r="F381" s="114" t="n"/>
      <c r="G381" s="114" t="n"/>
      <c r="H381" s="114" t="n"/>
      <c r="I381" s="114" t="n">
        <v>0</v>
      </c>
      <c r="J381" s="114" t="n">
        <v>0</v>
      </c>
      <c r="K381" s="114" t="n"/>
      <c r="L381" s="114" t="n">
        <v>0</v>
      </c>
      <c r="M381" s="114" t="n">
        <v>0</v>
      </c>
      <c r="N381" s="114" t="n">
        <v>0</v>
      </c>
      <c r="O381" s="114" t="n">
        <v>0</v>
      </c>
      <c r="P381" s="114" t="n">
        <v>24877323.6</v>
      </c>
      <c r="Q381" s="114" t="n"/>
      <c r="R381" s="114" t="n">
        <v>451063.85</v>
      </c>
      <c r="S381" s="114" t="n">
        <v>12000</v>
      </c>
      <c r="T381" s="115" t="n"/>
      <c r="U381" s="0" t="n"/>
      <c r="V381" s="0" t="n"/>
      <c r="W381" s="0" t="n"/>
      <c r="X381" s="0" t="n"/>
      <c r="Y381" s="0" t="n"/>
      <c r="Z381" s="0" t="n"/>
      <c r="AA381" s="0" t="n"/>
      <c r="AB381" s="0" t="n"/>
      <c r="AC381" s="0" t="n"/>
      <c r="AD381" s="0" t="n"/>
      <c r="AE381" s="0" t="n"/>
      <c r="AF381" s="0" t="n"/>
      <c r="AG381" s="0" t="n"/>
      <c r="AH381" s="0" t="n"/>
      <c r="AI381" s="0" t="n"/>
      <c r="AJ381" s="0" t="n"/>
      <c r="AK381" s="0" t="n"/>
      <c r="AL381" s="0" t="n"/>
      <c r="AM381" s="0" t="n"/>
      <c r="AN381" s="0" t="n"/>
      <c r="AO381" s="0" t="n"/>
      <c r="AP381" s="0" t="n"/>
      <c r="AQ381" s="0" t="n"/>
      <c r="AR381" s="0" t="n"/>
      <c r="AS381" s="0" t="n"/>
      <c r="AT381" s="0" t="n"/>
      <c r="AU381" s="0" t="n"/>
      <c r="AV381" s="0" t="n"/>
      <c r="AW381" s="0" t="n"/>
      <c r="AX381" s="0" t="n"/>
      <c r="AY381" s="0" t="n"/>
      <c r="AZ381" s="0" t="n"/>
      <c r="BA381" s="0" t="n"/>
      <c r="BB381" s="0" t="n"/>
      <c r="BC381" s="0" t="n"/>
      <c r="BD381" s="0" t="n"/>
      <c r="BE381" s="0" t="n"/>
      <c r="BF381" s="0" t="n"/>
      <c r="BG381" s="0" t="n"/>
      <c r="BH381" s="0" t="n"/>
      <c r="BI381" s="0" t="n"/>
      <c r="BJ381" s="0" t="n"/>
      <c r="BK381" s="0" t="n"/>
      <c r="BL381" s="0" t="n"/>
      <c r="BM381" s="0" t="n"/>
      <c r="BN381" s="0" t="n"/>
      <c r="BO381" s="0" t="n"/>
      <c r="BP381" s="0" t="n"/>
    </row>
    <row hidden="false" ht="15" outlineLevel="0" r="382">
      <c r="A382" s="116" t="n">
        <f aca="false" ca="false" dt2D="false" dtr="false" t="normal">+A381+1</f>
        <v>362</v>
      </c>
      <c r="B382" s="117" t="n">
        <v>173</v>
      </c>
      <c r="C382" s="104" t="s">
        <v>75</v>
      </c>
      <c r="D382" s="117" t="s">
        <v>464</v>
      </c>
      <c r="E382" s="186" t="n">
        <f aca="false" ca="true" dt2D="false" dtr="false" t="normal">SUBTOTAL(9, F382:T382)</f>
        <v>2104424.3</v>
      </c>
      <c r="F382" s="114" t="n"/>
      <c r="G382" s="114" t="n"/>
      <c r="H382" s="114" t="n">
        <v>2070922.4</v>
      </c>
      <c r="I382" s="114" t="n"/>
      <c r="J382" s="114" t="n">
        <v>0</v>
      </c>
      <c r="K382" s="114" t="n"/>
      <c r="L382" s="114" t="n"/>
      <c r="M382" s="114" t="n">
        <v>0</v>
      </c>
      <c r="N382" s="114" t="n">
        <v>0</v>
      </c>
      <c r="O382" s="114" t="n">
        <v>0</v>
      </c>
      <c r="P382" s="114" t="n">
        <v>0</v>
      </c>
      <c r="Q382" s="114" t="n">
        <v>0</v>
      </c>
      <c r="R382" s="114" t="n"/>
      <c r="S382" s="114" t="n"/>
      <c r="T382" s="115" t="n">
        <v>33501.9</v>
      </c>
      <c r="U382" s="0" t="n"/>
      <c r="V382" s="0" t="n"/>
      <c r="W382" s="0" t="n"/>
      <c r="X382" s="0" t="n"/>
      <c r="Y382" s="0" t="n"/>
      <c r="Z382" s="0" t="n"/>
      <c r="AA382" s="0" t="n"/>
      <c r="AB382" s="0" t="n"/>
      <c r="AC382" s="0" t="n"/>
      <c r="AD382" s="0" t="n"/>
      <c r="AE382" s="0" t="n"/>
      <c r="AF382" s="0" t="n"/>
      <c r="AG382" s="0" t="n"/>
      <c r="AH382" s="0" t="n"/>
      <c r="AI382" s="0" t="n"/>
      <c r="AJ382" s="0" t="n"/>
      <c r="AK382" s="0" t="n"/>
      <c r="AL382" s="0" t="n"/>
      <c r="AM382" s="0" t="n"/>
      <c r="AN382" s="0" t="n"/>
      <c r="AO382" s="0" t="n"/>
      <c r="AP382" s="0" t="n"/>
      <c r="AQ382" s="0" t="n"/>
      <c r="AR382" s="0" t="n"/>
      <c r="AS382" s="0" t="n"/>
      <c r="AT382" s="0" t="n"/>
      <c r="AU382" s="0" t="n"/>
      <c r="AV382" s="0" t="n"/>
      <c r="AW382" s="0" t="n"/>
      <c r="AX382" s="0" t="n"/>
      <c r="AY382" s="0" t="n"/>
      <c r="AZ382" s="0" t="n"/>
      <c r="BA382" s="0" t="n"/>
      <c r="BB382" s="0" t="n"/>
      <c r="BC382" s="0" t="n"/>
      <c r="BD382" s="0" t="n"/>
      <c r="BE382" s="0" t="n"/>
      <c r="BF382" s="0" t="n"/>
      <c r="BG382" s="0" t="n"/>
      <c r="BH382" s="0" t="n"/>
      <c r="BI382" s="0" t="n"/>
      <c r="BJ382" s="0" t="n"/>
      <c r="BK382" s="0" t="n"/>
      <c r="BL382" s="0" t="n"/>
      <c r="BM382" s="0" t="n"/>
      <c r="BN382" s="0" t="n"/>
      <c r="BO382" s="0" t="n"/>
      <c r="BP382" s="0" t="n"/>
    </row>
    <row hidden="false" ht="15" outlineLevel="0" r="383">
      <c r="A383" s="116" t="n">
        <f aca="false" ca="false" dt2D="false" dtr="false" t="normal">+A382+1</f>
        <v>363</v>
      </c>
      <c r="B383" s="117" t="n">
        <f aca="false" ca="false" dt2D="false" dtr="false" t="normal">+B382+1</f>
        <v>174</v>
      </c>
      <c r="C383" s="104" t="s">
        <v>75</v>
      </c>
      <c r="D383" s="117" t="s">
        <v>76</v>
      </c>
      <c r="E383" s="186" t="n">
        <f aca="false" ca="true" dt2D="false" dtr="false" t="normal">SUBTOTAL(9, F383:T383)</f>
        <v>687537.26</v>
      </c>
      <c r="F383" s="114" t="n">
        <v>0</v>
      </c>
      <c r="G383" s="114" t="n">
        <v>0</v>
      </c>
      <c r="H383" s="114" t="n">
        <v>681874</v>
      </c>
      <c r="I383" s="114" t="n"/>
      <c r="J383" s="114" t="n">
        <v>0</v>
      </c>
      <c r="K383" s="114" t="n"/>
      <c r="L383" s="114" t="n"/>
      <c r="M383" s="114" t="n">
        <v>0</v>
      </c>
      <c r="N383" s="114" t="n">
        <v>0</v>
      </c>
      <c r="O383" s="114" t="n">
        <v>0</v>
      </c>
      <c r="P383" s="114" t="n">
        <v>0</v>
      </c>
      <c r="Q383" s="114" t="n">
        <v>0</v>
      </c>
      <c r="R383" s="114" t="n"/>
      <c r="S383" s="114" t="n"/>
      <c r="T383" s="115" t="n">
        <v>5663.26</v>
      </c>
      <c r="U383" s="0" t="n"/>
      <c r="V383" s="0" t="n"/>
      <c r="W383" s="0" t="n"/>
      <c r="X383" s="0" t="n"/>
      <c r="Y383" s="0" t="n"/>
      <c r="Z383" s="0" t="n"/>
      <c r="AA383" s="0" t="n"/>
      <c r="AB383" s="0" t="n"/>
      <c r="AC383" s="0" t="n"/>
      <c r="AD383" s="0" t="n"/>
      <c r="AE383" s="0" t="n"/>
      <c r="AF383" s="0" t="n"/>
      <c r="AG383" s="0" t="n"/>
      <c r="AH383" s="0" t="n"/>
      <c r="AI383" s="0" t="n"/>
      <c r="AJ383" s="0" t="n"/>
      <c r="AK383" s="0" t="n"/>
      <c r="AL383" s="0" t="n"/>
      <c r="AM383" s="0" t="n"/>
      <c r="AN383" s="0" t="n"/>
      <c r="AO383" s="0" t="n"/>
      <c r="AP383" s="0" t="n"/>
      <c r="AQ383" s="0" t="n"/>
      <c r="AR383" s="0" t="n"/>
      <c r="AS383" s="0" t="n"/>
      <c r="AT383" s="0" t="n"/>
      <c r="AU383" s="0" t="n"/>
      <c r="AV383" s="0" t="n"/>
      <c r="AW383" s="0" t="n"/>
      <c r="AX383" s="0" t="n"/>
      <c r="AY383" s="0" t="n"/>
      <c r="AZ383" s="0" t="n"/>
      <c r="BA383" s="0" t="n"/>
      <c r="BB383" s="0" t="n"/>
      <c r="BC383" s="0" t="n"/>
      <c r="BD383" s="0" t="n"/>
      <c r="BE383" s="0" t="n"/>
      <c r="BF383" s="0" t="n"/>
      <c r="BG383" s="0" t="n"/>
      <c r="BH383" s="0" t="n"/>
      <c r="BI383" s="0" t="n"/>
      <c r="BJ383" s="0" t="n"/>
      <c r="BK383" s="0" t="n"/>
      <c r="BL383" s="0" t="n"/>
      <c r="BM383" s="0" t="n"/>
      <c r="BN383" s="0" t="n"/>
      <c r="BO383" s="0" t="n"/>
      <c r="BP383" s="0" t="n"/>
    </row>
    <row hidden="false" ht="15" outlineLevel="0" r="384">
      <c r="A384" s="116" t="n">
        <f aca="false" ca="false" dt2D="false" dtr="false" t="normal">+A383+1</f>
        <v>364</v>
      </c>
      <c r="B384" s="117" t="n">
        <f aca="false" ca="false" dt2D="false" dtr="false" t="normal">+B383+1</f>
        <v>175</v>
      </c>
      <c r="C384" s="104" t="s">
        <v>75</v>
      </c>
      <c r="D384" s="117" t="s">
        <v>465</v>
      </c>
      <c r="E384" s="186" t="n">
        <f aca="false" ca="true" dt2D="false" dtr="false" t="normal">SUBTOTAL(9, F384:T384)</f>
        <v>6887339.91</v>
      </c>
      <c r="G384" s="114" t="n">
        <v>4606470.12</v>
      </c>
      <c r="H384" s="114" t="n"/>
      <c r="I384" s="114" t="n">
        <v>2236444.67</v>
      </c>
      <c r="J384" s="114" t="n">
        <v>0</v>
      </c>
      <c r="K384" s="114" t="n"/>
      <c r="L384" s="114" t="n"/>
      <c r="M384" s="114" t="n">
        <v>0</v>
      </c>
      <c r="N384" s="114" t="n">
        <v>0</v>
      </c>
      <c r="O384" s="114" t="n">
        <v>0</v>
      </c>
      <c r="P384" s="114" t="n">
        <v>0</v>
      </c>
      <c r="Q384" s="114" t="n">
        <v>0</v>
      </c>
      <c r="R384" s="114" t="n"/>
      <c r="S384" s="114" t="n"/>
      <c r="T384" s="115" t="n">
        <f aca="false" ca="false" dt2D="false" dtr="false" t="normal">28896.64+15528.48</f>
        <v>44425.119999999995</v>
      </c>
      <c r="U384" s="0" t="n"/>
      <c r="V384" s="0" t="n"/>
      <c r="W384" s="0" t="n"/>
      <c r="X384" s="0" t="n"/>
      <c r="Y384" s="0" t="n"/>
      <c r="Z384" s="0" t="n"/>
      <c r="AA384" s="0" t="n"/>
      <c r="AB384" s="0" t="n"/>
      <c r="AC384" s="0" t="n"/>
      <c r="AD384" s="0" t="n"/>
      <c r="AE384" s="0" t="n"/>
      <c r="AF384" s="0" t="n"/>
      <c r="AG384" s="0" t="n"/>
      <c r="AH384" s="0" t="n"/>
      <c r="AI384" s="0" t="n"/>
      <c r="AJ384" s="0" t="n"/>
      <c r="AK384" s="0" t="n"/>
      <c r="AL384" s="0" t="n"/>
      <c r="AM384" s="0" t="n"/>
      <c r="AN384" s="0" t="n"/>
      <c r="AO384" s="0" t="n"/>
      <c r="AP384" s="0" t="n"/>
      <c r="AQ384" s="0" t="n"/>
      <c r="AR384" s="0" t="n"/>
      <c r="AS384" s="0" t="n"/>
      <c r="AT384" s="0" t="n"/>
      <c r="AU384" s="0" t="n"/>
      <c r="AV384" s="0" t="n"/>
      <c r="AW384" s="0" t="n"/>
      <c r="AX384" s="0" t="n"/>
      <c r="AY384" s="0" t="n"/>
      <c r="AZ384" s="0" t="n"/>
      <c r="BA384" s="0" t="n"/>
      <c r="BB384" s="0" t="n"/>
      <c r="BC384" s="0" t="n"/>
      <c r="BD384" s="0" t="n"/>
      <c r="BE384" s="0" t="n"/>
      <c r="BF384" s="0" t="n"/>
      <c r="BG384" s="0" t="n"/>
      <c r="BH384" s="0" t="n"/>
      <c r="BI384" s="0" t="n"/>
      <c r="BJ384" s="0" t="n"/>
      <c r="BK384" s="0" t="n"/>
      <c r="BL384" s="0" t="n"/>
      <c r="BM384" s="0" t="n"/>
      <c r="BN384" s="0" t="n"/>
      <c r="BO384" s="0" t="n"/>
      <c r="BP384" s="0" t="n"/>
    </row>
    <row hidden="false" ht="15" outlineLevel="0" r="385">
      <c r="A385" s="116" t="n">
        <f aca="false" ca="false" dt2D="false" dtr="false" t="normal">+A384+1</f>
        <v>365</v>
      </c>
      <c r="B385" s="117" t="n">
        <f aca="false" ca="false" dt2D="false" dtr="false" t="normal">+B384+1</f>
        <v>176</v>
      </c>
      <c r="C385" s="104" t="s">
        <v>78</v>
      </c>
      <c r="D385" s="104" t="s">
        <v>466</v>
      </c>
      <c r="E385" s="113" t="n">
        <f aca="false" ca="true" dt2D="false" dtr="false" t="normal">SUBTOTAL(9, F385:T385)</f>
        <v>6473254.53</v>
      </c>
      <c r="F385" s="106" t="n">
        <v>6359997.58</v>
      </c>
      <c r="G385" s="114" t="n">
        <v>0</v>
      </c>
      <c r="H385" s="114" t="n"/>
      <c r="I385" s="114" t="n">
        <v>0</v>
      </c>
      <c r="J385" s="114" t="n">
        <v>0</v>
      </c>
      <c r="K385" s="114" t="n"/>
      <c r="L385" s="114" t="n"/>
      <c r="M385" s="114" t="n">
        <v>0</v>
      </c>
      <c r="N385" s="114" t="n">
        <v>0</v>
      </c>
      <c r="O385" s="114" t="n">
        <v>0</v>
      </c>
      <c r="P385" s="114" t="n">
        <v>0</v>
      </c>
      <c r="Q385" s="114" t="n">
        <v>0</v>
      </c>
      <c r="R385" s="114" t="n"/>
      <c r="S385" s="114" t="n"/>
      <c r="T385" s="115" t="n">
        <v>113256.95</v>
      </c>
    </row>
    <row hidden="false" ht="15" outlineLevel="0" r="386">
      <c r="A386" s="116" t="n">
        <f aca="false" ca="false" dt2D="false" dtr="false" t="normal">+A385+1</f>
        <v>366</v>
      </c>
      <c r="B386" s="117" t="n">
        <f aca="false" ca="false" dt2D="false" dtr="false" t="normal">+B385+1</f>
        <v>177</v>
      </c>
      <c r="C386" s="104" t="s">
        <v>78</v>
      </c>
      <c r="D386" s="117" t="s">
        <v>467</v>
      </c>
      <c r="E386" s="186" t="n">
        <f aca="false" ca="true" dt2D="false" dtr="false" t="normal">SUBTOTAL(9, F386:T386)</f>
        <v>17753087.02</v>
      </c>
      <c r="F386" s="114" t="n">
        <v>0</v>
      </c>
      <c r="G386" s="114" t="n">
        <v>0</v>
      </c>
      <c r="H386" s="114" t="n">
        <v>0</v>
      </c>
      <c r="I386" s="114" t="n">
        <v>0</v>
      </c>
      <c r="J386" s="114" t="n">
        <v>0</v>
      </c>
      <c r="K386" s="114" t="n"/>
      <c r="L386" s="114" t="n"/>
      <c r="M386" s="114" t="n">
        <v>0</v>
      </c>
      <c r="N386" s="114" t="n">
        <v>0</v>
      </c>
      <c r="O386" s="114" t="n">
        <v>17619090.9</v>
      </c>
      <c r="P386" s="114" t="n">
        <v>0</v>
      </c>
      <c r="Q386" s="114" t="n">
        <v>0</v>
      </c>
      <c r="R386" s="114" t="n"/>
      <c r="S386" s="114" t="n"/>
      <c r="T386" s="115" t="n">
        <v>133996.12</v>
      </c>
      <c r="U386" s="0" t="n"/>
      <c r="V386" s="0" t="n"/>
      <c r="W386" s="0" t="n"/>
      <c r="X386" s="0" t="n"/>
      <c r="Y386" s="0" t="n"/>
      <c r="Z386" s="0" t="n"/>
      <c r="AA386" s="0" t="n"/>
      <c r="AB386" s="0" t="n"/>
      <c r="AC386" s="0" t="n"/>
      <c r="AD386" s="0" t="n"/>
      <c r="AE386" s="0" t="n"/>
      <c r="AF386" s="0" t="n"/>
      <c r="AG386" s="0" t="n"/>
      <c r="AH386" s="0" t="n"/>
      <c r="AI386" s="0" t="n"/>
      <c r="AJ386" s="0" t="n"/>
      <c r="AK386" s="0" t="n"/>
      <c r="AL386" s="0" t="n"/>
      <c r="AM386" s="0" t="n"/>
      <c r="AN386" s="0" t="n"/>
      <c r="AO386" s="0" t="n"/>
      <c r="AP386" s="0" t="n"/>
      <c r="AQ386" s="0" t="n"/>
      <c r="AR386" s="0" t="n"/>
      <c r="AS386" s="0" t="n"/>
      <c r="AT386" s="0" t="n"/>
      <c r="AU386" s="0" t="n"/>
      <c r="AV386" s="0" t="n"/>
      <c r="AW386" s="0" t="n"/>
      <c r="AX386" s="0" t="n"/>
      <c r="AY386" s="0" t="n"/>
      <c r="AZ386" s="0" t="n"/>
      <c r="BA386" s="0" t="n"/>
      <c r="BB386" s="0" t="n"/>
      <c r="BC386" s="0" t="n"/>
      <c r="BD386" s="0" t="n"/>
      <c r="BE386" s="0" t="n"/>
      <c r="BF386" s="0" t="n"/>
      <c r="BG386" s="0" t="n"/>
      <c r="BH386" s="0" t="n"/>
      <c r="BI386" s="0" t="n"/>
      <c r="BJ386" s="0" t="n"/>
      <c r="BK386" s="0" t="n"/>
      <c r="BL386" s="0" t="n"/>
      <c r="BM386" s="0" t="n"/>
      <c r="BN386" s="0" t="n"/>
      <c r="BO386" s="0" t="n"/>
      <c r="BP386" s="0" t="n"/>
    </row>
    <row hidden="false" ht="15" outlineLevel="0" r="387">
      <c r="A387" s="116" t="n">
        <f aca="false" ca="false" dt2D="false" dtr="false" t="normal">+A386+1</f>
        <v>367</v>
      </c>
      <c r="B387" s="117" t="n">
        <f aca="false" ca="false" dt2D="false" dtr="false" t="normal">+B386+1</f>
        <v>178</v>
      </c>
      <c r="C387" s="104" t="s">
        <v>78</v>
      </c>
      <c r="D387" s="117" t="s">
        <v>468</v>
      </c>
      <c r="E387" s="186" t="n">
        <f aca="false" ca="true" dt2D="false" dtr="false" t="normal">SUBTOTAL(9, F387:T387)</f>
        <v>3544649.35</v>
      </c>
      <c r="F387" s="114" t="n"/>
      <c r="G387" s="114" t="n">
        <v>0</v>
      </c>
      <c r="H387" s="114" t="n">
        <v>0</v>
      </c>
      <c r="I387" s="114" t="n">
        <v>0</v>
      </c>
      <c r="J387" s="114" t="n">
        <v>0</v>
      </c>
      <c r="K387" s="114" t="n"/>
      <c r="L387" s="114" t="n"/>
      <c r="M387" s="114" t="n">
        <v>0</v>
      </c>
      <c r="N387" s="114" t="n">
        <v>0</v>
      </c>
      <c r="O387" s="114" t="n">
        <v>0</v>
      </c>
      <c r="P387" s="114" t="n">
        <v>3507510.73</v>
      </c>
      <c r="Q387" s="114" t="n">
        <v>0</v>
      </c>
      <c r="R387" s="114" t="n"/>
      <c r="S387" s="114" t="n"/>
      <c r="T387" s="115" t="n">
        <v>37138.62</v>
      </c>
      <c r="U387" s="0" t="n"/>
      <c r="V387" s="0" t="n"/>
      <c r="W387" s="0" t="n"/>
      <c r="X387" s="0" t="n"/>
      <c r="Y387" s="0" t="n"/>
      <c r="Z387" s="0" t="n"/>
      <c r="AA387" s="0" t="n"/>
      <c r="AB387" s="0" t="n"/>
      <c r="AC387" s="0" t="n"/>
      <c r="AD387" s="0" t="n"/>
      <c r="AE387" s="0" t="n"/>
      <c r="AF387" s="0" t="n"/>
      <c r="AG387" s="0" t="n"/>
      <c r="AH387" s="0" t="n"/>
      <c r="AI387" s="0" t="n"/>
      <c r="AJ387" s="0" t="n"/>
      <c r="AK387" s="0" t="n"/>
      <c r="AL387" s="0" t="n"/>
      <c r="AM387" s="0" t="n"/>
      <c r="AN387" s="0" t="n"/>
      <c r="AO387" s="0" t="n"/>
      <c r="AP387" s="0" t="n"/>
      <c r="AQ387" s="0" t="n"/>
      <c r="AR387" s="0" t="n"/>
      <c r="AS387" s="0" t="n"/>
      <c r="AT387" s="0" t="n"/>
      <c r="AU387" s="0" t="n"/>
      <c r="AV387" s="0" t="n"/>
      <c r="AW387" s="0" t="n"/>
      <c r="AX387" s="0" t="n"/>
      <c r="AY387" s="0" t="n"/>
      <c r="AZ387" s="0" t="n"/>
      <c r="BA387" s="0" t="n"/>
      <c r="BB387" s="0" t="n"/>
      <c r="BC387" s="0" t="n"/>
      <c r="BD387" s="0" t="n"/>
      <c r="BE387" s="0" t="n"/>
      <c r="BF387" s="0" t="n"/>
      <c r="BG387" s="0" t="n"/>
      <c r="BH387" s="0" t="n"/>
      <c r="BI387" s="0" t="n"/>
      <c r="BJ387" s="0" t="n"/>
      <c r="BK387" s="0" t="n"/>
      <c r="BL387" s="0" t="n"/>
      <c r="BM387" s="0" t="n"/>
      <c r="BN387" s="0" t="n"/>
      <c r="BO387" s="0" t="n"/>
      <c r="BP387" s="0" t="n"/>
    </row>
    <row hidden="false" ht="15" outlineLevel="0" r="388">
      <c r="A388" s="116" t="n">
        <f aca="false" ca="false" dt2D="false" dtr="false" t="normal">+A387+1</f>
        <v>368</v>
      </c>
      <c r="B388" s="117" t="n">
        <f aca="false" ca="false" dt2D="false" dtr="false" t="normal">+B387+1</f>
        <v>179</v>
      </c>
      <c r="C388" s="104" t="s">
        <v>78</v>
      </c>
      <c r="D388" s="117" t="s">
        <v>90</v>
      </c>
      <c r="E388" s="113" t="n">
        <f aca="false" ca="true" dt2D="false" dtr="false" t="normal">SUBTOTAL(9, F388:T388)</f>
        <v>938135.1</v>
      </c>
      <c r="F388" s="114" t="n"/>
      <c r="G388" s="114" t="n"/>
      <c r="H388" s="114" t="n">
        <v>938135.1</v>
      </c>
      <c r="I388" s="114" t="n"/>
      <c r="J388" s="114" t="n">
        <v>0</v>
      </c>
      <c r="K388" s="114" t="n"/>
      <c r="L388" s="114" t="n"/>
      <c r="M388" s="114" t="n">
        <v>0</v>
      </c>
      <c r="N388" s="114" t="n">
        <v>0</v>
      </c>
      <c r="O388" s="114" t="n"/>
      <c r="P388" s="114" t="n">
        <v>0</v>
      </c>
      <c r="Q388" s="114" t="n">
        <v>0</v>
      </c>
      <c r="R388" s="114" t="n"/>
      <c r="S388" s="114" t="n"/>
      <c r="T388" s="115" t="n"/>
      <c r="U388" s="0" t="n"/>
      <c r="V388" s="0" t="n"/>
      <c r="W388" s="0" t="n"/>
      <c r="X388" s="0" t="n"/>
      <c r="Y388" s="0" t="n"/>
      <c r="Z388" s="0" t="n"/>
      <c r="AA388" s="0" t="n"/>
      <c r="AB388" s="0" t="n"/>
      <c r="AC388" s="0" t="n"/>
      <c r="AD388" s="0" t="n"/>
      <c r="AE388" s="0" t="n"/>
      <c r="AF388" s="0" t="n"/>
      <c r="AG388" s="0" t="n"/>
      <c r="AH388" s="0" t="n"/>
      <c r="AI388" s="0" t="n"/>
      <c r="AJ388" s="0" t="n"/>
      <c r="AK388" s="0" t="n"/>
      <c r="AL388" s="0" t="n"/>
      <c r="AM388" s="0" t="n"/>
      <c r="AN388" s="0" t="n"/>
      <c r="AO388" s="0" t="n"/>
      <c r="AP388" s="0" t="n"/>
      <c r="AQ388" s="0" t="n"/>
      <c r="AR388" s="0" t="n"/>
      <c r="AS388" s="0" t="n"/>
      <c r="AT388" s="0" t="n"/>
      <c r="AU388" s="0" t="n"/>
      <c r="AV388" s="0" t="n"/>
      <c r="AW388" s="0" t="n"/>
      <c r="AX388" s="0" t="n"/>
      <c r="AY388" s="0" t="n"/>
      <c r="AZ388" s="0" t="n"/>
      <c r="BA388" s="0" t="n"/>
      <c r="BB388" s="0" t="n"/>
      <c r="BC388" s="0" t="n"/>
      <c r="BD388" s="0" t="n"/>
      <c r="BE388" s="0" t="n"/>
      <c r="BF388" s="0" t="n"/>
      <c r="BG388" s="0" t="n"/>
      <c r="BH388" s="0" t="n"/>
      <c r="BI388" s="0" t="n"/>
      <c r="BJ388" s="0" t="n"/>
      <c r="BK388" s="0" t="n"/>
      <c r="BL388" s="0" t="n"/>
      <c r="BM388" s="0" t="n"/>
      <c r="BN388" s="0" t="n"/>
      <c r="BO388" s="0" t="n"/>
      <c r="BP388" s="0" t="n"/>
    </row>
    <row hidden="false" ht="15" outlineLevel="0" r="389">
      <c r="A389" s="116" t="n">
        <f aca="false" ca="false" dt2D="false" dtr="false" t="normal">+A388+1</f>
        <v>369</v>
      </c>
      <c r="B389" s="117" t="n">
        <f aca="false" ca="false" dt2D="false" dtr="false" t="normal">+B388+1</f>
        <v>180</v>
      </c>
      <c r="C389" s="104" t="s">
        <v>78</v>
      </c>
      <c r="D389" s="117" t="s">
        <v>469</v>
      </c>
      <c r="E389" s="186" t="n">
        <f aca="false" ca="true" dt2D="false" dtr="false" t="normal">SUBTOTAL(9, F389:T389)</f>
        <v>3743326.59</v>
      </c>
      <c r="F389" s="114" t="n">
        <v>3743326.59</v>
      </c>
      <c r="G389" s="114" t="n"/>
      <c r="H389" s="114" t="n">
        <v>0</v>
      </c>
      <c r="I389" s="114" t="n"/>
      <c r="J389" s="114" t="n">
        <v>0</v>
      </c>
      <c r="K389" s="114" t="n"/>
      <c r="L389" s="114" t="n"/>
      <c r="M389" s="114" t="n">
        <v>0</v>
      </c>
      <c r="N389" s="114" t="n">
        <v>0</v>
      </c>
      <c r="O389" s="114" t="n">
        <v>0</v>
      </c>
      <c r="P389" s="114" t="n">
        <v>0</v>
      </c>
      <c r="Q389" s="114" t="n">
        <v>0</v>
      </c>
      <c r="R389" s="114" t="n"/>
      <c r="S389" s="114" t="n"/>
      <c r="T389" s="115" t="n"/>
      <c r="U389" s="0" t="n"/>
      <c r="V389" s="0" t="n"/>
      <c r="W389" s="0" t="n"/>
      <c r="X389" s="0" t="n"/>
      <c r="Y389" s="0" t="n"/>
      <c r="Z389" s="0" t="n"/>
      <c r="AA389" s="0" t="n"/>
      <c r="AB389" s="0" t="n"/>
      <c r="AC389" s="0" t="n"/>
      <c r="AD389" s="0" t="n"/>
      <c r="AE389" s="0" t="n"/>
      <c r="AF389" s="0" t="n"/>
      <c r="AG389" s="0" t="n"/>
      <c r="AH389" s="0" t="n"/>
      <c r="AI389" s="0" t="n"/>
      <c r="AJ389" s="0" t="n"/>
      <c r="AK389" s="0" t="n"/>
      <c r="AL389" s="0" t="n"/>
      <c r="AM389" s="0" t="n"/>
      <c r="AN389" s="0" t="n"/>
      <c r="AO389" s="0" t="n"/>
      <c r="AP389" s="0" t="n"/>
      <c r="AQ389" s="0" t="n"/>
      <c r="AR389" s="0" t="n"/>
      <c r="AS389" s="0" t="n"/>
      <c r="AT389" s="0" t="n"/>
      <c r="AU389" s="0" t="n"/>
      <c r="AV389" s="0" t="n"/>
      <c r="AW389" s="0" t="n"/>
      <c r="AX389" s="0" t="n"/>
      <c r="AY389" s="0" t="n"/>
      <c r="AZ389" s="0" t="n"/>
      <c r="BA389" s="0" t="n"/>
      <c r="BB389" s="0" t="n"/>
      <c r="BC389" s="0" t="n"/>
      <c r="BD389" s="0" t="n"/>
      <c r="BE389" s="0" t="n"/>
      <c r="BF389" s="0" t="n"/>
      <c r="BG389" s="0" t="n"/>
      <c r="BH389" s="0" t="n"/>
      <c r="BI389" s="0" t="n"/>
      <c r="BJ389" s="0" t="n"/>
      <c r="BK389" s="0" t="n"/>
      <c r="BL389" s="0" t="n"/>
      <c r="BM389" s="0" t="n"/>
      <c r="BN389" s="0" t="n"/>
      <c r="BO389" s="0" t="n"/>
      <c r="BP389" s="0" t="n"/>
    </row>
    <row hidden="false" ht="15" outlineLevel="0" r="390">
      <c r="A390" s="116" t="n">
        <f aca="false" ca="false" dt2D="false" dtr="false" t="normal">+A389+1</f>
        <v>370</v>
      </c>
      <c r="B390" s="117" t="n">
        <f aca="false" ca="false" dt2D="false" dtr="false" t="normal">+B389+1</f>
        <v>181</v>
      </c>
      <c r="C390" s="104" t="s">
        <v>78</v>
      </c>
      <c r="D390" s="117" t="s">
        <v>470</v>
      </c>
      <c r="E390" s="186" t="n">
        <f aca="false" ca="true" dt2D="false" dtr="false" t="normal">SUBTOTAL(9, F390:T390)</f>
        <v>13915801.989999998</v>
      </c>
      <c r="F390" s="114" t="n">
        <v>0</v>
      </c>
      <c r="G390" s="114" t="n">
        <v>0</v>
      </c>
      <c r="H390" s="114" t="n">
        <v>0</v>
      </c>
      <c r="I390" s="114" t="n">
        <v>0</v>
      </c>
      <c r="J390" s="114" t="n">
        <v>0</v>
      </c>
      <c r="K390" s="114" t="n"/>
      <c r="L390" s="114" t="n"/>
      <c r="M390" s="114" t="n">
        <v>0</v>
      </c>
      <c r="N390" s="114" t="n">
        <v>0</v>
      </c>
      <c r="O390" s="114" t="n">
        <v>0</v>
      </c>
      <c r="P390" s="114" t="n">
        <v>13745702.45</v>
      </c>
      <c r="Q390" s="114" t="n">
        <v>0</v>
      </c>
      <c r="R390" s="114" t="n"/>
      <c r="S390" s="114" t="n"/>
      <c r="T390" s="115" t="n">
        <v>170099.54</v>
      </c>
      <c r="U390" s="0" t="n"/>
      <c r="V390" s="0" t="n"/>
      <c r="W390" s="0" t="n"/>
      <c r="X390" s="0" t="n"/>
      <c r="Y390" s="0" t="n"/>
      <c r="Z390" s="0" t="n"/>
      <c r="AA390" s="0" t="n"/>
      <c r="AB390" s="0" t="n"/>
      <c r="AC390" s="0" t="n"/>
      <c r="AD390" s="0" t="n"/>
      <c r="AE390" s="0" t="n"/>
      <c r="AF390" s="0" t="n"/>
      <c r="AG390" s="0" t="n"/>
      <c r="AH390" s="0" t="n"/>
      <c r="AI390" s="0" t="n"/>
      <c r="AJ390" s="0" t="n"/>
      <c r="AK390" s="0" t="n"/>
      <c r="AL390" s="0" t="n"/>
      <c r="AM390" s="0" t="n"/>
      <c r="AN390" s="0" t="n"/>
      <c r="AO390" s="0" t="n"/>
      <c r="AP390" s="0" t="n"/>
      <c r="AQ390" s="0" t="n"/>
      <c r="AR390" s="0" t="n"/>
      <c r="AS390" s="0" t="n"/>
      <c r="AT390" s="0" t="n"/>
      <c r="AU390" s="0" t="n"/>
      <c r="AV390" s="0" t="n"/>
      <c r="AW390" s="0" t="n"/>
      <c r="AX390" s="0" t="n"/>
      <c r="AY390" s="0" t="n"/>
      <c r="AZ390" s="0" t="n"/>
      <c r="BA390" s="0" t="n"/>
      <c r="BB390" s="0" t="n"/>
      <c r="BC390" s="0" t="n"/>
      <c r="BD390" s="0" t="n"/>
      <c r="BE390" s="0" t="n"/>
      <c r="BF390" s="0" t="n"/>
      <c r="BG390" s="0" t="n"/>
      <c r="BH390" s="0" t="n"/>
      <c r="BI390" s="0" t="n"/>
      <c r="BJ390" s="0" t="n"/>
      <c r="BK390" s="0" t="n"/>
      <c r="BL390" s="0" t="n"/>
      <c r="BM390" s="0" t="n"/>
      <c r="BN390" s="0" t="n"/>
      <c r="BO390" s="0" t="n"/>
      <c r="BP390" s="0" t="n"/>
    </row>
    <row customHeight="true" hidden="false" ht="12.75" outlineLevel="0" r="391">
      <c r="A391" s="116" t="n">
        <f aca="false" ca="false" dt2D="false" dtr="false" t="normal">+A390+1</f>
        <v>371</v>
      </c>
      <c r="B391" s="117" t="n">
        <f aca="false" ca="false" dt2D="false" dtr="false" t="normal">+B390+1</f>
        <v>182</v>
      </c>
      <c r="C391" s="104" t="s">
        <v>78</v>
      </c>
      <c r="D391" s="117" t="s">
        <v>471</v>
      </c>
      <c r="E391" s="113" t="n">
        <f aca="false" ca="true" dt2D="false" dtr="false" t="normal">SUBTOTAL(9, F391:T391)</f>
        <v>2095365.92</v>
      </c>
      <c r="F391" s="114" t="n">
        <v>2095365.92</v>
      </c>
      <c r="G391" s="114" t="n">
        <v>0</v>
      </c>
      <c r="H391" s="114" t="n"/>
      <c r="I391" s="114" t="n">
        <v>0</v>
      </c>
      <c r="J391" s="114" t="n">
        <v>0</v>
      </c>
      <c r="K391" s="114" t="n"/>
      <c r="L391" s="114" t="n"/>
      <c r="M391" s="114" t="n">
        <v>0</v>
      </c>
      <c r="N391" s="114" t="n">
        <v>0</v>
      </c>
      <c r="O391" s="114" t="n">
        <v>0</v>
      </c>
      <c r="P391" s="114" t="n">
        <v>0</v>
      </c>
      <c r="Q391" s="114" t="n">
        <v>0</v>
      </c>
      <c r="R391" s="114" t="n"/>
      <c r="S391" s="114" t="n"/>
      <c r="T391" s="115" t="n"/>
      <c r="U391" s="0" t="n"/>
      <c r="V391" s="0" t="n"/>
      <c r="W391" s="0" t="n"/>
      <c r="X391" s="0" t="n"/>
      <c r="Y391" s="0" t="n"/>
      <c r="Z391" s="0" t="n"/>
      <c r="AA391" s="0" t="n"/>
      <c r="AB391" s="0" t="n"/>
      <c r="AC391" s="0" t="n"/>
      <c r="AD391" s="0" t="n"/>
      <c r="AE391" s="0" t="n"/>
      <c r="AF391" s="0" t="n"/>
      <c r="AG391" s="0" t="n"/>
      <c r="AH391" s="0" t="n"/>
      <c r="AI391" s="0" t="n"/>
      <c r="AJ391" s="0" t="n"/>
      <c r="AK391" s="0" t="n"/>
      <c r="AL391" s="0" t="n"/>
      <c r="AM391" s="0" t="n"/>
      <c r="AN391" s="0" t="n"/>
      <c r="AO391" s="0" t="n"/>
      <c r="AP391" s="0" t="n"/>
      <c r="AQ391" s="0" t="n"/>
      <c r="AR391" s="0" t="n"/>
      <c r="AS391" s="0" t="n"/>
      <c r="AT391" s="0" t="n"/>
      <c r="AU391" s="0" t="n"/>
      <c r="AV391" s="0" t="n"/>
      <c r="AW391" s="0" t="n"/>
      <c r="AX391" s="0" t="n"/>
      <c r="AY391" s="0" t="n"/>
      <c r="AZ391" s="0" t="n"/>
      <c r="BA391" s="0" t="n"/>
      <c r="BB391" s="0" t="n"/>
      <c r="BC391" s="0" t="n"/>
      <c r="BD391" s="0" t="n"/>
      <c r="BE391" s="0" t="n"/>
      <c r="BF391" s="0" t="n"/>
      <c r="BG391" s="0" t="n"/>
      <c r="BH391" s="0" t="n"/>
      <c r="BI391" s="0" t="n"/>
      <c r="BJ391" s="0" t="n"/>
      <c r="BK391" s="0" t="n"/>
      <c r="BL391" s="0" t="n"/>
      <c r="BM391" s="0" t="n"/>
      <c r="BN391" s="0" t="n"/>
      <c r="BO391" s="0" t="n"/>
      <c r="BP391" s="0" t="n"/>
    </row>
    <row hidden="false" ht="15" outlineLevel="0" r="392">
      <c r="A392" s="116" t="n">
        <f aca="false" ca="false" dt2D="false" dtr="false" t="normal">+A391+1</f>
        <v>372</v>
      </c>
      <c r="B392" s="117" t="n">
        <f aca="false" ca="false" dt2D="false" dtr="false" t="normal">+B391+1</f>
        <v>183</v>
      </c>
      <c r="C392" s="104" t="s">
        <v>78</v>
      </c>
      <c r="D392" s="117" t="s">
        <v>472</v>
      </c>
      <c r="E392" s="186" t="n">
        <f aca="false" ca="true" dt2D="false" dtr="false" t="normal">SUBTOTAL(9, F392:T392)</f>
        <v>10896388.01</v>
      </c>
      <c r="F392" s="114" t="n">
        <v>0</v>
      </c>
      <c r="G392" s="114" t="n">
        <v>0</v>
      </c>
      <c r="H392" s="114" t="n">
        <v>0</v>
      </c>
      <c r="I392" s="114" t="n"/>
      <c r="J392" s="114" t="n">
        <v>0</v>
      </c>
      <c r="K392" s="114" t="n"/>
      <c r="L392" s="114" t="n"/>
      <c r="M392" s="114" t="n">
        <v>0</v>
      </c>
      <c r="N392" s="114" t="n">
        <v>0</v>
      </c>
      <c r="O392" s="114" t="n">
        <v>0</v>
      </c>
      <c r="P392" s="114" t="n">
        <v>10799889.6</v>
      </c>
      <c r="Q392" s="114" t="n">
        <v>0</v>
      </c>
      <c r="R392" s="114" t="n"/>
      <c r="S392" s="114" t="n"/>
      <c r="T392" s="115" t="n">
        <v>96498.41</v>
      </c>
      <c r="U392" s="0" t="n"/>
      <c r="V392" s="0" t="n"/>
      <c r="W392" s="0" t="n"/>
      <c r="X392" s="0" t="n"/>
      <c r="Y392" s="0" t="n"/>
      <c r="Z392" s="0" t="n"/>
      <c r="AA392" s="0" t="n"/>
      <c r="AB392" s="0" t="n"/>
      <c r="AC392" s="0" t="n"/>
      <c r="AD392" s="0" t="n"/>
      <c r="AE392" s="0" t="n"/>
      <c r="AF392" s="0" t="n"/>
      <c r="AG392" s="0" t="n"/>
      <c r="AH392" s="0" t="n"/>
      <c r="AI392" s="0" t="n"/>
      <c r="AJ392" s="0" t="n"/>
      <c r="AK392" s="0" t="n"/>
      <c r="AL392" s="0" t="n"/>
      <c r="AM392" s="0" t="n"/>
      <c r="AN392" s="0" t="n"/>
      <c r="AO392" s="0" t="n"/>
      <c r="AP392" s="0" t="n"/>
      <c r="AQ392" s="0" t="n"/>
      <c r="AR392" s="0" t="n"/>
      <c r="AS392" s="0" t="n"/>
      <c r="AT392" s="0" t="n"/>
      <c r="AU392" s="0" t="n"/>
      <c r="AV392" s="0" t="n"/>
      <c r="AW392" s="0" t="n"/>
      <c r="AX392" s="0" t="n"/>
      <c r="AY392" s="0" t="n"/>
      <c r="AZ392" s="0" t="n"/>
      <c r="BA392" s="0" t="n"/>
      <c r="BB392" s="0" t="n"/>
      <c r="BC392" s="0" t="n"/>
      <c r="BD392" s="0" t="n"/>
      <c r="BE392" s="0" t="n"/>
      <c r="BF392" s="0" t="n"/>
      <c r="BG392" s="0" t="n"/>
      <c r="BH392" s="0" t="n"/>
      <c r="BI392" s="0" t="n"/>
      <c r="BJ392" s="0" t="n"/>
      <c r="BK392" s="0" t="n"/>
      <c r="BL392" s="0" t="n"/>
      <c r="BM392" s="0" t="n"/>
      <c r="BN392" s="0" t="n"/>
      <c r="BO392" s="0" t="n"/>
      <c r="BP392" s="0" t="n"/>
    </row>
    <row hidden="false" ht="15" outlineLevel="0" r="393">
      <c r="A393" s="116" t="n">
        <f aca="false" ca="false" dt2D="false" dtr="false" t="normal">+A392+1</f>
        <v>373</v>
      </c>
      <c r="B393" s="117" t="n">
        <f aca="false" ca="false" dt2D="false" dtr="false" t="normal">+B392+1</f>
        <v>184</v>
      </c>
      <c r="C393" s="104" t="s">
        <v>78</v>
      </c>
      <c r="D393" s="104" t="s">
        <v>473</v>
      </c>
      <c r="E393" s="186" t="n">
        <f aca="false" ca="true" dt2D="false" dtr="false" t="normal">SUBTOTAL(9, F393:T393)</f>
        <v>7651462.94</v>
      </c>
      <c r="F393" s="106" t="n">
        <v>7651462.94</v>
      </c>
      <c r="G393" s="114" t="n">
        <v>0</v>
      </c>
      <c r="H393" s="114" t="n">
        <v>0</v>
      </c>
      <c r="I393" s="114" t="n">
        <v>0</v>
      </c>
      <c r="J393" s="114" t="n">
        <v>0</v>
      </c>
      <c r="K393" s="114" t="n"/>
      <c r="L393" s="114" t="n"/>
      <c r="M393" s="114" t="n">
        <v>0</v>
      </c>
      <c r="N393" s="114" t="n">
        <v>0</v>
      </c>
      <c r="O393" s="114" t="n">
        <v>0</v>
      </c>
      <c r="P393" s="114" t="n">
        <v>0</v>
      </c>
      <c r="Q393" s="114" t="n">
        <v>0</v>
      </c>
      <c r="R393" s="114" t="n"/>
      <c r="S393" s="114" t="n"/>
      <c r="T393" s="115" t="n"/>
    </row>
    <row customHeight="true" hidden="false" ht="15" outlineLevel="0" r="394">
      <c r="A394" s="116" t="n">
        <f aca="false" ca="false" dt2D="false" dtr="false" t="normal">+A393+1</f>
        <v>374</v>
      </c>
      <c r="B394" s="117" t="n">
        <f aca="false" ca="false" dt2D="false" dtr="false" t="normal">+B393+1</f>
        <v>185</v>
      </c>
      <c r="C394" s="104" t="s">
        <v>78</v>
      </c>
      <c r="D394" s="117" t="s">
        <v>474</v>
      </c>
      <c r="E394" s="186" t="n">
        <f aca="false" ca="true" dt2D="false" dtr="false" t="normal">SUBTOTAL(9, F394:T394)</f>
        <v>17663014.45</v>
      </c>
      <c r="F394" s="114" t="n">
        <v>0</v>
      </c>
      <c r="G394" s="114" t="n">
        <v>0</v>
      </c>
      <c r="H394" s="114" t="n">
        <v>0</v>
      </c>
      <c r="I394" s="114" t="n">
        <v>0</v>
      </c>
      <c r="J394" s="114" t="n">
        <v>0</v>
      </c>
      <c r="K394" s="114" t="n"/>
      <c r="L394" s="114" t="n"/>
      <c r="M394" s="114" t="n">
        <v>0</v>
      </c>
      <c r="N394" s="114" t="n">
        <v>0</v>
      </c>
      <c r="O394" s="114" t="n">
        <v>0</v>
      </c>
      <c r="P394" s="114" t="n">
        <v>17491598.4</v>
      </c>
      <c r="Q394" s="114" t="n">
        <v>0</v>
      </c>
      <c r="R394" s="114" t="n"/>
      <c r="S394" s="114" t="n"/>
      <c r="T394" s="115" t="n">
        <v>171416.05</v>
      </c>
      <c r="U394" s="0" t="n"/>
      <c r="V394" s="0" t="n"/>
      <c r="W394" s="0" t="n"/>
      <c r="X394" s="0" t="n"/>
      <c r="Y394" s="0" t="n"/>
      <c r="Z394" s="0" t="n"/>
      <c r="AA394" s="0" t="n"/>
      <c r="AB394" s="0" t="n"/>
      <c r="AC394" s="0" t="n"/>
      <c r="AD394" s="0" t="n"/>
      <c r="AE394" s="0" t="n"/>
      <c r="AF394" s="0" t="n"/>
      <c r="AG394" s="0" t="n"/>
      <c r="AH394" s="0" t="n"/>
      <c r="AI394" s="0" t="n"/>
      <c r="AJ394" s="0" t="n"/>
      <c r="AK394" s="0" t="n"/>
      <c r="AL394" s="0" t="n"/>
      <c r="AM394" s="0" t="n"/>
      <c r="AN394" s="0" t="n"/>
      <c r="AO394" s="0" t="n"/>
      <c r="AP394" s="0" t="n"/>
      <c r="AQ394" s="0" t="n"/>
      <c r="AR394" s="0" t="n"/>
      <c r="AS394" s="0" t="n"/>
      <c r="AT394" s="0" t="n"/>
      <c r="AU394" s="0" t="n"/>
      <c r="AV394" s="0" t="n"/>
      <c r="AW394" s="0" t="n"/>
      <c r="AX394" s="0" t="n"/>
      <c r="AY394" s="0" t="n"/>
      <c r="AZ394" s="0" t="n"/>
      <c r="BA394" s="0" t="n"/>
      <c r="BB394" s="0" t="n"/>
      <c r="BC394" s="0" t="n"/>
      <c r="BD394" s="0" t="n"/>
      <c r="BE394" s="0" t="n"/>
      <c r="BF394" s="0" t="n"/>
      <c r="BG394" s="0" t="n"/>
      <c r="BH394" s="0" t="n"/>
      <c r="BI394" s="0" t="n"/>
      <c r="BJ394" s="0" t="n"/>
      <c r="BK394" s="0" t="n"/>
      <c r="BL394" s="0" t="n"/>
      <c r="BM394" s="0" t="n"/>
      <c r="BN394" s="0" t="n"/>
      <c r="BO394" s="0" t="n"/>
      <c r="BP394" s="0" t="n"/>
    </row>
    <row hidden="false" ht="15" outlineLevel="0" r="395">
      <c r="A395" s="116" t="n">
        <f aca="false" ca="false" dt2D="false" dtr="false" t="normal">+A394+1</f>
        <v>375</v>
      </c>
      <c r="B395" s="117" t="n">
        <f aca="false" ca="false" dt2D="false" dtr="false" t="normal">+B394+1</f>
        <v>186</v>
      </c>
      <c r="C395" s="104" t="s">
        <v>78</v>
      </c>
      <c r="D395" s="117" t="s">
        <v>475</v>
      </c>
      <c r="E395" s="186" t="n">
        <f aca="false" ca="true" dt2D="false" dtr="false" t="normal">SUBTOTAL(9, F395:T395)</f>
        <v>2848341.03</v>
      </c>
      <c r="F395" s="114" t="n">
        <v>1926147.5</v>
      </c>
      <c r="G395" s="114" t="n"/>
      <c r="H395" s="114" t="n"/>
      <c r="I395" s="114" t="n">
        <v>888374.4</v>
      </c>
      <c r="J395" s="114" t="n">
        <v>0</v>
      </c>
      <c r="K395" s="114" t="n"/>
      <c r="L395" s="114" t="n"/>
      <c r="M395" s="114" t="n">
        <v>0</v>
      </c>
      <c r="N395" s="114" t="n">
        <v>0</v>
      </c>
      <c r="O395" s="114" t="n"/>
      <c r="P395" s="114" t="n">
        <v>0</v>
      </c>
      <c r="Q395" s="114" t="n">
        <v>0</v>
      </c>
      <c r="R395" s="114" t="n"/>
      <c r="S395" s="114" t="n"/>
      <c r="T395" s="115" t="n">
        <f aca="false" ca="false" dt2D="false" dtr="false" t="normal">25466.07+8353.06</f>
        <v>33819.13</v>
      </c>
      <c r="U395" s="0" t="n"/>
      <c r="V395" s="0" t="n"/>
      <c r="W395" s="0" t="n"/>
      <c r="X395" s="0" t="n"/>
      <c r="Y395" s="0" t="n"/>
      <c r="Z395" s="0" t="n"/>
      <c r="AA395" s="0" t="n"/>
      <c r="AB395" s="0" t="n"/>
      <c r="AC395" s="0" t="n"/>
      <c r="AD395" s="0" t="n"/>
      <c r="AE395" s="0" t="n"/>
      <c r="AF395" s="0" t="n"/>
      <c r="AG395" s="0" t="n"/>
      <c r="AH395" s="0" t="n"/>
      <c r="AI395" s="0" t="n"/>
      <c r="AJ395" s="0" t="n"/>
      <c r="AK395" s="0" t="n"/>
      <c r="AL395" s="0" t="n"/>
      <c r="AM395" s="0" t="n"/>
      <c r="AN395" s="0" t="n"/>
      <c r="AO395" s="0" t="n"/>
      <c r="AP395" s="0" t="n"/>
      <c r="AQ395" s="0" t="n"/>
      <c r="AR395" s="0" t="n"/>
      <c r="AS395" s="0" t="n"/>
      <c r="AT395" s="0" t="n"/>
      <c r="AU395" s="0" t="n"/>
      <c r="AV395" s="0" t="n"/>
      <c r="AW395" s="0" t="n"/>
      <c r="AX395" s="0" t="n"/>
      <c r="AY395" s="0" t="n"/>
      <c r="AZ395" s="0" t="n"/>
      <c r="BA395" s="0" t="n"/>
      <c r="BB395" s="0" t="n"/>
      <c r="BC395" s="0" t="n"/>
      <c r="BD395" s="0" t="n"/>
      <c r="BE395" s="0" t="n"/>
      <c r="BF395" s="0" t="n"/>
      <c r="BG395" s="0" t="n"/>
      <c r="BH395" s="0" t="n"/>
      <c r="BI395" s="0" t="n"/>
      <c r="BJ395" s="0" t="n"/>
      <c r="BK395" s="0" t="n"/>
      <c r="BL395" s="0" t="n"/>
      <c r="BM395" s="0" t="n"/>
      <c r="BN395" s="0" t="n"/>
      <c r="BO395" s="0" t="n"/>
      <c r="BP395" s="0" t="n"/>
    </row>
    <row hidden="false" ht="15" outlineLevel="0" r="396">
      <c r="A396" s="116" t="n">
        <f aca="false" ca="false" dt2D="false" dtr="false" t="normal">+A395+1</f>
        <v>376</v>
      </c>
      <c r="B396" s="117" t="n">
        <f aca="false" ca="false" dt2D="false" dtr="false" t="normal">+B395+1</f>
        <v>187</v>
      </c>
      <c r="C396" s="104" t="s">
        <v>78</v>
      </c>
      <c r="D396" s="117" t="s">
        <v>476</v>
      </c>
      <c r="E396" s="186" t="n">
        <f aca="false" ca="true" dt2D="false" dtr="false" t="normal">SUBTOTAL(9, F396:T396)</f>
        <v>7976366.14</v>
      </c>
      <c r="F396" s="114" t="n">
        <v>0</v>
      </c>
      <c r="G396" s="114" t="n">
        <v>0</v>
      </c>
      <c r="H396" s="114" t="n">
        <v>0</v>
      </c>
      <c r="I396" s="114" t="n">
        <v>0</v>
      </c>
      <c r="J396" s="114" t="n">
        <v>0</v>
      </c>
      <c r="K396" s="114" t="n"/>
      <c r="L396" s="114" t="n"/>
      <c r="M396" s="114" t="n">
        <v>0</v>
      </c>
      <c r="N396" s="114" t="n">
        <v>7914683.09</v>
      </c>
      <c r="O396" s="114" t="n">
        <v>0</v>
      </c>
      <c r="P396" s="114" t="n">
        <v>0</v>
      </c>
      <c r="Q396" s="114" t="n">
        <v>0</v>
      </c>
      <c r="R396" s="114" t="n"/>
      <c r="S396" s="114" t="n"/>
      <c r="T396" s="115" t="n">
        <v>61683.05</v>
      </c>
      <c r="U396" s="0" t="n"/>
      <c r="V396" s="0" t="n"/>
      <c r="W396" s="0" t="n"/>
      <c r="X396" s="0" t="n"/>
      <c r="Y396" s="0" t="n"/>
      <c r="Z396" s="0" t="n"/>
      <c r="AA396" s="0" t="n"/>
      <c r="AB396" s="0" t="n"/>
      <c r="AC396" s="0" t="n"/>
      <c r="AD396" s="0" t="n"/>
      <c r="AE396" s="0" t="n"/>
      <c r="AF396" s="0" t="n"/>
      <c r="AG396" s="0" t="n"/>
      <c r="AH396" s="0" t="n"/>
      <c r="AI396" s="0" t="n"/>
      <c r="AJ396" s="0" t="n"/>
      <c r="AK396" s="0" t="n"/>
      <c r="AL396" s="0" t="n"/>
      <c r="AM396" s="0" t="n"/>
      <c r="AN396" s="0" t="n"/>
      <c r="AO396" s="0" t="n"/>
      <c r="AP396" s="0" t="n"/>
      <c r="AQ396" s="0" t="n"/>
      <c r="AR396" s="0" t="n"/>
      <c r="AS396" s="0" t="n"/>
      <c r="AT396" s="0" t="n"/>
      <c r="AU396" s="0" t="n"/>
      <c r="AV396" s="0" t="n"/>
      <c r="AW396" s="0" t="n"/>
      <c r="AX396" s="0" t="n"/>
      <c r="AY396" s="0" t="n"/>
      <c r="AZ396" s="0" t="n"/>
      <c r="BA396" s="0" t="n"/>
      <c r="BB396" s="0" t="n"/>
      <c r="BC396" s="0" t="n"/>
      <c r="BD396" s="0" t="n"/>
      <c r="BE396" s="0" t="n"/>
      <c r="BF396" s="0" t="n"/>
      <c r="BG396" s="0" t="n"/>
      <c r="BH396" s="0" t="n"/>
      <c r="BI396" s="0" t="n"/>
      <c r="BJ396" s="0" t="n"/>
      <c r="BK396" s="0" t="n"/>
      <c r="BL396" s="0" t="n"/>
      <c r="BM396" s="0" t="n"/>
      <c r="BN396" s="0" t="n"/>
      <c r="BO396" s="0" t="n"/>
      <c r="BP396" s="0" t="n"/>
    </row>
    <row hidden="false" ht="15" outlineLevel="0" r="397">
      <c r="A397" s="116" t="n">
        <f aca="false" ca="false" dt2D="false" dtr="false" t="normal">+A396+1</f>
        <v>377</v>
      </c>
      <c r="B397" s="117" t="n">
        <f aca="false" ca="false" dt2D="false" dtr="false" t="normal">+B396+1</f>
        <v>188</v>
      </c>
      <c r="C397" s="104" t="s">
        <v>78</v>
      </c>
      <c r="D397" s="117" t="s">
        <v>108</v>
      </c>
      <c r="E397" s="113" t="n">
        <f aca="false" ca="true" dt2D="false" dtr="false" t="normal">SUBTOTAL(9, F397:T397)</f>
        <v>2391153.64</v>
      </c>
      <c r="F397" s="114" t="n">
        <v>2391153.64</v>
      </c>
      <c r="G397" s="114" t="n"/>
      <c r="H397" s="114" t="n">
        <v>0</v>
      </c>
      <c r="I397" s="114" t="n">
        <v>0</v>
      </c>
      <c r="J397" s="114" t="n">
        <v>0</v>
      </c>
      <c r="K397" s="114" t="n"/>
      <c r="L397" s="114" t="n"/>
      <c r="M397" s="114" t="n"/>
      <c r="N397" s="114" t="n"/>
      <c r="O397" s="114" t="n"/>
      <c r="P397" s="114" t="n"/>
      <c r="Q397" s="114" t="n">
        <v>0</v>
      </c>
      <c r="R397" s="114" t="n"/>
      <c r="S397" s="114" t="n"/>
      <c r="T397" s="115" t="n"/>
      <c r="U397" s="0" t="n"/>
      <c r="V397" s="0" t="n"/>
      <c r="W397" s="0" t="n"/>
      <c r="X397" s="0" t="n"/>
      <c r="Y397" s="0" t="n"/>
      <c r="Z397" s="0" t="n"/>
      <c r="AA397" s="0" t="n"/>
      <c r="AB397" s="0" t="n"/>
      <c r="AC397" s="0" t="n"/>
      <c r="AD397" s="0" t="n"/>
      <c r="AE397" s="0" t="n"/>
      <c r="AF397" s="0" t="n"/>
      <c r="AG397" s="0" t="n"/>
      <c r="AH397" s="0" t="n"/>
      <c r="AI397" s="0" t="n"/>
      <c r="AJ397" s="0" t="n"/>
      <c r="AK397" s="0" t="n"/>
      <c r="AL397" s="0" t="n"/>
      <c r="AM397" s="0" t="n"/>
      <c r="AN397" s="0" t="n"/>
      <c r="AO397" s="0" t="n"/>
      <c r="AP397" s="0" t="n"/>
      <c r="AQ397" s="0" t="n"/>
      <c r="AR397" s="0" t="n"/>
      <c r="AS397" s="0" t="n"/>
      <c r="AT397" s="0" t="n"/>
      <c r="AU397" s="0" t="n"/>
      <c r="AV397" s="0" t="n"/>
      <c r="AW397" s="0" t="n"/>
      <c r="AX397" s="0" t="n"/>
      <c r="AY397" s="0" t="n"/>
      <c r="AZ397" s="0" t="n"/>
      <c r="BA397" s="0" t="n"/>
      <c r="BB397" s="0" t="n"/>
      <c r="BC397" s="0" t="n"/>
      <c r="BD397" s="0" t="n"/>
      <c r="BE397" s="0" t="n"/>
      <c r="BF397" s="0" t="n"/>
      <c r="BG397" s="0" t="n"/>
      <c r="BH397" s="0" t="n"/>
      <c r="BI397" s="0" t="n"/>
      <c r="BJ397" s="0" t="n"/>
      <c r="BK397" s="0" t="n"/>
      <c r="BL397" s="0" t="n"/>
      <c r="BM397" s="0" t="n"/>
      <c r="BN397" s="0" t="n"/>
      <c r="BO397" s="0" t="n"/>
      <c r="BP397" s="0" t="n"/>
    </row>
    <row hidden="false" ht="15" outlineLevel="0" r="398">
      <c r="A398" s="116" t="n">
        <f aca="false" ca="false" dt2D="false" dtr="false" t="normal">+A397+1</f>
        <v>378</v>
      </c>
      <c r="B398" s="117" t="s">
        <v>463</v>
      </c>
      <c r="C398" s="104" t="s">
        <v>78</v>
      </c>
      <c r="D398" s="104" t="s">
        <v>315</v>
      </c>
      <c r="E398" s="186" t="n">
        <f aca="false" ca="true" dt2D="false" dtr="false" t="normal">SUBTOTAL(9, F398:T398)</f>
        <v>7614332.94</v>
      </c>
      <c r="F398" s="114" t="n">
        <v>7614332.94</v>
      </c>
      <c r="G398" s="114" t="n">
        <v>0</v>
      </c>
      <c r="H398" s="114" t="n">
        <v>0</v>
      </c>
      <c r="I398" s="114" t="n"/>
      <c r="J398" s="114" t="n">
        <v>0</v>
      </c>
      <c r="K398" s="114" t="n"/>
      <c r="L398" s="114" t="n"/>
      <c r="M398" s="114" t="n">
        <v>0</v>
      </c>
      <c r="N398" s="114" t="n"/>
      <c r="O398" s="114" t="n"/>
      <c r="P398" s="114" t="n">
        <v>0</v>
      </c>
      <c r="Q398" s="114" t="n">
        <v>0</v>
      </c>
      <c r="R398" s="114" t="n"/>
      <c r="S398" s="114" t="n"/>
      <c r="T398" s="115" t="n"/>
    </row>
    <row hidden="false" ht="15" outlineLevel="0" r="399">
      <c r="A399" s="116" t="n">
        <f aca="false" ca="false" dt2D="false" dtr="false" t="normal">+A398+1</f>
        <v>379</v>
      </c>
      <c r="B399" s="117" t="n">
        <v>189</v>
      </c>
      <c r="C399" s="104" t="s">
        <v>78</v>
      </c>
      <c r="D399" s="117" t="s">
        <v>477</v>
      </c>
      <c r="E399" s="186" t="n">
        <f aca="false" ca="true" dt2D="false" dtr="false" t="normal">SUBTOTAL(9, F399:T399)</f>
        <v>21876387</v>
      </c>
      <c r="F399" s="114" t="n">
        <v>0</v>
      </c>
      <c r="G399" s="114" t="n">
        <v>0</v>
      </c>
      <c r="H399" s="114" t="n">
        <v>0</v>
      </c>
      <c r="I399" s="114" t="n">
        <v>0</v>
      </c>
      <c r="J399" s="114" t="n">
        <v>0</v>
      </c>
      <c r="K399" s="114" t="n"/>
      <c r="L399" s="114" t="n"/>
      <c r="M399" s="114" t="n">
        <v>0</v>
      </c>
      <c r="N399" s="114" t="n">
        <v>0</v>
      </c>
      <c r="O399" s="114" t="n">
        <v>0</v>
      </c>
      <c r="P399" s="114" t="n">
        <v>21876387</v>
      </c>
      <c r="Q399" s="114" t="n">
        <v>0</v>
      </c>
      <c r="R399" s="114" t="n"/>
      <c r="S399" s="114" t="n"/>
      <c r="T399" s="115" t="n"/>
      <c r="U399" s="0" t="n"/>
      <c r="V399" s="0" t="n"/>
      <c r="W399" s="0" t="n"/>
      <c r="X399" s="0" t="n"/>
      <c r="Y399" s="0" t="n"/>
      <c r="Z399" s="0" t="n"/>
      <c r="AA399" s="0" t="n"/>
      <c r="AB399" s="0" t="n"/>
      <c r="AC399" s="0" t="n"/>
      <c r="AD399" s="0" t="n"/>
      <c r="AE399" s="0" t="n"/>
      <c r="AF399" s="0" t="n"/>
      <c r="AG399" s="0" t="n"/>
      <c r="AH399" s="0" t="n"/>
      <c r="AI399" s="0" t="n"/>
      <c r="AJ399" s="0" t="n"/>
      <c r="AK399" s="0" t="n"/>
      <c r="AL399" s="0" t="n"/>
      <c r="AM399" s="0" t="n"/>
      <c r="AN399" s="0" t="n"/>
      <c r="AO399" s="0" t="n"/>
      <c r="AP399" s="0" t="n"/>
      <c r="AQ399" s="0" t="n"/>
      <c r="AR399" s="0" t="n"/>
      <c r="AS399" s="0" t="n"/>
      <c r="AT399" s="0" t="n"/>
      <c r="AU399" s="0" t="n"/>
      <c r="AV399" s="0" t="n"/>
      <c r="AW399" s="0" t="n"/>
      <c r="AX399" s="0" t="n"/>
      <c r="AY399" s="0" t="n"/>
      <c r="AZ399" s="0" t="n"/>
      <c r="BA399" s="0" t="n"/>
      <c r="BB399" s="0" t="n"/>
      <c r="BC399" s="0" t="n"/>
      <c r="BD399" s="0" t="n"/>
      <c r="BE399" s="0" t="n"/>
      <c r="BF399" s="0" t="n"/>
      <c r="BG399" s="0" t="n"/>
      <c r="BH399" s="0" t="n"/>
      <c r="BI399" s="0" t="n"/>
      <c r="BJ399" s="0" t="n"/>
      <c r="BK399" s="0" t="n"/>
      <c r="BL399" s="0" t="n"/>
      <c r="BM399" s="0" t="n"/>
      <c r="BN399" s="0" t="n"/>
      <c r="BO399" s="0" t="n"/>
      <c r="BP399" s="0" t="n"/>
    </row>
    <row hidden="false" ht="15" outlineLevel="0" r="400">
      <c r="A400" s="116" t="n">
        <f aca="false" ca="false" dt2D="false" dtr="false" t="normal">+A399+1</f>
        <v>380</v>
      </c>
      <c r="B400" s="117" t="s">
        <v>463</v>
      </c>
      <c r="C400" s="104" t="s">
        <v>78</v>
      </c>
      <c r="D400" s="117" t="s">
        <v>322</v>
      </c>
      <c r="E400" s="186" t="n">
        <f aca="false" ca="true" dt2D="false" dtr="false" t="normal">SUBTOTAL(9, F400:T400)</f>
        <v>2107839.74</v>
      </c>
      <c r="F400" s="114" t="n">
        <v>2107839.74</v>
      </c>
      <c r="G400" s="114" t="n"/>
      <c r="H400" s="114" t="n">
        <v>0</v>
      </c>
      <c r="I400" s="114" t="n"/>
      <c r="J400" s="114" t="n">
        <v>0</v>
      </c>
      <c r="K400" s="114" t="n"/>
      <c r="L400" s="114" t="n"/>
      <c r="M400" s="114" t="n">
        <v>0</v>
      </c>
      <c r="N400" s="114" t="n">
        <v>0</v>
      </c>
      <c r="O400" s="114" t="n">
        <v>0</v>
      </c>
      <c r="P400" s="114" t="n">
        <v>0</v>
      </c>
      <c r="Q400" s="114" t="n">
        <v>0</v>
      </c>
      <c r="R400" s="114" t="n"/>
      <c r="S400" s="114" t="n"/>
      <c r="T400" s="115" t="n"/>
      <c r="U400" s="0" t="n"/>
      <c r="V400" s="0" t="n"/>
      <c r="W400" s="0" t="n"/>
      <c r="X400" s="0" t="n"/>
      <c r="Y400" s="0" t="n"/>
      <c r="Z400" s="0" t="n"/>
      <c r="AA400" s="0" t="n"/>
      <c r="AB400" s="0" t="n"/>
      <c r="AC400" s="0" t="n"/>
      <c r="AD400" s="0" t="n"/>
      <c r="AE400" s="0" t="n"/>
      <c r="AF400" s="0" t="n"/>
      <c r="AG400" s="0" t="n"/>
      <c r="AH400" s="0" t="n"/>
      <c r="AI400" s="0" t="n"/>
      <c r="AJ400" s="0" t="n"/>
      <c r="AK400" s="0" t="n"/>
      <c r="AL400" s="0" t="n"/>
      <c r="AM400" s="0" t="n"/>
      <c r="AN400" s="0" t="n"/>
      <c r="AO400" s="0" t="n"/>
      <c r="AP400" s="0" t="n"/>
      <c r="AQ400" s="0" t="n"/>
      <c r="AR400" s="0" t="n"/>
      <c r="AS400" s="0" t="n"/>
      <c r="AT400" s="0" t="n"/>
      <c r="AU400" s="0" t="n"/>
      <c r="AV400" s="0" t="n"/>
      <c r="AW400" s="0" t="n"/>
      <c r="AX400" s="0" t="n"/>
      <c r="AY400" s="0" t="n"/>
      <c r="AZ400" s="0" t="n"/>
      <c r="BA400" s="0" t="n"/>
      <c r="BB400" s="0" t="n"/>
      <c r="BC400" s="0" t="n"/>
      <c r="BD400" s="0" t="n"/>
      <c r="BE400" s="0" t="n"/>
      <c r="BF400" s="0" t="n"/>
      <c r="BG400" s="0" t="n"/>
      <c r="BH400" s="0" t="n"/>
      <c r="BI400" s="0" t="n"/>
      <c r="BJ400" s="0" t="n"/>
      <c r="BK400" s="0" t="n"/>
      <c r="BL400" s="0" t="n"/>
      <c r="BM400" s="0" t="n"/>
      <c r="BN400" s="0" t="n"/>
      <c r="BO400" s="0" t="n"/>
      <c r="BP400" s="0" t="n"/>
    </row>
    <row hidden="false" ht="15" outlineLevel="0" r="401">
      <c r="A401" s="116" t="n">
        <f aca="false" ca="false" dt2D="false" dtr="false" t="normal">+A400+1</f>
        <v>381</v>
      </c>
      <c r="B401" s="117" t="n">
        <v>190</v>
      </c>
      <c r="C401" s="104" t="s">
        <v>78</v>
      </c>
      <c r="D401" s="104" t="s">
        <v>478</v>
      </c>
      <c r="E401" s="113" t="n">
        <f aca="false" ca="true" dt2D="false" dtr="false" t="normal">SUBTOTAL(9, F401:T401)</f>
        <v>2097595.92</v>
      </c>
      <c r="F401" s="106" t="n"/>
      <c r="G401" s="114" t="n">
        <v>0</v>
      </c>
      <c r="H401" s="114" t="n">
        <v>1240683.24</v>
      </c>
      <c r="I401" s="114" t="n">
        <v>452701.66</v>
      </c>
      <c r="J401" s="114" t="n"/>
      <c r="K401" s="114" t="n"/>
      <c r="L401" s="114" t="n"/>
      <c r="M401" s="114" t="n"/>
      <c r="N401" s="114" t="n"/>
      <c r="O401" s="114" t="n"/>
      <c r="P401" s="114" t="n"/>
      <c r="Q401" s="114" t="n"/>
      <c r="R401" s="114" t="n">
        <v>388211.02</v>
      </c>
      <c r="S401" s="114" t="n">
        <v>16000</v>
      </c>
      <c r="T401" s="115" t="n"/>
    </row>
    <row hidden="false" ht="15" outlineLevel="0" r="402">
      <c r="A402" s="116" t="n">
        <f aca="false" ca="false" dt2D="false" dtr="false" t="normal">+A401+1</f>
        <v>382</v>
      </c>
      <c r="B402" s="117" t="n">
        <f aca="false" ca="false" dt2D="false" dtr="false" t="normal">+B401+1</f>
        <v>191</v>
      </c>
      <c r="C402" s="104" t="s">
        <v>111</v>
      </c>
      <c r="D402" s="117" t="s">
        <v>479</v>
      </c>
      <c r="E402" s="113" t="n">
        <f aca="false" ca="true" dt2D="false" dtr="false" t="normal">SUBTOTAL(9, F402:T402)</f>
        <v>1696026.8</v>
      </c>
      <c r="F402" s="114" t="n">
        <v>0</v>
      </c>
      <c r="G402" s="114" t="n">
        <v>0</v>
      </c>
      <c r="H402" s="114" t="n">
        <v>1696026.8</v>
      </c>
      <c r="I402" s="114" t="n">
        <v>0</v>
      </c>
      <c r="J402" s="114" t="n">
        <v>0</v>
      </c>
      <c r="K402" s="114" t="n"/>
      <c r="L402" s="114" t="n"/>
      <c r="M402" s="114" t="n">
        <v>0</v>
      </c>
      <c r="N402" s="114" t="n">
        <v>0</v>
      </c>
      <c r="O402" s="114" t="n">
        <v>0</v>
      </c>
      <c r="P402" s="114" t="n">
        <v>0</v>
      </c>
      <c r="Q402" s="114" t="n">
        <v>0</v>
      </c>
      <c r="R402" s="114" t="n"/>
      <c r="S402" s="114" t="n"/>
      <c r="T402" s="115" t="n"/>
      <c r="U402" s="0" t="n"/>
      <c r="V402" s="0" t="n"/>
      <c r="W402" s="0" t="n"/>
      <c r="X402" s="0" t="n"/>
      <c r="Y402" s="0" t="n"/>
      <c r="Z402" s="0" t="n"/>
      <c r="AA402" s="0" t="n"/>
      <c r="AB402" s="0" t="n"/>
      <c r="AC402" s="0" t="n"/>
      <c r="AD402" s="0" t="n"/>
      <c r="AE402" s="0" t="n"/>
      <c r="AF402" s="0" t="n"/>
      <c r="AG402" s="0" t="n"/>
      <c r="AH402" s="0" t="n"/>
      <c r="AI402" s="0" t="n"/>
      <c r="AJ402" s="0" t="n"/>
      <c r="AK402" s="0" t="n"/>
      <c r="AL402" s="0" t="n"/>
      <c r="AM402" s="0" t="n"/>
      <c r="AN402" s="0" t="n"/>
      <c r="AO402" s="0" t="n"/>
      <c r="AP402" s="0" t="n"/>
      <c r="AQ402" s="0" t="n"/>
      <c r="AR402" s="0" t="n"/>
      <c r="AS402" s="0" t="n"/>
      <c r="AT402" s="0" t="n"/>
      <c r="AU402" s="0" t="n"/>
      <c r="AV402" s="0" t="n"/>
      <c r="AW402" s="0" t="n"/>
      <c r="AX402" s="0" t="n"/>
      <c r="AY402" s="0" t="n"/>
      <c r="AZ402" s="0" t="n"/>
      <c r="BA402" s="0" t="n"/>
      <c r="BB402" s="0" t="n"/>
      <c r="BC402" s="0" t="n"/>
      <c r="BD402" s="0" t="n"/>
      <c r="BE402" s="0" t="n"/>
      <c r="BF402" s="0" t="n"/>
      <c r="BG402" s="0" t="n"/>
      <c r="BH402" s="0" t="n"/>
      <c r="BI402" s="0" t="n"/>
      <c r="BJ402" s="0" t="n"/>
      <c r="BK402" s="0" t="n"/>
      <c r="BL402" s="0" t="n"/>
      <c r="BM402" s="0" t="n"/>
      <c r="BN402" s="0" t="n"/>
      <c r="BO402" s="0" t="n"/>
      <c r="BP402" s="0" t="n"/>
    </row>
    <row hidden="false" ht="15" outlineLevel="0" r="403">
      <c r="A403" s="116" t="n">
        <f aca="false" ca="false" dt2D="false" dtr="false" t="normal">+A402+1</f>
        <v>383</v>
      </c>
      <c r="B403" s="117" t="n">
        <f aca="false" ca="false" dt2D="false" dtr="false" t="normal">+B402+1</f>
        <v>192</v>
      </c>
      <c r="C403" s="104" t="s">
        <v>111</v>
      </c>
      <c r="D403" s="117" t="s">
        <v>117</v>
      </c>
      <c r="E403" s="113" t="n">
        <f aca="false" ca="true" dt2D="false" dtr="false" t="normal">SUBTOTAL(9, F403:T403)</f>
        <v>4507647.880000001</v>
      </c>
      <c r="F403" s="191" t="n"/>
      <c r="G403" s="114" t="n">
        <v>2958323.74</v>
      </c>
      <c r="H403" s="114" t="n"/>
      <c r="I403" s="114" t="n"/>
      <c r="J403" s="114" t="n"/>
      <c r="K403" s="114" t="n"/>
      <c r="L403" s="114" t="n">
        <v>1515829.2</v>
      </c>
      <c r="M403" s="114" t="n">
        <v>0</v>
      </c>
      <c r="N403" s="114" t="n"/>
      <c r="O403" s="114" t="n"/>
      <c r="P403" s="114" t="n"/>
      <c r="Q403" s="114" t="n"/>
      <c r="R403" s="114" t="n"/>
      <c r="S403" s="114" t="n"/>
      <c r="T403" s="115" t="n">
        <v>33494.94</v>
      </c>
      <c r="U403" s="0" t="n"/>
      <c r="V403" s="0" t="n"/>
      <c r="W403" s="0" t="n"/>
      <c r="X403" s="0" t="n"/>
      <c r="Y403" s="0" t="n"/>
      <c r="Z403" s="0" t="n"/>
      <c r="AA403" s="0" t="n"/>
      <c r="AB403" s="0" t="n"/>
      <c r="AC403" s="0" t="n"/>
      <c r="AD403" s="0" t="n"/>
      <c r="AE403" s="0" t="n"/>
      <c r="AF403" s="0" t="n"/>
      <c r="AG403" s="0" t="n"/>
      <c r="AH403" s="0" t="n"/>
      <c r="AI403" s="0" t="n"/>
      <c r="AJ403" s="0" t="n"/>
      <c r="AK403" s="0" t="n"/>
      <c r="AL403" s="0" t="n"/>
      <c r="AM403" s="0" t="n"/>
      <c r="AN403" s="0" t="n"/>
      <c r="AO403" s="0" t="n"/>
      <c r="AP403" s="0" t="n"/>
      <c r="AQ403" s="0" t="n"/>
      <c r="AR403" s="0" t="n"/>
      <c r="AS403" s="0" t="n"/>
      <c r="AT403" s="0" t="n"/>
      <c r="AU403" s="0" t="n"/>
      <c r="AV403" s="0" t="n"/>
      <c r="AW403" s="0" t="n"/>
      <c r="AX403" s="0" t="n"/>
      <c r="AY403" s="0" t="n"/>
      <c r="AZ403" s="0" t="n"/>
      <c r="BA403" s="0" t="n"/>
      <c r="BB403" s="0" t="n"/>
      <c r="BC403" s="0" t="n"/>
      <c r="BD403" s="0" t="n"/>
      <c r="BE403" s="0" t="n"/>
      <c r="BF403" s="0" t="n"/>
      <c r="BG403" s="0" t="n"/>
      <c r="BH403" s="0" t="n"/>
      <c r="BI403" s="0" t="n"/>
      <c r="BJ403" s="0" t="n"/>
      <c r="BK403" s="0" t="n"/>
      <c r="BL403" s="0" t="n"/>
      <c r="BM403" s="0" t="n"/>
      <c r="BN403" s="0" t="n"/>
      <c r="BO403" s="0" t="n"/>
      <c r="BP403" s="0" t="n"/>
    </row>
    <row hidden="false" ht="15" outlineLevel="0" r="404">
      <c r="A404" s="116" t="n">
        <f aca="false" ca="false" dt2D="false" dtr="false" t="normal">+A403+1</f>
        <v>384</v>
      </c>
      <c r="B404" s="117" t="n">
        <f aca="false" ca="false" dt2D="false" dtr="false" t="normal">+B403+1</f>
        <v>193</v>
      </c>
      <c r="C404" s="104" t="s">
        <v>111</v>
      </c>
      <c r="D404" s="117" t="s">
        <v>114</v>
      </c>
      <c r="E404" s="113" t="n">
        <f aca="false" ca="true" dt2D="false" dtr="false" t="normal">SUBTOTAL(9, F404:T404)</f>
        <v>2457074</v>
      </c>
      <c r="F404" s="114" t="n"/>
      <c r="G404" s="114" t="n"/>
      <c r="H404" s="114" t="n">
        <v>2457074</v>
      </c>
      <c r="I404" s="114" t="n"/>
      <c r="J404" s="114" t="n"/>
      <c r="K404" s="114" t="n"/>
      <c r="L404" s="114" t="n"/>
      <c r="M404" s="114" t="n"/>
      <c r="N404" s="114" t="n"/>
      <c r="O404" s="114" t="n"/>
      <c r="P404" s="114" t="n"/>
      <c r="Q404" s="114" t="n"/>
      <c r="R404" s="114" t="n"/>
      <c r="S404" s="114" t="n"/>
      <c r="T404" s="115" t="n"/>
      <c r="U404" s="0" t="n"/>
      <c r="V404" s="0" t="n"/>
      <c r="W404" s="0" t="n"/>
      <c r="X404" s="0" t="n"/>
      <c r="Y404" s="0" t="n"/>
      <c r="Z404" s="0" t="n"/>
      <c r="AA404" s="0" t="n"/>
      <c r="AB404" s="0" t="n"/>
      <c r="AC404" s="0" t="n"/>
      <c r="AD404" s="0" t="n"/>
      <c r="AE404" s="0" t="n"/>
      <c r="AF404" s="0" t="n"/>
      <c r="AG404" s="0" t="n"/>
      <c r="AH404" s="0" t="n"/>
      <c r="AI404" s="0" t="n"/>
      <c r="AJ404" s="0" t="n"/>
      <c r="AK404" s="0" t="n"/>
      <c r="AL404" s="0" t="n"/>
      <c r="AM404" s="0" t="n"/>
      <c r="AN404" s="0" t="n"/>
      <c r="AO404" s="0" t="n"/>
      <c r="AP404" s="0" t="n"/>
      <c r="AQ404" s="0" t="n"/>
      <c r="AR404" s="0" t="n"/>
      <c r="AS404" s="0" t="n"/>
      <c r="AT404" s="0" t="n"/>
      <c r="AU404" s="0" t="n"/>
      <c r="AV404" s="0" t="n"/>
      <c r="AW404" s="0" t="n"/>
      <c r="AX404" s="0" t="n"/>
      <c r="AY404" s="0" t="n"/>
      <c r="AZ404" s="0" t="n"/>
      <c r="BA404" s="0" t="n"/>
      <c r="BB404" s="0" t="n"/>
      <c r="BC404" s="0" t="n"/>
      <c r="BD404" s="0" t="n"/>
      <c r="BE404" s="0" t="n"/>
      <c r="BF404" s="0" t="n"/>
      <c r="BG404" s="0" t="n"/>
      <c r="BH404" s="0" t="n"/>
      <c r="BI404" s="0" t="n"/>
      <c r="BJ404" s="0" t="n"/>
      <c r="BK404" s="0" t="n"/>
      <c r="BL404" s="0" t="n"/>
      <c r="BM404" s="0" t="n"/>
      <c r="BN404" s="0" t="n"/>
      <c r="BO404" s="0" t="n"/>
      <c r="BP404" s="0" t="n"/>
    </row>
    <row hidden="false" ht="15" outlineLevel="0" r="405">
      <c r="A405" s="116" t="n">
        <f aca="false" ca="false" dt2D="false" dtr="false" t="normal">+A404+1</f>
        <v>385</v>
      </c>
      <c r="B405" s="117" t="s">
        <v>463</v>
      </c>
      <c r="C405" s="104" t="s">
        <v>111</v>
      </c>
      <c r="D405" s="117" t="s">
        <v>333</v>
      </c>
      <c r="E405" s="186" t="n">
        <f aca="false" ca="true" dt2D="false" dtr="false" t="normal">SUBTOTAL(9, F405:T405)</f>
        <v>8262278.14</v>
      </c>
      <c r="F405" s="106" t="n">
        <v>8063310.05</v>
      </c>
      <c r="G405" s="114" t="n"/>
      <c r="H405" s="114" t="n"/>
      <c r="I405" s="114" t="n"/>
      <c r="J405" s="114" t="n"/>
      <c r="K405" s="114" t="n"/>
      <c r="L405" s="114" t="n"/>
      <c r="M405" s="114" t="n">
        <v>0</v>
      </c>
      <c r="N405" s="114" t="n"/>
      <c r="O405" s="114" t="n">
        <v>0</v>
      </c>
      <c r="P405" s="114" t="n">
        <v>0</v>
      </c>
      <c r="Q405" s="114" t="n">
        <v>0</v>
      </c>
      <c r="R405" s="114" t="n">
        <v>87085.12</v>
      </c>
      <c r="S405" s="114" t="n">
        <v>4800</v>
      </c>
      <c r="T405" s="115" t="n">
        <v>107082.97</v>
      </c>
      <c r="U405" s="0" t="n"/>
      <c r="V405" s="0" t="n"/>
      <c r="W405" s="0" t="n"/>
      <c r="X405" s="0" t="n"/>
      <c r="Y405" s="0" t="n"/>
      <c r="Z405" s="0" t="n"/>
      <c r="AA405" s="0" t="n"/>
      <c r="AB405" s="0" t="n"/>
      <c r="AC405" s="0" t="n"/>
      <c r="AD405" s="0" t="n"/>
      <c r="AE405" s="0" t="n"/>
      <c r="AF405" s="0" t="n"/>
      <c r="AG405" s="0" t="n"/>
      <c r="AH405" s="0" t="n"/>
      <c r="AI405" s="0" t="n"/>
      <c r="AJ405" s="0" t="n"/>
      <c r="AK405" s="0" t="n"/>
      <c r="AL405" s="0" t="n"/>
      <c r="AM405" s="0" t="n"/>
      <c r="AN405" s="0" t="n"/>
      <c r="AO405" s="0" t="n"/>
      <c r="AP405" s="0" t="n"/>
      <c r="AQ405" s="0" t="n"/>
      <c r="AR405" s="0" t="n"/>
      <c r="AS405" s="0" t="n"/>
      <c r="AT405" s="0" t="n"/>
      <c r="AU405" s="0" t="n"/>
      <c r="AV405" s="0" t="n"/>
      <c r="AW405" s="0" t="n"/>
      <c r="AX405" s="0" t="n"/>
      <c r="AY405" s="0" t="n"/>
      <c r="AZ405" s="0" t="n"/>
      <c r="BA405" s="0" t="n"/>
      <c r="BB405" s="0" t="n"/>
      <c r="BC405" s="0" t="n"/>
      <c r="BD405" s="0" t="n"/>
      <c r="BE405" s="0" t="n"/>
      <c r="BF405" s="0" t="n"/>
      <c r="BG405" s="0" t="n"/>
      <c r="BH405" s="0" t="n"/>
      <c r="BI405" s="0" t="n"/>
      <c r="BJ405" s="0" t="n"/>
      <c r="BK405" s="0" t="n"/>
      <c r="BL405" s="0" t="n"/>
      <c r="BM405" s="0" t="n"/>
      <c r="BN405" s="0" t="n"/>
      <c r="BO405" s="0" t="n"/>
      <c r="BP405" s="0" t="n"/>
    </row>
    <row hidden="false" ht="15" outlineLevel="0" r="406">
      <c r="A406" s="116" t="n">
        <f aca="false" ca="false" dt2D="false" dtr="false" t="normal">+A405+1</f>
        <v>386</v>
      </c>
      <c r="B406" s="117" t="n">
        <v>194</v>
      </c>
      <c r="C406" s="104" t="s">
        <v>111</v>
      </c>
      <c r="D406" s="117" t="s">
        <v>130</v>
      </c>
      <c r="E406" s="113" t="n">
        <f aca="false" ca="true" dt2D="false" dtr="false" t="normal">SUBTOTAL(9, F406:T406)</f>
        <v>2906929.13</v>
      </c>
      <c r="F406" s="114" t="n">
        <v>2876336.82</v>
      </c>
      <c r="G406" s="114" t="n"/>
      <c r="H406" s="114" t="n"/>
      <c r="I406" s="114" t="n"/>
      <c r="J406" s="114" t="n"/>
      <c r="K406" s="114" t="n"/>
      <c r="L406" s="114" t="n"/>
      <c r="M406" s="114" t="n"/>
      <c r="N406" s="114" t="n"/>
      <c r="O406" s="114" t="n">
        <v>0</v>
      </c>
      <c r="P406" s="114" t="n">
        <v>0</v>
      </c>
      <c r="Q406" s="114" t="n">
        <v>0</v>
      </c>
      <c r="R406" s="114" t="n"/>
      <c r="S406" s="114" t="n"/>
      <c r="T406" s="115" t="n">
        <v>30592.31</v>
      </c>
      <c r="U406" s="0" t="n"/>
      <c r="V406" s="0" t="n"/>
      <c r="W406" s="0" t="n"/>
      <c r="X406" s="0" t="n"/>
      <c r="Y406" s="0" t="n"/>
      <c r="Z406" s="0" t="n"/>
      <c r="AA406" s="0" t="n"/>
      <c r="AB406" s="0" t="n"/>
      <c r="AC406" s="0" t="n"/>
      <c r="AD406" s="0" t="n"/>
      <c r="AE406" s="0" t="n"/>
      <c r="AF406" s="0" t="n"/>
      <c r="AG406" s="0" t="n"/>
      <c r="AH406" s="0" t="n"/>
      <c r="AI406" s="0" t="n"/>
      <c r="AJ406" s="0" t="n"/>
      <c r="AK406" s="0" t="n"/>
      <c r="AL406" s="0" t="n"/>
      <c r="AM406" s="0" t="n"/>
      <c r="AN406" s="0" t="n"/>
      <c r="AO406" s="0" t="n"/>
      <c r="AP406" s="0" t="n"/>
      <c r="AQ406" s="0" t="n"/>
      <c r="AR406" s="0" t="n"/>
      <c r="AS406" s="0" t="n"/>
      <c r="AT406" s="0" t="n"/>
      <c r="AU406" s="0" t="n"/>
      <c r="AV406" s="0" t="n"/>
      <c r="AW406" s="0" t="n"/>
      <c r="AX406" s="0" t="n"/>
      <c r="AY406" s="0" t="n"/>
      <c r="AZ406" s="0" t="n"/>
      <c r="BA406" s="0" t="n"/>
      <c r="BB406" s="0" t="n"/>
      <c r="BC406" s="0" t="n"/>
      <c r="BD406" s="0" t="n"/>
      <c r="BE406" s="0" t="n"/>
      <c r="BF406" s="0" t="n"/>
      <c r="BG406" s="0" t="n"/>
      <c r="BH406" s="0" t="n"/>
      <c r="BI406" s="0" t="n"/>
      <c r="BJ406" s="0" t="n"/>
      <c r="BK406" s="0" t="n"/>
      <c r="BL406" s="0" t="n"/>
      <c r="BM406" s="0" t="n"/>
      <c r="BN406" s="0" t="n"/>
      <c r="BO406" s="0" t="n"/>
      <c r="BP406" s="0" t="n"/>
    </row>
    <row hidden="false" ht="15" outlineLevel="0" r="407">
      <c r="A407" s="116" t="n">
        <f aca="false" ca="false" dt2D="false" dtr="false" t="normal">+A406+1</f>
        <v>387</v>
      </c>
      <c r="B407" s="117" t="n">
        <v>195</v>
      </c>
      <c r="C407" s="104" t="s">
        <v>111</v>
      </c>
      <c r="D407" s="104" t="s">
        <v>480</v>
      </c>
      <c r="E407" s="186" t="n">
        <f aca="false" ca="true" dt2D="false" dtr="false" t="normal">SUBTOTAL(9, F407:T407)</f>
        <v>7597723.99</v>
      </c>
      <c r="F407" s="106" t="n">
        <v>0</v>
      </c>
      <c r="G407" s="114" t="n">
        <v>0</v>
      </c>
      <c r="H407" s="114" t="n">
        <v>0</v>
      </c>
      <c r="I407" s="114" t="n">
        <v>0</v>
      </c>
      <c r="J407" s="114" t="n">
        <v>0</v>
      </c>
      <c r="K407" s="114" t="n"/>
      <c r="L407" s="114" t="n"/>
      <c r="M407" s="114" t="n">
        <v>0</v>
      </c>
      <c r="N407" s="114" t="n">
        <v>0</v>
      </c>
      <c r="O407" s="114" t="n">
        <v>0</v>
      </c>
      <c r="P407" s="114" t="n">
        <v>7597723.99</v>
      </c>
      <c r="Q407" s="114" t="n">
        <v>0</v>
      </c>
      <c r="R407" s="114" t="n"/>
      <c r="S407" s="114" t="n"/>
      <c r="T407" s="115" t="n"/>
    </row>
    <row hidden="false" ht="15" outlineLevel="0" r="408">
      <c r="A408" s="116" t="n">
        <f aca="false" ca="false" dt2D="false" dtr="false" t="normal">+A407+1</f>
        <v>388</v>
      </c>
      <c r="B408" s="117" t="n">
        <f aca="false" ca="false" dt2D="false" dtr="false" t="normal">+B407+1</f>
        <v>196</v>
      </c>
      <c r="C408" s="104" t="s">
        <v>111</v>
      </c>
      <c r="D408" s="117" t="s">
        <v>481</v>
      </c>
      <c r="E408" s="186" t="n">
        <f aca="false" ca="true" dt2D="false" dtr="false" t="normal">SUBTOTAL(9, F408:T408)</f>
        <v>2328308.53</v>
      </c>
      <c r="F408" s="114" t="n">
        <v>0</v>
      </c>
      <c r="G408" s="114" t="n"/>
      <c r="H408" s="114" t="n">
        <v>2328308.53</v>
      </c>
      <c r="I408" s="114" t="n"/>
      <c r="J408" s="114" t="n"/>
      <c r="K408" s="114" t="n"/>
      <c r="L408" s="114" t="n"/>
      <c r="M408" s="114" t="n"/>
      <c r="N408" s="114" t="n"/>
      <c r="O408" s="114" t="n"/>
      <c r="P408" s="114" t="n"/>
      <c r="Q408" s="114" t="n"/>
      <c r="R408" s="114" t="n"/>
      <c r="S408" s="114" t="n"/>
      <c r="T408" s="115" t="n"/>
      <c r="U408" s="0" t="n"/>
      <c r="V408" s="0" t="n"/>
      <c r="W408" s="0" t="n"/>
      <c r="X408" s="0" t="n"/>
      <c r="Y408" s="0" t="n"/>
      <c r="Z408" s="0" t="n"/>
      <c r="AA408" s="0" t="n"/>
      <c r="AB408" s="0" t="n"/>
      <c r="AC408" s="0" t="n"/>
      <c r="AD408" s="0" t="n"/>
      <c r="AE408" s="0" t="n"/>
      <c r="AF408" s="0" t="n"/>
      <c r="AG408" s="0" t="n"/>
      <c r="AH408" s="0" t="n"/>
      <c r="AI408" s="0" t="n"/>
      <c r="AJ408" s="0" t="n"/>
      <c r="AK408" s="0" t="n"/>
      <c r="AL408" s="0" t="n"/>
      <c r="AM408" s="0" t="n"/>
      <c r="AN408" s="0" t="n"/>
      <c r="AO408" s="0" t="n"/>
      <c r="AP408" s="0" t="n"/>
      <c r="AQ408" s="0" t="n"/>
      <c r="AR408" s="0" t="n"/>
      <c r="AS408" s="0" t="n"/>
      <c r="AT408" s="0" t="n"/>
      <c r="AU408" s="0" t="n"/>
      <c r="AV408" s="0" t="n"/>
      <c r="AW408" s="0" t="n"/>
      <c r="AX408" s="0" t="n"/>
      <c r="AY408" s="0" t="n"/>
      <c r="AZ408" s="0" t="n"/>
      <c r="BA408" s="0" t="n"/>
      <c r="BB408" s="0" t="n"/>
      <c r="BC408" s="0" t="n"/>
      <c r="BD408" s="0" t="n"/>
      <c r="BE408" s="0" t="n"/>
      <c r="BF408" s="0" t="n"/>
      <c r="BG408" s="0" t="n"/>
      <c r="BH408" s="0" t="n"/>
      <c r="BI408" s="0" t="n"/>
      <c r="BJ408" s="0" t="n"/>
      <c r="BK408" s="0" t="n"/>
      <c r="BL408" s="0" t="n"/>
      <c r="BM408" s="0" t="n"/>
      <c r="BN408" s="0" t="n"/>
      <c r="BO408" s="0" t="n"/>
      <c r="BP408" s="0" t="n"/>
    </row>
    <row hidden="false" ht="15" outlineLevel="0" r="409">
      <c r="A409" s="116" t="n">
        <f aca="false" ca="false" dt2D="false" dtr="false" t="normal">+A408+1</f>
        <v>389</v>
      </c>
      <c r="B409" s="117" t="s">
        <v>463</v>
      </c>
      <c r="C409" s="104" t="s">
        <v>111</v>
      </c>
      <c r="D409" s="117" t="s">
        <v>344</v>
      </c>
      <c r="E409" s="186" t="n">
        <f aca="false" ca="true" dt2D="false" dtr="false" t="normal">SUBTOTAL(9, F409:T409)</f>
        <v>29075533.09</v>
      </c>
      <c r="F409" s="114" t="n"/>
      <c r="G409" s="114" t="n"/>
      <c r="H409" s="114" t="n">
        <v>1699976.02</v>
      </c>
      <c r="I409" s="114" t="n"/>
      <c r="J409" s="114" t="n"/>
      <c r="K409" s="114" t="n"/>
      <c r="L409" s="114" t="n"/>
      <c r="M409" s="114" t="n"/>
      <c r="N409" s="114" t="n"/>
      <c r="O409" s="114" t="n"/>
      <c r="P409" s="114" t="n">
        <v>21539537.78</v>
      </c>
      <c r="Q409" s="114" t="n">
        <v>5244019.1</v>
      </c>
      <c r="R409" s="114" t="n">
        <v>580000.19</v>
      </c>
      <c r="S409" s="114" t="n">
        <v>12000</v>
      </c>
      <c r="T409" s="115" t="n"/>
      <c r="U409" s="0" t="n"/>
      <c r="V409" s="0" t="n"/>
      <c r="W409" s="0" t="n"/>
      <c r="X409" s="0" t="n"/>
      <c r="Y409" s="0" t="n"/>
      <c r="Z409" s="0" t="n"/>
      <c r="AA409" s="0" t="n"/>
      <c r="AB409" s="0" t="n"/>
      <c r="AC409" s="0" t="n"/>
      <c r="AD409" s="0" t="n"/>
      <c r="AE409" s="0" t="n"/>
      <c r="AF409" s="0" t="n"/>
      <c r="AG409" s="0" t="n"/>
      <c r="AH409" s="0" t="n"/>
      <c r="AI409" s="0" t="n"/>
      <c r="AJ409" s="0" t="n"/>
      <c r="AK409" s="0" t="n"/>
      <c r="AL409" s="0" t="n"/>
      <c r="AM409" s="0" t="n"/>
      <c r="AN409" s="0" t="n"/>
      <c r="AO409" s="0" t="n"/>
      <c r="AP409" s="0" t="n"/>
      <c r="AQ409" s="0" t="n"/>
      <c r="AR409" s="0" t="n"/>
      <c r="AS409" s="0" t="n"/>
      <c r="AT409" s="0" t="n"/>
      <c r="AU409" s="0" t="n"/>
      <c r="AV409" s="0" t="n"/>
      <c r="AW409" s="0" t="n"/>
      <c r="AX409" s="0" t="n"/>
      <c r="AY409" s="0" t="n"/>
      <c r="AZ409" s="0" t="n"/>
      <c r="BA409" s="0" t="n"/>
      <c r="BB409" s="0" t="n"/>
      <c r="BC409" s="0" t="n"/>
      <c r="BD409" s="0" t="n"/>
      <c r="BE409" s="0" t="n"/>
      <c r="BF409" s="0" t="n"/>
      <c r="BG409" s="0" t="n"/>
      <c r="BH409" s="0" t="n"/>
      <c r="BI409" s="0" t="n"/>
      <c r="BJ409" s="0" t="n"/>
      <c r="BK409" s="0" t="n"/>
      <c r="BL409" s="0" t="n"/>
      <c r="BM409" s="0" t="n"/>
      <c r="BN409" s="0" t="n"/>
      <c r="BO409" s="0" t="n"/>
      <c r="BP409" s="0" t="n"/>
    </row>
    <row hidden="false" ht="15" outlineLevel="0" r="410">
      <c r="A410" s="116" t="n">
        <f aca="false" ca="false" dt2D="false" dtr="false" t="normal">+A409+1</f>
        <v>390</v>
      </c>
      <c r="B410" s="117" t="n">
        <v>197</v>
      </c>
      <c r="C410" s="104" t="s">
        <v>111</v>
      </c>
      <c r="D410" s="117" t="s">
        <v>139</v>
      </c>
      <c r="E410" s="113" t="n">
        <f aca="false" ca="true" dt2D="false" dtr="false" t="normal">SUBTOTAL(9, F410:T410)</f>
        <v>1292467.79</v>
      </c>
      <c r="F410" s="114" t="n">
        <v>0</v>
      </c>
      <c r="G410" s="114" t="n">
        <v>0</v>
      </c>
      <c r="H410" s="114" t="n">
        <v>0</v>
      </c>
      <c r="I410" s="114" t="n">
        <v>0</v>
      </c>
      <c r="J410" s="114" t="n">
        <v>1292467.79</v>
      </c>
      <c r="K410" s="114" t="n"/>
      <c r="L410" s="114" t="n"/>
      <c r="M410" s="114" t="n">
        <v>0</v>
      </c>
      <c r="N410" s="114" t="n">
        <v>0</v>
      </c>
      <c r="O410" s="114" t="n">
        <v>0</v>
      </c>
      <c r="P410" s="114" t="n"/>
      <c r="Q410" s="114" t="n">
        <v>0</v>
      </c>
      <c r="R410" s="114" t="n"/>
      <c r="S410" s="114" t="n"/>
      <c r="T410" s="115" t="n"/>
      <c r="U410" s="0" t="n"/>
      <c r="V410" s="0" t="n"/>
      <c r="W410" s="0" t="n"/>
      <c r="X410" s="0" t="n"/>
      <c r="Y410" s="0" t="n"/>
      <c r="Z410" s="0" t="n"/>
      <c r="AA410" s="0" t="n"/>
      <c r="AB410" s="0" t="n"/>
      <c r="AC410" s="0" t="n"/>
      <c r="AD410" s="0" t="n"/>
      <c r="AE410" s="0" t="n"/>
      <c r="AF410" s="0" t="n"/>
      <c r="AG410" s="0" t="n"/>
      <c r="AH410" s="0" t="n"/>
      <c r="AI410" s="0" t="n"/>
      <c r="AJ410" s="0" t="n"/>
      <c r="AK410" s="0" t="n"/>
      <c r="AL410" s="0" t="n"/>
      <c r="AM410" s="0" t="n"/>
      <c r="AN410" s="0" t="n"/>
      <c r="AO410" s="0" t="n"/>
      <c r="AP410" s="0" t="n"/>
      <c r="AQ410" s="0" t="n"/>
      <c r="AR410" s="0" t="n"/>
      <c r="AS410" s="0" t="n"/>
      <c r="AT410" s="0" t="n"/>
      <c r="AU410" s="0" t="n"/>
      <c r="AV410" s="0" t="n"/>
      <c r="AW410" s="0" t="n"/>
      <c r="AX410" s="0" t="n"/>
      <c r="AY410" s="0" t="n"/>
      <c r="AZ410" s="0" t="n"/>
      <c r="BA410" s="0" t="n"/>
      <c r="BB410" s="0" t="n"/>
      <c r="BC410" s="0" t="n"/>
      <c r="BD410" s="0" t="n"/>
      <c r="BE410" s="0" t="n"/>
      <c r="BF410" s="0" t="n"/>
      <c r="BG410" s="0" t="n"/>
      <c r="BH410" s="0" t="n"/>
      <c r="BI410" s="0" t="n"/>
      <c r="BJ410" s="0" t="n"/>
      <c r="BK410" s="0" t="n"/>
      <c r="BL410" s="0" t="n"/>
      <c r="BM410" s="0" t="n"/>
      <c r="BN410" s="0" t="n"/>
      <c r="BO410" s="0" t="n"/>
      <c r="BP410" s="0" t="n"/>
    </row>
    <row hidden="false" ht="15" outlineLevel="0" r="411">
      <c r="A411" s="116" t="n">
        <f aca="false" ca="false" dt2D="false" dtr="false" t="normal">+A410+1</f>
        <v>391</v>
      </c>
      <c r="B411" s="117" t="s">
        <v>463</v>
      </c>
      <c r="C411" s="104" t="s">
        <v>111</v>
      </c>
      <c r="D411" s="117" t="s">
        <v>351</v>
      </c>
      <c r="E411" s="186" t="n">
        <f aca="false" ca="true" dt2D="false" dtr="false" t="normal">SUBTOTAL(9, F411:T411)</f>
        <v>12686908.629999999</v>
      </c>
      <c r="F411" s="114" t="n">
        <v>6551161.51</v>
      </c>
      <c r="G411" s="114" t="n">
        <v>3815348.46</v>
      </c>
      <c r="H411" s="114" t="n"/>
      <c r="I411" s="114" t="n">
        <v>2106297.9</v>
      </c>
      <c r="J411" s="114" t="n"/>
      <c r="K411" s="114" t="n"/>
      <c r="L411" s="114" t="n"/>
      <c r="M411" s="114" t="n">
        <v>0</v>
      </c>
      <c r="N411" s="114" t="n">
        <v>0</v>
      </c>
      <c r="O411" s="114" t="n">
        <v>0</v>
      </c>
      <c r="P411" s="114" t="n">
        <v>0</v>
      </c>
      <c r="Q411" s="114" t="n">
        <v>0</v>
      </c>
      <c r="R411" s="114" t="n">
        <v>196100.76</v>
      </c>
      <c r="S411" s="114" t="n">
        <v>18000</v>
      </c>
      <c r="T411" s="115" t="n"/>
      <c r="U411" s="0" t="n"/>
      <c r="V411" s="0" t="n"/>
      <c r="W411" s="0" t="n"/>
      <c r="X411" s="0" t="n"/>
      <c r="Y411" s="0" t="n"/>
      <c r="Z411" s="0" t="n"/>
      <c r="AA411" s="0" t="n"/>
      <c r="AB411" s="0" t="n"/>
      <c r="AC411" s="0" t="n"/>
      <c r="AD411" s="0" t="n"/>
      <c r="AE411" s="0" t="n"/>
      <c r="AF411" s="0" t="n"/>
      <c r="AG411" s="0" t="n"/>
      <c r="AH411" s="0" t="n"/>
      <c r="AI411" s="0" t="n"/>
      <c r="AJ411" s="0" t="n"/>
      <c r="AK411" s="0" t="n"/>
      <c r="AL411" s="0" t="n"/>
      <c r="AM411" s="0" t="n"/>
      <c r="AN411" s="0" t="n"/>
      <c r="AO411" s="0" t="n"/>
      <c r="AP411" s="0" t="n"/>
      <c r="AQ411" s="0" t="n"/>
      <c r="AR411" s="0" t="n"/>
      <c r="AS411" s="0" t="n"/>
      <c r="AT411" s="0" t="n"/>
      <c r="AU411" s="0" t="n"/>
      <c r="AV411" s="0" t="n"/>
      <c r="AW411" s="0" t="n"/>
      <c r="AX411" s="0" t="n"/>
      <c r="AY411" s="0" t="n"/>
      <c r="AZ411" s="0" t="n"/>
      <c r="BA411" s="0" t="n"/>
      <c r="BB411" s="0" t="n"/>
      <c r="BC411" s="0" t="n"/>
      <c r="BD411" s="0" t="n"/>
      <c r="BE411" s="0" t="n"/>
      <c r="BF411" s="0" t="n"/>
      <c r="BG411" s="0" t="n"/>
      <c r="BH411" s="0" t="n"/>
      <c r="BI411" s="0" t="n"/>
      <c r="BJ411" s="0" t="n"/>
      <c r="BK411" s="0" t="n"/>
      <c r="BL411" s="0" t="n"/>
      <c r="BM411" s="0" t="n"/>
      <c r="BN411" s="0" t="n"/>
      <c r="BO411" s="0" t="n"/>
      <c r="BP411" s="0" t="n"/>
    </row>
    <row hidden="false" ht="15" outlineLevel="0" r="412">
      <c r="A412" s="116" t="n">
        <f aca="false" ca="false" dt2D="false" dtr="false" t="normal">+A411+1</f>
        <v>392</v>
      </c>
      <c r="B412" s="117" t="s">
        <v>463</v>
      </c>
      <c r="C412" s="104" t="s">
        <v>111</v>
      </c>
      <c r="D412" s="117" t="s">
        <v>353</v>
      </c>
      <c r="E412" s="113" t="n">
        <f aca="false" ca="true" dt2D="false" dtr="false" t="normal">SUBTOTAL(9, F412:T412)</f>
        <v>1676807.21</v>
      </c>
      <c r="F412" s="114" t="n">
        <v>0</v>
      </c>
      <c r="G412" s="114" t="n"/>
      <c r="H412" s="114" t="n"/>
      <c r="I412" s="114" t="n"/>
      <c r="J412" s="114" t="n">
        <v>1676807.21</v>
      </c>
      <c r="K412" s="114" t="n"/>
      <c r="L412" s="114" t="n"/>
      <c r="M412" s="114" t="n">
        <v>0</v>
      </c>
      <c r="N412" s="114" t="n">
        <v>0</v>
      </c>
      <c r="O412" s="114" t="n">
        <v>0</v>
      </c>
      <c r="P412" s="114" t="n"/>
      <c r="Q412" s="114" t="n">
        <v>0</v>
      </c>
      <c r="R412" s="114" t="n"/>
      <c r="S412" s="114" t="n"/>
      <c r="T412" s="115" t="n"/>
      <c r="U412" s="0" t="n"/>
      <c r="V412" s="0" t="n"/>
      <c r="W412" s="0" t="n"/>
      <c r="X412" s="0" t="n"/>
      <c r="Y412" s="0" t="n"/>
      <c r="Z412" s="0" t="n"/>
      <c r="AA412" s="0" t="n"/>
      <c r="AB412" s="0" t="n"/>
      <c r="AC412" s="0" t="n"/>
      <c r="AD412" s="0" t="n"/>
      <c r="AE412" s="0" t="n"/>
      <c r="AF412" s="0" t="n"/>
      <c r="AG412" s="0" t="n"/>
      <c r="AH412" s="0" t="n"/>
      <c r="AI412" s="0" t="n"/>
      <c r="AJ412" s="0" t="n"/>
      <c r="AK412" s="0" t="n"/>
      <c r="AL412" s="0" t="n"/>
      <c r="AM412" s="0" t="n"/>
      <c r="AN412" s="0" t="n"/>
      <c r="AO412" s="0" t="n"/>
      <c r="AP412" s="0" t="n"/>
      <c r="AQ412" s="0" t="n"/>
      <c r="AR412" s="0" t="n"/>
      <c r="AS412" s="0" t="n"/>
      <c r="AT412" s="0" t="n"/>
      <c r="AU412" s="0" t="n"/>
      <c r="AV412" s="0" t="n"/>
      <c r="AW412" s="0" t="n"/>
      <c r="AX412" s="0" t="n"/>
      <c r="AY412" s="0" t="n"/>
      <c r="AZ412" s="0" t="n"/>
      <c r="BA412" s="0" t="n"/>
      <c r="BB412" s="0" t="n"/>
      <c r="BC412" s="0" t="n"/>
      <c r="BD412" s="0" t="n"/>
      <c r="BE412" s="0" t="n"/>
      <c r="BF412" s="0" t="n"/>
      <c r="BG412" s="0" t="n"/>
      <c r="BH412" s="0" t="n"/>
      <c r="BI412" s="0" t="n"/>
      <c r="BJ412" s="0" t="n"/>
      <c r="BK412" s="0" t="n"/>
      <c r="BL412" s="0" t="n"/>
      <c r="BM412" s="0" t="n"/>
      <c r="BN412" s="0" t="n"/>
      <c r="BO412" s="0" t="n"/>
      <c r="BP412" s="0" t="n"/>
    </row>
    <row hidden="false" ht="15" outlineLevel="0" r="413">
      <c r="A413" s="116" t="n">
        <f aca="false" ca="false" dt2D="false" dtr="false" t="normal">+A412+1</f>
        <v>393</v>
      </c>
      <c r="B413" s="117" t="n">
        <v>198</v>
      </c>
      <c r="C413" s="104" t="s">
        <v>111</v>
      </c>
      <c r="D413" s="117" t="s">
        <v>149</v>
      </c>
      <c r="E413" s="186" t="n">
        <f aca="false" ca="true" dt2D="false" dtr="false" t="normal">SUBTOTAL(9, F413:T413)</f>
        <v>2612741.62</v>
      </c>
      <c r="F413" s="114" t="n">
        <v>0</v>
      </c>
      <c r="G413" s="114" t="n">
        <v>0</v>
      </c>
      <c r="H413" s="114" t="n">
        <v>2612741.62</v>
      </c>
      <c r="I413" s="114" t="n">
        <v>0</v>
      </c>
      <c r="J413" s="114" t="n">
        <v>0</v>
      </c>
      <c r="K413" s="114" t="n"/>
      <c r="L413" s="114" t="n"/>
      <c r="M413" s="114" t="n">
        <v>0</v>
      </c>
      <c r="N413" s="114" t="n"/>
      <c r="O413" s="114" t="n"/>
      <c r="P413" s="114" t="n"/>
      <c r="Q413" s="114" t="n">
        <v>0</v>
      </c>
      <c r="R413" s="114" t="n"/>
      <c r="S413" s="114" t="n"/>
      <c r="T413" s="115" t="n"/>
      <c r="U413" s="0" t="n"/>
      <c r="V413" s="0" t="n"/>
      <c r="W413" s="0" t="n"/>
      <c r="X413" s="0" t="n"/>
      <c r="Y413" s="0" t="n"/>
      <c r="Z413" s="0" t="n"/>
      <c r="AA413" s="0" t="n"/>
      <c r="AB413" s="0" t="n"/>
      <c r="AC413" s="0" t="n"/>
      <c r="AD413" s="0" t="n"/>
      <c r="AE413" s="0" t="n"/>
      <c r="AF413" s="0" t="n"/>
      <c r="AG413" s="0" t="n"/>
      <c r="AH413" s="0" t="n"/>
      <c r="AI413" s="0" t="n"/>
      <c r="AJ413" s="0" t="n"/>
      <c r="AK413" s="0" t="n"/>
      <c r="AL413" s="0" t="n"/>
      <c r="AM413" s="0" t="n"/>
      <c r="AN413" s="0" t="n"/>
      <c r="AO413" s="0" t="n"/>
      <c r="AP413" s="0" t="n"/>
      <c r="AQ413" s="0" t="n"/>
      <c r="AR413" s="0" t="n"/>
      <c r="AS413" s="0" t="n"/>
      <c r="AT413" s="0" t="n"/>
      <c r="AU413" s="0" t="n"/>
      <c r="AV413" s="0" t="n"/>
      <c r="AW413" s="0" t="n"/>
      <c r="AX413" s="0" t="n"/>
      <c r="AY413" s="0" t="n"/>
      <c r="AZ413" s="0" t="n"/>
      <c r="BA413" s="0" t="n"/>
      <c r="BB413" s="0" t="n"/>
      <c r="BC413" s="0" t="n"/>
      <c r="BD413" s="0" t="n"/>
      <c r="BE413" s="0" t="n"/>
      <c r="BF413" s="0" t="n"/>
      <c r="BG413" s="0" t="n"/>
      <c r="BH413" s="0" t="n"/>
      <c r="BI413" s="0" t="n"/>
      <c r="BJ413" s="0" t="n"/>
      <c r="BK413" s="0" t="n"/>
      <c r="BL413" s="0" t="n"/>
      <c r="BM413" s="0" t="n"/>
      <c r="BN413" s="0" t="n"/>
      <c r="BO413" s="0" t="n"/>
      <c r="BP413" s="0" t="n"/>
    </row>
    <row hidden="false" ht="15" outlineLevel="0" r="414">
      <c r="A414" s="116" t="n">
        <f aca="false" ca="false" dt2D="false" dtr="false" t="normal">+A413+1</f>
        <v>394</v>
      </c>
      <c r="B414" s="117" t="s">
        <v>463</v>
      </c>
      <c r="C414" s="104" t="s">
        <v>111</v>
      </c>
      <c r="D414" s="117" t="s">
        <v>150</v>
      </c>
      <c r="E414" s="113" t="n">
        <f aca="false" ca="true" dt2D="false" dtr="false" t="normal">SUBTOTAL(9, F414:T414)</f>
        <v>4692599.98</v>
      </c>
      <c r="F414" s="114" t="n">
        <v>4647411.23</v>
      </c>
      <c r="G414" s="114" t="n"/>
      <c r="H414" s="114" t="n"/>
      <c r="I414" s="114" t="n"/>
      <c r="J414" s="114" t="n"/>
      <c r="K414" s="114" t="n"/>
      <c r="L414" s="114" t="n"/>
      <c r="M414" s="114" t="n"/>
      <c r="N414" s="114" t="n"/>
      <c r="O414" s="114" t="n">
        <v>0</v>
      </c>
      <c r="P414" s="114" t="n">
        <v>0</v>
      </c>
      <c r="Q414" s="114" t="n">
        <v>0</v>
      </c>
      <c r="R414" s="114" t="n"/>
      <c r="S414" s="114" t="n"/>
      <c r="T414" s="115" t="n">
        <v>45188.75</v>
      </c>
      <c r="U414" s="0" t="n"/>
      <c r="V414" s="0" t="n"/>
      <c r="W414" s="0" t="n"/>
      <c r="X414" s="0" t="n"/>
      <c r="Y414" s="0" t="n"/>
      <c r="Z414" s="0" t="n"/>
      <c r="AA414" s="0" t="n"/>
      <c r="AB414" s="0" t="n"/>
      <c r="AC414" s="0" t="n"/>
      <c r="AD414" s="0" t="n"/>
      <c r="AE414" s="0" t="n"/>
      <c r="AF414" s="0" t="n"/>
      <c r="AG414" s="0" t="n"/>
      <c r="AH414" s="0" t="n"/>
      <c r="AI414" s="0" t="n"/>
      <c r="AJ414" s="0" t="n"/>
      <c r="AK414" s="0" t="n"/>
      <c r="AL414" s="0" t="n"/>
      <c r="AM414" s="0" t="n"/>
      <c r="AN414" s="0" t="n"/>
      <c r="AO414" s="0" t="n"/>
      <c r="AP414" s="0" t="n"/>
      <c r="AQ414" s="0" t="n"/>
      <c r="AR414" s="0" t="n"/>
      <c r="AS414" s="0" t="n"/>
      <c r="AT414" s="0" t="n"/>
      <c r="AU414" s="0" t="n"/>
      <c r="AV414" s="0" t="n"/>
      <c r="AW414" s="0" t="n"/>
      <c r="AX414" s="0" t="n"/>
      <c r="AY414" s="0" t="n"/>
      <c r="AZ414" s="0" t="n"/>
      <c r="BA414" s="0" t="n"/>
      <c r="BB414" s="0" t="n"/>
      <c r="BC414" s="0" t="n"/>
      <c r="BD414" s="0" t="n"/>
      <c r="BE414" s="0" t="n"/>
      <c r="BF414" s="0" t="n"/>
      <c r="BG414" s="0" t="n"/>
      <c r="BH414" s="0" t="n"/>
      <c r="BI414" s="0" t="n"/>
      <c r="BJ414" s="0" t="n"/>
      <c r="BK414" s="0" t="n"/>
      <c r="BL414" s="0" t="n"/>
      <c r="BM414" s="0" t="n"/>
      <c r="BN414" s="0" t="n"/>
      <c r="BO414" s="0" t="n"/>
      <c r="BP414" s="0" t="n"/>
    </row>
    <row hidden="false" ht="15" outlineLevel="0" r="415">
      <c r="A415" s="116" t="n">
        <f aca="false" ca="false" dt2D="false" dtr="false" t="normal">+A414+1</f>
        <v>395</v>
      </c>
      <c r="B415" s="117" t="s">
        <v>463</v>
      </c>
      <c r="C415" s="104" t="s">
        <v>111</v>
      </c>
      <c r="D415" s="117" t="s">
        <v>357</v>
      </c>
      <c r="E415" s="113" t="n">
        <f aca="false" ca="true" dt2D="false" dtr="false" t="normal">SUBTOTAL(9, F415:T415)</f>
        <v>13821027.05</v>
      </c>
      <c r="F415" s="114" t="n"/>
      <c r="G415" s="114" t="n"/>
      <c r="H415" s="114" t="n"/>
      <c r="I415" s="114" t="n"/>
      <c r="J415" s="114" t="n"/>
      <c r="K415" s="114" t="n"/>
      <c r="L415" s="114" t="n"/>
      <c r="M415" s="114" t="n">
        <v>0</v>
      </c>
      <c r="N415" s="114" t="n"/>
      <c r="O415" s="114" t="n">
        <v>0</v>
      </c>
      <c r="P415" s="114" t="n">
        <v>13526268.88</v>
      </c>
      <c r="Q415" s="114" t="n"/>
      <c r="R415" s="114" t="n">
        <v>286758.17</v>
      </c>
      <c r="S415" s="114" t="n">
        <v>8000</v>
      </c>
      <c r="T415" s="115" t="n"/>
      <c r="U415" s="0" t="n"/>
      <c r="V415" s="0" t="n"/>
      <c r="W415" s="0" t="n"/>
      <c r="X415" s="0" t="n"/>
      <c r="Y415" s="0" t="n"/>
      <c r="Z415" s="0" t="n"/>
      <c r="AA415" s="0" t="n"/>
      <c r="AB415" s="0" t="n"/>
      <c r="AC415" s="0" t="n"/>
      <c r="AD415" s="0" t="n"/>
      <c r="AE415" s="0" t="n"/>
      <c r="AF415" s="0" t="n"/>
      <c r="AG415" s="0" t="n"/>
      <c r="AH415" s="0" t="n"/>
      <c r="AI415" s="0" t="n"/>
      <c r="AJ415" s="0" t="n"/>
      <c r="AK415" s="0" t="n"/>
      <c r="AL415" s="0" t="n"/>
      <c r="AM415" s="0" t="n"/>
      <c r="AN415" s="0" t="n"/>
      <c r="AO415" s="0" t="n"/>
      <c r="AP415" s="0" t="n"/>
      <c r="AQ415" s="0" t="n"/>
      <c r="AR415" s="0" t="n"/>
      <c r="AS415" s="0" t="n"/>
      <c r="AT415" s="0" t="n"/>
      <c r="AU415" s="0" t="n"/>
      <c r="AV415" s="0" t="n"/>
      <c r="AW415" s="0" t="n"/>
      <c r="AX415" s="0" t="n"/>
      <c r="AY415" s="0" t="n"/>
      <c r="AZ415" s="0" t="n"/>
      <c r="BA415" s="0" t="n"/>
      <c r="BB415" s="0" t="n"/>
      <c r="BC415" s="0" t="n"/>
      <c r="BD415" s="0" t="n"/>
      <c r="BE415" s="0" t="n"/>
      <c r="BF415" s="0" t="n"/>
      <c r="BG415" s="0" t="n"/>
      <c r="BH415" s="0" t="n"/>
      <c r="BI415" s="0" t="n"/>
      <c r="BJ415" s="0" t="n"/>
      <c r="BK415" s="0" t="n"/>
      <c r="BL415" s="0" t="n"/>
      <c r="BM415" s="0" t="n"/>
      <c r="BN415" s="0" t="n"/>
      <c r="BO415" s="0" t="n"/>
      <c r="BP415" s="0" t="n"/>
    </row>
    <row hidden="false" ht="15" outlineLevel="0" r="416">
      <c r="A416" s="116" t="n">
        <f aca="false" ca="false" dt2D="false" dtr="false" t="normal">+A415+1</f>
        <v>396</v>
      </c>
      <c r="B416" s="117" t="s">
        <v>463</v>
      </c>
      <c r="C416" s="104" t="s">
        <v>111</v>
      </c>
      <c r="D416" s="117" t="s">
        <v>358</v>
      </c>
      <c r="E416" s="113" t="n">
        <f aca="false" ca="true" dt2D="false" dtr="false" t="normal">SUBTOTAL(9, F416:T416)</f>
        <v>10840452.98</v>
      </c>
      <c r="F416" s="114" t="n"/>
      <c r="G416" s="114" t="n"/>
      <c r="H416" s="114" t="n"/>
      <c r="I416" s="114" t="n"/>
      <c r="J416" s="114" t="n"/>
      <c r="K416" s="114" t="n"/>
      <c r="L416" s="114" t="n"/>
      <c r="M416" s="114" t="n">
        <v>0</v>
      </c>
      <c r="N416" s="114" t="n"/>
      <c r="O416" s="114" t="n">
        <v>0</v>
      </c>
      <c r="P416" s="114" t="n">
        <v>10548266.43</v>
      </c>
      <c r="Q416" s="114" t="n"/>
      <c r="R416" s="203" t="n">
        <v>284186.55</v>
      </c>
      <c r="S416" s="114" t="n">
        <v>8000</v>
      </c>
      <c r="T416" s="115" t="n"/>
      <c r="U416" s="0" t="n"/>
      <c r="V416" s="0" t="n"/>
      <c r="W416" s="0" t="n"/>
      <c r="X416" s="0" t="n"/>
      <c r="Y416" s="0" t="n"/>
      <c r="Z416" s="0" t="n"/>
      <c r="AA416" s="0" t="n"/>
      <c r="AB416" s="0" t="n"/>
      <c r="AC416" s="0" t="n"/>
      <c r="AD416" s="0" t="n"/>
      <c r="AE416" s="0" t="n"/>
      <c r="AF416" s="0" t="n"/>
      <c r="AG416" s="0" t="n"/>
      <c r="AH416" s="0" t="n"/>
      <c r="AI416" s="0" t="n"/>
      <c r="AJ416" s="0" t="n"/>
      <c r="AK416" s="0" t="n"/>
      <c r="AL416" s="0" t="n"/>
      <c r="AM416" s="0" t="n"/>
      <c r="AN416" s="0" t="n"/>
      <c r="AO416" s="0" t="n"/>
      <c r="AP416" s="0" t="n"/>
      <c r="AQ416" s="0" t="n"/>
      <c r="AR416" s="0" t="n"/>
      <c r="AS416" s="0" t="n"/>
      <c r="AT416" s="0" t="n"/>
      <c r="AU416" s="0" t="n"/>
      <c r="AV416" s="0" t="n"/>
      <c r="AW416" s="0" t="n"/>
      <c r="AX416" s="0" t="n"/>
      <c r="AY416" s="0" t="n"/>
      <c r="AZ416" s="0" t="n"/>
      <c r="BA416" s="0" t="n"/>
      <c r="BB416" s="0" t="n"/>
      <c r="BC416" s="0" t="n"/>
      <c r="BD416" s="0" t="n"/>
      <c r="BE416" s="0" t="n"/>
      <c r="BF416" s="0" t="n"/>
      <c r="BG416" s="0" t="n"/>
      <c r="BH416" s="0" t="n"/>
      <c r="BI416" s="0" t="n"/>
      <c r="BJ416" s="0" t="n"/>
      <c r="BK416" s="0" t="n"/>
      <c r="BL416" s="0" t="n"/>
      <c r="BM416" s="0" t="n"/>
      <c r="BN416" s="0" t="n"/>
      <c r="BO416" s="0" t="n"/>
      <c r="BP416" s="0" t="n"/>
    </row>
    <row hidden="false" ht="15" outlineLevel="0" r="417">
      <c r="A417" s="116" t="n">
        <f aca="false" ca="false" dt2D="false" dtr="false" t="normal">+A416+1</f>
        <v>397</v>
      </c>
      <c r="B417" s="117" t="s">
        <v>463</v>
      </c>
      <c r="C417" s="104" t="s">
        <v>111</v>
      </c>
      <c r="D417" s="117" t="s">
        <v>360</v>
      </c>
      <c r="E417" s="113" t="n">
        <f aca="false" ca="true" dt2D="false" dtr="false" t="normal">SUBTOTAL(9, F417:T417)</f>
        <v>2787893.7900000005</v>
      </c>
      <c r="F417" s="114" t="n"/>
      <c r="G417" s="114" t="n"/>
      <c r="H417" s="114" t="n">
        <v>1270077.84</v>
      </c>
      <c r="I417" s="114" t="n">
        <v>1283887.8</v>
      </c>
      <c r="J417" s="114" t="n"/>
      <c r="K417" s="114" t="n"/>
      <c r="L417" s="114" t="n"/>
      <c r="M417" s="114" t="n"/>
      <c r="N417" s="114" t="n"/>
      <c r="O417" s="114" t="n"/>
      <c r="P417" s="114" t="n"/>
      <c r="Q417" s="187" t="n"/>
      <c r="R417" s="203" t="n">
        <v>227071.01</v>
      </c>
      <c r="S417" s="203" t="n">
        <v>6857.14</v>
      </c>
      <c r="T417" s="115" t="n"/>
      <c r="U417" s="0" t="n"/>
      <c r="V417" s="0" t="n"/>
      <c r="W417" s="0" t="n"/>
      <c r="X417" s="0" t="n"/>
      <c r="Y417" s="0" t="n"/>
      <c r="Z417" s="0" t="n"/>
      <c r="AA417" s="0" t="n"/>
      <c r="AB417" s="0" t="n"/>
      <c r="AC417" s="0" t="n"/>
      <c r="AD417" s="0" t="n"/>
      <c r="AE417" s="0" t="n"/>
      <c r="AF417" s="0" t="n"/>
      <c r="AG417" s="0" t="n"/>
      <c r="AH417" s="0" t="n"/>
      <c r="AI417" s="0" t="n"/>
      <c r="AJ417" s="0" t="n"/>
      <c r="AK417" s="0" t="n"/>
      <c r="AL417" s="0" t="n"/>
      <c r="AM417" s="0" t="n"/>
      <c r="AN417" s="0" t="n"/>
      <c r="AO417" s="0" t="n"/>
      <c r="AP417" s="0" t="n"/>
      <c r="AQ417" s="0" t="n"/>
      <c r="AR417" s="0" t="n"/>
      <c r="AS417" s="0" t="n"/>
      <c r="AT417" s="0" t="n"/>
      <c r="AU417" s="0" t="n"/>
      <c r="AV417" s="0" t="n"/>
      <c r="AW417" s="0" t="n"/>
      <c r="AX417" s="0" t="n"/>
      <c r="AY417" s="0" t="n"/>
      <c r="AZ417" s="0" t="n"/>
      <c r="BA417" s="0" t="n"/>
      <c r="BB417" s="0" t="n"/>
      <c r="BC417" s="0" t="n"/>
      <c r="BD417" s="0" t="n"/>
      <c r="BE417" s="0" t="n"/>
      <c r="BF417" s="0" t="n"/>
      <c r="BG417" s="0" t="n"/>
      <c r="BH417" s="0" t="n"/>
      <c r="BI417" s="0" t="n"/>
      <c r="BJ417" s="0" t="n"/>
      <c r="BK417" s="0" t="n"/>
      <c r="BL417" s="0" t="n"/>
      <c r="BM417" s="0" t="n"/>
      <c r="BN417" s="0" t="n"/>
      <c r="BO417" s="0" t="n"/>
      <c r="BP417" s="0" t="n"/>
    </row>
    <row hidden="false" ht="15" outlineLevel="0" r="418">
      <c r="A418" s="116" t="n">
        <f aca="false" ca="false" dt2D="false" dtr="false" t="normal">+A417+1</f>
        <v>398</v>
      </c>
      <c r="B418" s="117" t="n">
        <v>199</v>
      </c>
      <c r="C418" s="104" t="s">
        <v>111</v>
      </c>
      <c r="D418" s="117" t="s">
        <v>482</v>
      </c>
      <c r="E418" s="113" t="n">
        <f aca="false" ca="true" dt2D="false" dtr="false" t="normal">SUBTOTAL(9, F418:T418)</f>
        <v>1518027.61</v>
      </c>
      <c r="F418" s="114" t="n">
        <v>0</v>
      </c>
      <c r="G418" s="114" t="n">
        <v>0</v>
      </c>
      <c r="H418" s="114" t="n">
        <v>0</v>
      </c>
      <c r="I418" s="114" t="n">
        <v>0</v>
      </c>
      <c r="J418" s="114" t="n">
        <v>1518027.61</v>
      </c>
      <c r="K418" s="114" t="n"/>
      <c r="L418" s="114" t="n"/>
      <c r="M418" s="114" t="n">
        <v>0</v>
      </c>
      <c r="N418" s="114" t="n">
        <v>0</v>
      </c>
      <c r="O418" s="114" t="n">
        <v>0</v>
      </c>
      <c r="P418" s="114" t="n">
        <v>0</v>
      </c>
      <c r="Q418" s="114" t="n">
        <v>0</v>
      </c>
      <c r="R418" s="197" t="n"/>
      <c r="S418" s="114" t="n"/>
      <c r="T418" s="115" t="n"/>
      <c r="U418" s="0" t="n"/>
      <c r="V418" s="0" t="n"/>
      <c r="W418" s="0" t="n"/>
      <c r="X418" s="0" t="n"/>
      <c r="Y418" s="0" t="n"/>
      <c r="Z418" s="0" t="n"/>
      <c r="AA418" s="0" t="n"/>
      <c r="AB418" s="0" t="n"/>
      <c r="AC418" s="0" t="n"/>
      <c r="AD418" s="0" t="n"/>
      <c r="AE418" s="0" t="n"/>
      <c r="AF418" s="0" t="n"/>
      <c r="AG418" s="0" t="n"/>
      <c r="AH418" s="0" t="n"/>
      <c r="AI418" s="0" t="n"/>
      <c r="AJ418" s="0" t="n"/>
      <c r="AK418" s="0" t="n"/>
      <c r="AL418" s="0" t="n"/>
      <c r="AM418" s="0" t="n"/>
      <c r="AN418" s="0" t="n"/>
      <c r="AO418" s="0" t="n"/>
      <c r="AP418" s="0" t="n"/>
      <c r="AQ418" s="0" t="n"/>
      <c r="AR418" s="0" t="n"/>
      <c r="AS418" s="0" t="n"/>
      <c r="AT418" s="0" t="n"/>
      <c r="AU418" s="0" t="n"/>
      <c r="AV418" s="0" t="n"/>
      <c r="AW418" s="0" t="n"/>
      <c r="AX418" s="0" t="n"/>
      <c r="AY418" s="0" t="n"/>
      <c r="AZ418" s="0" t="n"/>
      <c r="BA418" s="0" t="n"/>
      <c r="BB418" s="0" t="n"/>
      <c r="BC418" s="0" t="n"/>
      <c r="BD418" s="0" t="n"/>
      <c r="BE418" s="0" t="n"/>
      <c r="BF418" s="0" t="n"/>
      <c r="BG418" s="0" t="n"/>
      <c r="BH418" s="0" t="n"/>
      <c r="BI418" s="0" t="n"/>
      <c r="BJ418" s="0" t="n"/>
      <c r="BK418" s="0" t="n"/>
      <c r="BL418" s="0" t="n"/>
      <c r="BM418" s="0" t="n"/>
      <c r="BN418" s="0" t="n"/>
      <c r="BO418" s="0" t="n"/>
      <c r="BP418" s="0" t="n"/>
    </row>
    <row hidden="false" ht="15" outlineLevel="0" r="419">
      <c r="A419" s="116" t="n">
        <f aca="false" ca="false" dt2D="false" dtr="false" t="normal">+A418+1</f>
        <v>399</v>
      </c>
      <c r="B419" s="117" t="n">
        <v>200</v>
      </c>
      <c r="C419" s="104" t="s">
        <v>111</v>
      </c>
      <c r="D419" s="117" t="s">
        <v>166</v>
      </c>
      <c r="E419" s="113" t="n">
        <f aca="false" ca="true" dt2D="false" dtr="false" t="normal">SUBTOTAL(9, F419:T419)</f>
        <v>937789.51</v>
      </c>
      <c r="F419" s="114" t="n"/>
      <c r="G419" s="114" t="n">
        <v>937789.51</v>
      </c>
      <c r="H419" s="114" t="n"/>
      <c r="I419" s="114" t="n"/>
      <c r="J419" s="114" t="n"/>
      <c r="K419" s="114" t="n"/>
      <c r="L419" s="114" t="n"/>
      <c r="M419" s="114" t="n">
        <v>0</v>
      </c>
      <c r="N419" s="114" t="n">
        <v>0</v>
      </c>
      <c r="O419" s="114" t="n">
        <v>0</v>
      </c>
      <c r="P419" s="114" t="n">
        <v>0</v>
      </c>
      <c r="Q419" s="114" t="n">
        <v>0</v>
      </c>
      <c r="R419" s="114" t="n"/>
      <c r="S419" s="114" t="n"/>
      <c r="T419" s="115" t="n"/>
      <c r="U419" s="0" t="n"/>
      <c r="V419" s="0" t="n"/>
      <c r="W419" s="0" t="n"/>
      <c r="X419" s="0" t="n"/>
      <c r="Y419" s="0" t="n"/>
      <c r="Z419" s="0" t="n"/>
      <c r="AA419" s="0" t="n"/>
      <c r="AB419" s="0" t="n"/>
      <c r="AC419" s="0" t="n"/>
      <c r="AD419" s="0" t="n"/>
      <c r="AE419" s="0" t="n"/>
      <c r="AF419" s="0" t="n"/>
      <c r="AG419" s="0" t="n"/>
      <c r="AH419" s="0" t="n"/>
      <c r="AI419" s="0" t="n"/>
      <c r="AJ419" s="0" t="n"/>
      <c r="AK419" s="0" t="n"/>
      <c r="AL419" s="0" t="n"/>
      <c r="AM419" s="0" t="n"/>
      <c r="AN419" s="0" t="n"/>
      <c r="AO419" s="0" t="n"/>
      <c r="AP419" s="0" t="n"/>
      <c r="AQ419" s="0" t="n"/>
      <c r="AR419" s="0" t="n"/>
      <c r="AS419" s="0" t="n"/>
      <c r="AT419" s="0" t="n"/>
      <c r="AU419" s="0" t="n"/>
      <c r="AV419" s="0" t="n"/>
      <c r="AW419" s="0" t="n"/>
      <c r="AX419" s="0" t="n"/>
      <c r="AY419" s="0" t="n"/>
      <c r="AZ419" s="0" t="n"/>
      <c r="BA419" s="0" t="n"/>
      <c r="BB419" s="0" t="n"/>
      <c r="BC419" s="0" t="n"/>
      <c r="BD419" s="0" t="n"/>
      <c r="BE419" s="0" t="n"/>
      <c r="BF419" s="0" t="n"/>
      <c r="BG419" s="0" t="n"/>
      <c r="BH419" s="0" t="n"/>
      <c r="BI419" s="0" t="n"/>
      <c r="BJ419" s="0" t="n"/>
      <c r="BK419" s="0" t="n"/>
      <c r="BL419" s="0" t="n"/>
      <c r="BM419" s="0" t="n"/>
      <c r="BN419" s="0" t="n"/>
      <c r="BO419" s="0" t="n"/>
      <c r="BP419" s="0" t="n"/>
    </row>
    <row hidden="false" ht="15" outlineLevel="0" r="420">
      <c r="A420" s="116" t="n">
        <f aca="false" ca="false" dt2D="false" dtr="false" t="normal">+A419+1</f>
        <v>400</v>
      </c>
      <c r="B420" s="117" t="n">
        <f aca="false" ca="false" dt2D="false" dtr="false" t="normal">+B419+1</f>
        <v>201</v>
      </c>
      <c r="C420" s="104" t="s">
        <v>111</v>
      </c>
      <c r="D420" s="117" t="s">
        <v>483</v>
      </c>
      <c r="E420" s="113" t="n">
        <f aca="false" ca="true" dt2D="false" dtr="false" t="normal">SUBTOTAL(9, F420:T420)</f>
        <v>1569375.8099999998</v>
      </c>
      <c r="F420" s="114" t="n"/>
      <c r="G420" s="114" t="n"/>
      <c r="H420" s="114" t="n">
        <v>1517607.49</v>
      </c>
      <c r="I420" s="114" t="n"/>
      <c r="J420" s="114" t="n"/>
      <c r="K420" s="114" t="n"/>
      <c r="L420" s="114" t="n"/>
      <c r="M420" s="114" t="n"/>
      <c r="N420" s="114" t="n"/>
      <c r="O420" s="114" t="n">
        <v>0</v>
      </c>
      <c r="P420" s="114" t="n"/>
      <c r="Q420" s="114" t="n"/>
      <c r="R420" s="203" t="n">
        <v>44088.15</v>
      </c>
      <c r="S420" s="203" t="n">
        <v>7680.17</v>
      </c>
      <c r="T420" s="115" t="n"/>
      <c r="U420" s="0" t="n"/>
      <c r="V420" s="0" t="n"/>
      <c r="W420" s="0" t="n"/>
      <c r="X420" s="0" t="n"/>
      <c r="Y420" s="0" t="n"/>
      <c r="Z420" s="0" t="n"/>
      <c r="AA420" s="0" t="n"/>
      <c r="AB420" s="0" t="n"/>
      <c r="AC420" s="0" t="n"/>
      <c r="AD420" s="0" t="n"/>
      <c r="AE420" s="0" t="n"/>
      <c r="AF420" s="0" t="n"/>
      <c r="AG420" s="0" t="n"/>
      <c r="AH420" s="0" t="n"/>
      <c r="AI420" s="0" t="n"/>
      <c r="AJ420" s="0" t="n"/>
      <c r="AK420" s="0" t="n"/>
      <c r="AL420" s="0" t="n"/>
      <c r="AM420" s="0" t="n"/>
      <c r="AN420" s="0" t="n"/>
      <c r="AO420" s="0" t="n"/>
      <c r="AP420" s="0" t="n"/>
      <c r="AQ420" s="0" t="n"/>
      <c r="AR420" s="0" t="n"/>
      <c r="AS420" s="0" t="n"/>
      <c r="AT420" s="0" t="n"/>
      <c r="AU420" s="0" t="n"/>
      <c r="AV420" s="0" t="n"/>
      <c r="AW420" s="0" t="n"/>
      <c r="AX420" s="0" t="n"/>
      <c r="AY420" s="0" t="n"/>
      <c r="AZ420" s="0" t="n"/>
      <c r="BA420" s="0" t="n"/>
      <c r="BB420" s="0" t="n"/>
      <c r="BC420" s="0" t="n"/>
      <c r="BD420" s="0" t="n"/>
      <c r="BE420" s="0" t="n"/>
      <c r="BF420" s="0" t="n"/>
      <c r="BG420" s="0" t="n"/>
      <c r="BH420" s="0" t="n"/>
      <c r="BI420" s="0" t="n"/>
      <c r="BJ420" s="0" t="n"/>
      <c r="BK420" s="0" t="n"/>
      <c r="BL420" s="0" t="n"/>
      <c r="BM420" s="0" t="n"/>
      <c r="BN420" s="0" t="n"/>
      <c r="BO420" s="0" t="n"/>
      <c r="BP420" s="0" t="n"/>
    </row>
    <row hidden="false" ht="15" outlineLevel="0" r="421">
      <c r="A421" s="116" t="n">
        <f aca="false" ca="false" dt2D="false" dtr="false" t="normal">+A420+1</f>
        <v>401</v>
      </c>
      <c r="B421" s="117" t="n">
        <f aca="false" ca="false" dt2D="false" dtr="false" t="normal">+B420+1</f>
        <v>202</v>
      </c>
      <c r="C421" s="104" t="s">
        <v>111</v>
      </c>
      <c r="D421" s="117" t="s">
        <v>168</v>
      </c>
      <c r="E421" s="186" t="n">
        <f aca="false" ca="true" dt2D="false" dtr="false" t="normal">SUBTOTAL(9, F421:T421)</f>
        <v>21301944.08</v>
      </c>
      <c r="F421" s="114" t="n">
        <v>4825175.64</v>
      </c>
      <c r="G421" s="114" t="n"/>
      <c r="H421" s="114" t="n">
        <v>1641706.8</v>
      </c>
      <c r="I421" s="114" t="n"/>
      <c r="J421" s="114" t="n"/>
      <c r="K421" s="114" t="n"/>
      <c r="L421" s="114" t="n"/>
      <c r="M421" s="114" t="n">
        <v>0</v>
      </c>
      <c r="N421" s="114" t="n">
        <v>8211860.62</v>
      </c>
      <c r="O421" s="114" t="n">
        <v>0</v>
      </c>
      <c r="P421" s="114" t="n"/>
      <c r="Q421" s="114" t="n">
        <v>6291723.6</v>
      </c>
      <c r="R421" s="203" t="n">
        <v>318677.42</v>
      </c>
      <c r="S421" s="203" t="n">
        <v>12800</v>
      </c>
      <c r="T421" s="115" t="n"/>
      <c r="U421" s="0" t="n"/>
      <c r="V421" s="0" t="n"/>
      <c r="W421" s="0" t="n"/>
      <c r="X421" s="0" t="n"/>
      <c r="Y421" s="0" t="n"/>
      <c r="Z421" s="0" t="n"/>
      <c r="AA421" s="0" t="n"/>
      <c r="AB421" s="0" t="n"/>
      <c r="AC421" s="0" t="n"/>
      <c r="AD421" s="0" t="n"/>
      <c r="AE421" s="0" t="n"/>
      <c r="AF421" s="0" t="n"/>
      <c r="AG421" s="0" t="n"/>
      <c r="AH421" s="0" t="n"/>
      <c r="AI421" s="0" t="n"/>
      <c r="AJ421" s="0" t="n"/>
      <c r="AK421" s="0" t="n"/>
      <c r="AL421" s="0" t="n"/>
      <c r="AM421" s="0" t="n"/>
      <c r="AN421" s="0" t="n"/>
      <c r="AO421" s="0" t="n"/>
      <c r="AP421" s="0" t="n"/>
      <c r="AQ421" s="0" t="n"/>
      <c r="AR421" s="0" t="n"/>
      <c r="AS421" s="0" t="n"/>
      <c r="AT421" s="0" t="n"/>
      <c r="AU421" s="0" t="n"/>
      <c r="AV421" s="0" t="n"/>
      <c r="AW421" s="0" t="n"/>
      <c r="AX421" s="0" t="n"/>
      <c r="AY421" s="0" t="n"/>
      <c r="AZ421" s="0" t="n"/>
      <c r="BA421" s="0" t="n"/>
      <c r="BB421" s="0" t="n"/>
      <c r="BC421" s="0" t="n"/>
      <c r="BD421" s="0" t="n"/>
      <c r="BE421" s="0" t="n"/>
      <c r="BF421" s="0" t="n"/>
      <c r="BG421" s="0" t="n"/>
      <c r="BH421" s="0" t="n"/>
      <c r="BI421" s="0" t="n"/>
      <c r="BJ421" s="0" t="n"/>
      <c r="BK421" s="0" t="n"/>
      <c r="BL421" s="0" t="n"/>
      <c r="BM421" s="0" t="n"/>
      <c r="BN421" s="0" t="n"/>
      <c r="BO421" s="0" t="n"/>
      <c r="BP421" s="0" t="n"/>
    </row>
    <row hidden="false" ht="15" outlineLevel="0" r="422">
      <c r="A422" s="116" t="n">
        <f aca="false" ca="false" dt2D="false" dtr="false" t="normal">+A421+1</f>
        <v>402</v>
      </c>
      <c r="B422" s="117" t="n">
        <f aca="false" ca="false" dt2D="false" dtr="false" t="normal">+B421+1</f>
        <v>203</v>
      </c>
      <c r="C422" s="104" t="s">
        <v>111</v>
      </c>
      <c r="D422" s="117" t="s">
        <v>484</v>
      </c>
      <c r="E422" s="186" t="n">
        <f aca="false" ca="true" dt2D="false" dtr="false" t="normal">SUBTOTAL(9, F422:T422)</f>
        <v>6633043.04</v>
      </c>
      <c r="F422" s="114" t="n">
        <v>6577590.92</v>
      </c>
      <c r="G422" s="114" t="n">
        <v>0</v>
      </c>
      <c r="H422" s="114" t="n">
        <v>0</v>
      </c>
      <c r="I422" s="114" t="n">
        <v>0</v>
      </c>
      <c r="J422" s="114" t="n">
        <v>0</v>
      </c>
      <c r="K422" s="114" t="n"/>
      <c r="L422" s="114" t="n"/>
      <c r="M422" s="114" t="n">
        <v>0</v>
      </c>
      <c r="N422" s="114" t="n">
        <v>0</v>
      </c>
      <c r="O422" s="114" t="n">
        <v>0</v>
      </c>
      <c r="P422" s="114" t="n">
        <v>0</v>
      </c>
      <c r="Q422" s="114" t="n">
        <v>0</v>
      </c>
      <c r="R422" s="203" t="n">
        <v>31452.12</v>
      </c>
      <c r="S422" s="203" t="n">
        <v>24000</v>
      </c>
      <c r="T422" s="115" t="n"/>
      <c r="U422" s="0" t="n"/>
      <c r="V422" s="0" t="n"/>
      <c r="W422" s="0" t="n"/>
      <c r="X422" s="0" t="n"/>
      <c r="Y422" s="0" t="n"/>
      <c r="Z422" s="0" t="n"/>
      <c r="AA422" s="0" t="n"/>
      <c r="AB422" s="0" t="n"/>
      <c r="AC422" s="0" t="n"/>
      <c r="AD422" s="0" t="n"/>
      <c r="AE422" s="0" t="n"/>
      <c r="AF422" s="0" t="n"/>
      <c r="AG422" s="0" t="n"/>
      <c r="AH422" s="0" t="n"/>
      <c r="AI422" s="0" t="n"/>
      <c r="AJ422" s="0" t="n"/>
      <c r="AK422" s="0" t="n"/>
      <c r="AL422" s="0" t="n"/>
      <c r="AM422" s="0" t="n"/>
      <c r="AN422" s="0" t="n"/>
      <c r="AO422" s="0" t="n"/>
      <c r="AP422" s="0" t="n"/>
      <c r="AQ422" s="0" t="n"/>
      <c r="AR422" s="0" t="n"/>
      <c r="AS422" s="0" t="n"/>
      <c r="AT422" s="0" t="n"/>
      <c r="AU422" s="0" t="n"/>
      <c r="AV422" s="0" t="n"/>
      <c r="AW422" s="0" t="n"/>
      <c r="AX422" s="0" t="n"/>
      <c r="AY422" s="0" t="n"/>
      <c r="AZ422" s="0" t="n"/>
      <c r="BA422" s="0" t="n"/>
      <c r="BB422" s="0" t="n"/>
      <c r="BC422" s="0" t="n"/>
      <c r="BD422" s="0" t="n"/>
      <c r="BE422" s="0" t="n"/>
      <c r="BF422" s="0" t="n"/>
      <c r="BG422" s="0" t="n"/>
      <c r="BH422" s="0" t="n"/>
      <c r="BI422" s="0" t="n"/>
      <c r="BJ422" s="0" t="n"/>
      <c r="BK422" s="0" t="n"/>
      <c r="BL422" s="0" t="n"/>
      <c r="BM422" s="0" t="n"/>
      <c r="BN422" s="0" t="n"/>
      <c r="BO422" s="0" t="n"/>
      <c r="BP422" s="0" t="n"/>
    </row>
    <row hidden="false" ht="15" outlineLevel="0" r="423">
      <c r="A423" s="116" t="n">
        <f aca="false" ca="false" dt2D="false" dtr="false" t="normal">+A422+1</f>
        <v>403</v>
      </c>
      <c r="B423" s="117" t="s">
        <v>463</v>
      </c>
      <c r="C423" s="104" t="s">
        <v>111</v>
      </c>
      <c r="D423" s="117" t="s">
        <v>170</v>
      </c>
      <c r="E423" s="113" t="n">
        <f aca="false" ca="true" dt2D="false" dtr="false" t="normal">SUBTOTAL(9, F423:T423)</f>
        <v>2668996.74</v>
      </c>
      <c r="F423" s="114" t="n"/>
      <c r="G423" s="114" t="n">
        <v>2668996.74</v>
      </c>
      <c r="H423" s="114" t="n"/>
      <c r="I423" s="114" t="n"/>
      <c r="J423" s="114" t="n"/>
      <c r="K423" s="114" t="n"/>
      <c r="L423" s="114" t="n"/>
      <c r="M423" s="114" t="n"/>
      <c r="N423" s="114" t="n"/>
      <c r="O423" s="114" t="n"/>
      <c r="P423" s="114" t="n"/>
      <c r="Q423" s="114" t="n"/>
      <c r="R423" s="114" t="n"/>
      <c r="S423" s="114" t="n"/>
      <c r="T423" s="115" t="n"/>
      <c r="U423" s="0" t="n"/>
      <c r="V423" s="0" t="n"/>
      <c r="W423" s="0" t="n"/>
      <c r="X423" s="0" t="n"/>
      <c r="Y423" s="0" t="n"/>
      <c r="Z423" s="0" t="n"/>
      <c r="AA423" s="0" t="n"/>
      <c r="AB423" s="0" t="n"/>
      <c r="AC423" s="0" t="n"/>
      <c r="AD423" s="0" t="n"/>
      <c r="AE423" s="0" t="n"/>
      <c r="AF423" s="0" t="n"/>
      <c r="AG423" s="0" t="n"/>
      <c r="AH423" s="0" t="n"/>
      <c r="AI423" s="0" t="n"/>
      <c r="AJ423" s="0" t="n"/>
      <c r="AK423" s="0" t="n"/>
      <c r="AL423" s="0" t="n"/>
      <c r="AM423" s="0" t="n"/>
      <c r="AN423" s="0" t="n"/>
      <c r="AO423" s="0" t="n"/>
      <c r="AP423" s="0" t="n"/>
      <c r="AQ423" s="0" t="n"/>
      <c r="AR423" s="0" t="n"/>
      <c r="AS423" s="0" t="n"/>
      <c r="AT423" s="0" t="n"/>
      <c r="AU423" s="0" t="n"/>
      <c r="AV423" s="0" t="n"/>
      <c r="AW423" s="0" t="n"/>
      <c r="AX423" s="0" t="n"/>
      <c r="AY423" s="0" t="n"/>
      <c r="AZ423" s="0" t="n"/>
      <c r="BA423" s="0" t="n"/>
      <c r="BB423" s="0" t="n"/>
      <c r="BC423" s="0" t="n"/>
      <c r="BD423" s="0" t="n"/>
      <c r="BE423" s="0" t="n"/>
      <c r="BF423" s="0" t="n"/>
      <c r="BG423" s="0" t="n"/>
      <c r="BH423" s="0" t="n"/>
      <c r="BI423" s="0" t="n"/>
      <c r="BJ423" s="0" t="n"/>
      <c r="BK423" s="0" t="n"/>
      <c r="BL423" s="0" t="n"/>
      <c r="BM423" s="0" t="n"/>
      <c r="BN423" s="0" t="n"/>
      <c r="BO423" s="0" t="n"/>
      <c r="BP423" s="0" t="n"/>
    </row>
    <row hidden="false" ht="15" outlineLevel="0" r="424">
      <c r="A424" s="116" t="n">
        <f aca="false" ca="false" dt2D="false" dtr="false" t="normal">+A423+1</f>
        <v>404</v>
      </c>
      <c r="B424" s="117" t="s">
        <v>463</v>
      </c>
      <c r="C424" s="104" t="s">
        <v>111</v>
      </c>
      <c r="D424" s="117" t="s">
        <v>171</v>
      </c>
      <c r="E424" s="113" t="n">
        <f aca="false" ca="true" dt2D="false" dtr="false" t="normal">SUBTOTAL(9, F424:T424)</f>
        <v>4620721.522</v>
      </c>
      <c r="F424" s="114" t="n">
        <v>4620721.522</v>
      </c>
      <c r="G424" s="114" t="n"/>
      <c r="H424" s="114" t="n"/>
      <c r="I424" s="114" t="n"/>
      <c r="J424" s="114" t="n"/>
      <c r="K424" s="114" t="n"/>
      <c r="L424" s="114" t="n"/>
      <c r="M424" s="114" t="n"/>
      <c r="N424" s="114" t="n"/>
      <c r="O424" s="114" t="n"/>
      <c r="P424" s="114" t="n"/>
      <c r="Q424" s="114" t="n"/>
      <c r="R424" s="114" t="n"/>
      <c r="S424" s="114" t="n"/>
      <c r="T424" s="115" t="n"/>
      <c r="U424" s="0" t="n"/>
      <c r="V424" s="0" t="n"/>
      <c r="W424" s="0" t="n"/>
      <c r="X424" s="0" t="n"/>
      <c r="Y424" s="0" t="n"/>
      <c r="Z424" s="0" t="n"/>
      <c r="AA424" s="0" t="n"/>
      <c r="AB424" s="0" t="n"/>
      <c r="AC424" s="0" t="n"/>
      <c r="AD424" s="0" t="n"/>
      <c r="AE424" s="0" t="n"/>
      <c r="AF424" s="0" t="n"/>
      <c r="AG424" s="0" t="n"/>
      <c r="AH424" s="0" t="n"/>
      <c r="AI424" s="0" t="n"/>
      <c r="AJ424" s="0" t="n"/>
      <c r="AK424" s="0" t="n"/>
      <c r="AL424" s="0" t="n"/>
      <c r="AM424" s="0" t="n"/>
      <c r="AN424" s="0" t="n"/>
      <c r="AO424" s="0" t="n"/>
      <c r="AP424" s="0" t="n"/>
      <c r="AQ424" s="0" t="n"/>
      <c r="AR424" s="0" t="n"/>
      <c r="AS424" s="0" t="n"/>
      <c r="AT424" s="0" t="n"/>
      <c r="AU424" s="0" t="n"/>
      <c r="AV424" s="0" t="n"/>
      <c r="AW424" s="0" t="n"/>
      <c r="AX424" s="0" t="n"/>
      <c r="AY424" s="0" t="n"/>
      <c r="AZ424" s="0" t="n"/>
      <c r="BA424" s="0" t="n"/>
      <c r="BB424" s="0" t="n"/>
      <c r="BC424" s="0" t="n"/>
      <c r="BD424" s="0" t="n"/>
      <c r="BE424" s="0" t="n"/>
      <c r="BF424" s="0" t="n"/>
      <c r="BG424" s="0" t="n"/>
      <c r="BH424" s="0" t="n"/>
      <c r="BI424" s="0" t="n"/>
      <c r="BJ424" s="0" t="n"/>
      <c r="BK424" s="0" t="n"/>
      <c r="BL424" s="0" t="n"/>
      <c r="BM424" s="0" t="n"/>
      <c r="BN424" s="0" t="n"/>
      <c r="BO424" s="0" t="n"/>
      <c r="BP424" s="0" t="n"/>
    </row>
    <row hidden="false" ht="15" outlineLevel="0" r="425">
      <c r="A425" s="116" t="n">
        <f aca="false" ca="false" dt2D="false" dtr="false" t="normal">+A424+1</f>
        <v>405</v>
      </c>
      <c r="B425" s="117" t="s">
        <v>463</v>
      </c>
      <c r="C425" s="104" t="s">
        <v>111</v>
      </c>
      <c r="D425" s="117" t="s">
        <v>372</v>
      </c>
      <c r="E425" s="113" t="n">
        <f aca="false" ca="true" dt2D="false" dtr="false" t="normal">SUBTOTAL(9, F425:T425)</f>
        <v>1471006.89</v>
      </c>
      <c r="F425" s="114" t="n"/>
      <c r="G425" s="114" t="n">
        <v>1434980.99</v>
      </c>
      <c r="H425" s="114" t="n"/>
      <c r="I425" s="114" t="n"/>
      <c r="J425" s="114" t="n"/>
      <c r="K425" s="114" t="n"/>
      <c r="L425" s="114" t="n"/>
      <c r="M425" s="114" t="n">
        <v>0</v>
      </c>
      <c r="N425" s="114" t="n"/>
      <c r="O425" s="114" t="n">
        <v>0</v>
      </c>
      <c r="P425" s="114" t="n">
        <v>0</v>
      </c>
      <c r="Q425" s="114" t="n"/>
      <c r="R425" s="114" t="n">
        <v>31225.9</v>
      </c>
      <c r="S425" s="114" t="n">
        <v>4800</v>
      </c>
      <c r="T425" s="115" t="n"/>
      <c r="U425" s="0" t="n"/>
      <c r="V425" s="0" t="n"/>
      <c r="W425" s="0" t="n"/>
      <c r="X425" s="0" t="n"/>
      <c r="Y425" s="0" t="n"/>
      <c r="Z425" s="0" t="n"/>
      <c r="AA425" s="0" t="n"/>
      <c r="AB425" s="0" t="n"/>
      <c r="AC425" s="0" t="n"/>
      <c r="AD425" s="0" t="n"/>
      <c r="AE425" s="0" t="n"/>
      <c r="AF425" s="0" t="n"/>
      <c r="AG425" s="0" t="n"/>
      <c r="AH425" s="0" t="n"/>
      <c r="AI425" s="0" t="n"/>
      <c r="AJ425" s="0" t="n"/>
      <c r="AK425" s="0" t="n"/>
      <c r="AL425" s="0" t="n"/>
      <c r="AM425" s="0" t="n"/>
      <c r="AN425" s="0" t="n"/>
      <c r="AO425" s="0" t="n"/>
      <c r="AP425" s="0" t="n"/>
      <c r="AQ425" s="0" t="n"/>
      <c r="AR425" s="0" t="n"/>
      <c r="AS425" s="0" t="n"/>
      <c r="AT425" s="0" t="n"/>
      <c r="AU425" s="0" t="n"/>
      <c r="AV425" s="0" t="n"/>
      <c r="AW425" s="0" t="n"/>
      <c r="AX425" s="0" t="n"/>
      <c r="AY425" s="0" t="n"/>
      <c r="AZ425" s="0" t="n"/>
      <c r="BA425" s="0" t="n"/>
      <c r="BB425" s="0" t="n"/>
      <c r="BC425" s="0" t="n"/>
      <c r="BD425" s="0" t="n"/>
      <c r="BE425" s="0" t="n"/>
      <c r="BF425" s="0" t="n"/>
      <c r="BG425" s="0" t="n"/>
      <c r="BH425" s="0" t="n"/>
      <c r="BI425" s="0" t="n"/>
      <c r="BJ425" s="0" t="n"/>
      <c r="BK425" s="0" t="n"/>
      <c r="BL425" s="0" t="n"/>
      <c r="BM425" s="0" t="n"/>
      <c r="BN425" s="0" t="n"/>
      <c r="BO425" s="0" t="n"/>
      <c r="BP425" s="0" t="n"/>
    </row>
    <row hidden="false" ht="15" outlineLevel="0" r="426">
      <c r="A426" s="116" t="n">
        <f aca="false" ca="false" dt2D="false" dtr="false" t="normal">+A425+1</f>
        <v>406</v>
      </c>
      <c r="B426" s="117" t="s">
        <v>463</v>
      </c>
      <c r="C426" s="104" t="s">
        <v>111</v>
      </c>
      <c r="D426" s="117" t="s">
        <v>373</v>
      </c>
      <c r="E426" s="113" t="n">
        <f aca="false" ca="true" dt2D="false" dtr="false" t="normal">SUBTOTAL(9, F426:T426)</f>
        <v>1823889.76</v>
      </c>
      <c r="F426" s="114" t="n"/>
      <c r="G426" s="114" t="n">
        <v>1788007.61</v>
      </c>
      <c r="H426" s="114" t="n"/>
      <c r="I426" s="114" t="n"/>
      <c r="J426" s="114" t="n"/>
      <c r="K426" s="114" t="n"/>
      <c r="L426" s="114" t="n"/>
      <c r="M426" s="114" t="n">
        <v>0</v>
      </c>
      <c r="N426" s="114" t="n"/>
      <c r="O426" s="114" t="n">
        <v>0</v>
      </c>
      <c r="P426" s="114" t="n">
        <v>0</v>
      </c>
      <c r="Q426" s="114" t="n">
        <v>0</v>
      </c>
      <c r="R426" s="114" t="n">
        <v>31082.15</v>
      </c>
      <c r="S426" s="114" t="n">
        <v>4800</v>
      </c>
      <c r="T426" s="115" t="n"/>
      <c r="U426" s="0" t="n"/>
      <c r="V426" s="0" t="n"/>
      <c r="W426" s="0" t="n"/>
      <c r="X426" s="0" t="n"/>
      <c r="Y426" s="0" t="n"/>
      <c r="Z426" s="0" t="n"/>
      <c r="AA426" s="0" t="n"/>
      <c r="AB426" s="0" t="n"/>
      <c r="AC426" s="0" t="n"/>
      <c r="AD426" s="0" t="n"/>
      <c r="AE426" s="0" t="n"/>
      <c r="AF426" s="0" t="n"/>
      <c r="AG426" s="0" t="n"/>
      <c r="AH426" s="0" t="n"/>
      <c r="AI426" s="0" t="n"/>
      <c r="AJ426" s="0" t="n"/>
      <c r="AK426" s="0" t="n"/>
      <c r="AL426" s="0" t="n"/>
      <c r="AM426" s="0" t="n"/>
      <c r="AN426" s="0" t="n"/>
      <c r="AO426" s="0" t="n"/>
      <c r="AP426" s="0" t="n"/>
      <c r="AQ426" s="0" t="n"/>
      <c r="AR426" s="0" t="n"/>
      <c r="AS426" s="0" t="n"/>
      <c r="AT426" s="0" t="n"/>
      <c r="AU426" s="0" t="n"/>
      <c r="AV426" s="0" t="n"/>
      <c r="AW426" s="0" t="n"/>
      <c r="AX426" s="0" t="n"/>
      <c r="AY426" s="0" t="n"/>
      <c r="AZ426" s="0" t="n"/>
      <c r="BA426" s="0" t="n"/>
      <c r="BB426" s="0" t="n"/>
      <c r="BC426" s="0" t="n"/>
      <c r="BD426" s="0" t="n"/>
      <c r="BE426" s="0" t="n"/>
      <c r="BF426" s="0" t="n"/>
      <c r="BG426" s="0" t="n"/>
      <c r="BH426" s="0" t="n"/>
      <c r="BI426" s="0" t="n"/>
      <c r="BJ426" s="0" t="n"/>
      <c r="BK426" s="0" t="n"/>
      <c r="BL426" s="0" t="n"/>
      <c r="BM426" s="0" t="n"/>
      <c r="BN426" s="0" t="n"/>
      <c r="BO426" s="0" t="n"/>
      <c r="BP426" s="0" t="n"/>
    </row>
    <row hidden="false" ht="15" outlineLevel="0" r="427">
      <c r="A427" s="116" t="n">
        <f aca="false" ca="false" dt2D="false" dtr="false" t="normal">+A426+1</f>
        <v>407</v>
      </c>
      <c r="B427" s="117" t="s">
        <v>463</v>
      </c>
      <c r="C427" s="104" t="s">
        <v>111</v>
      </c>
      <c r="D427" s="117" t="s">
        <v>374</v>
      </c>
      <c r="E427" s="113" t="n">
        <f aca="false" ca="true" dt2D="false" dtr="false" t="normal">SUBTOTAL(9, F427:T427)</f>
        <v>7879770.54</v>
      </c>
      <c r="F427" s="114" t="n">
        <v>6881617.84</v>
      </c>
      <c r="G427" s="114" t="n">
        <v>998152.7</v>
      </c>
      <c r="H427" s="114" t="n"/>
      <c r="I427" s="114" t="n"/>
      <c r="J427" s="114" t="n"/>
      <c r="K427" s="114" t="n"/>
      <c r="L427" s="114" t="n"/>
      <c r="M427" s="114" t="n">
        <v>0</v>
      </c>
      <c r="N427" s="114" t="n"/>
      <c r="O427" s="114" t="n">
        <v>0</v>
      </c>
      <c r="P427" s="114" t="n">
        <v>0</v>
      </c>
      <c r="Q427" s="114" t="n"/>
      <c r="R427" s="114" t="n"/>
      <c r="S427" s="114" t="n"/>
      <c r="T427" s="115" t="n"/>
      <c r="U427" s="0" t="n"/>
      <c r="V427" s="0" t="n"/>
      <c r="W427" s="0" t="n"/>
      <c r="X427" s="0" t="n"/>
      <c r="Y427" s="0" t="n"/>
      <c r="Z427" s="0" t="n"/>
      <c r="AA427" s="0" t="n"/>
      <c r="AB427" s="0" t="n"/>
      <c r="AC427" s="0" t="n"/>
      <c r="AD427" s="0" t="n"/>
      <c r="AE427" s="0" t="n"/>
      <c r="AF427" s="0" t="n"/>
      <c r="AG427" s="0" t="n"/>
      <c r="AH427" s="0" t="n"/>
      <c r="AI427" s="0" t="n"/>
      <c r="AJ427" s="0" t="n"/>
      <c r="AK427" s="0" t="n"/>
      <c r="AL427" s="0" t="n"/>
      <c r="AM427" s="0" t="n"/>
      <c r="AN427" s="0" t="n"/>
      <c r="AO427" s="0" t="n"/>
      <c r="AP427" s="0" t="n"/>
      <c r="AQ427" s="0" t="n"/>
      <c r="AR427" s="0" t="n"/>
      <c r="AS427" s="0" t="n"/>
      <c r="AT427" s="0" t="n"/>
      <c r="AU427" s="0" t="n"/>
      <c r="AV427" s="0" t="n"/>
      <c r="AW427" s="0" t="n"/>
      <c r="AX427" s="0" t="n"/>
      <c r="AY427" s="0" t="n"/>
      <c r="AZ427" s="0" t="n"/>
      <c r="BA427" s="0" t="n"/>
      <c r="BB427" s="0" t="n"/>
      <c r="BC427" s="0" t="n"/>
      <c r="BD427" s="0" t="n"/>
      <c r="BE427" s="0" t="n"/>
      <c r="BF427" s="0" t="n"/>
      <c r="BG427" s="0" t="n"/>
      <c r="BH427" s="0" t="n"/>
      <c r="BI427" s="0" t="n"/>
      <c r="BJ427" s="0" t="n"/>
      <c r="BK427" s="0" t="n"/>
      <c r="BL427" s="0" t="n"/>
      <c r="BM427" s="0" t="n"/>
      <c r="BN427" s="0" t="n"/>
      <c r="BO427" s="0" t="n"/>
      <c r="BP427" s="0" t="n"/>
    </row>
    <row hidden="false" ht="15" outlineLevel="0" r="428">
      <c r="A428" s="116" t="n">
        <f aca="false" ca="false" dt2D="false" dtr="false" t="normal">+A427+1</f>
        <v>408</v>
      </c>
      <c r="B428" s="117" t="s">
        <v>463</v>
      </c>
      <c r="C428" s="104" t="s">
        <v>111</v>
      </c>
      <c r="D428" s="117" t="s">
        <v>176</v>
      </c>
      <c r="E428" s="113" t="n">
        <f aca="false" ca="true" dt2D="false" dtr="false" t="normal">SUBTOTAL(9, F428:T428)</f>
        <v>46145720.29000001</v>
      </c>
      <c r="F428" s="114" t="n"/>
      <c r="G428" s="114" t="n"/>
      <c r="H428" s="114" t="n"/>
      <c r="I428" s="114" t="n"/>
      <c r="J428" s="114" t="n"/>
      <c r="K428" s="114" t="n"/>
      <c r="L428" s="114" t="n"/>
      <c r="M428" s="114" t="n"/>
      <c r="N428" s="114" t="n"/>
      <c r="O428" s="114" t="n"/>
      <c r="P428" s="114" t="n">
        <v>27117129.62</v>
      </c>
      <c r="Q428" s="114" t="n">
        <v>18561498.89</v>
      </c>
      <c r="R428" s="114" t="n">
        <v>325518.36</v>
      </c>
      <c r="S428" s="114" t="n">
        <v>28000</v>
      </c>
      <c r="T428" s="115" t="n">
        <v>113573.42</v>
      </c>
      <c r="U428" s="0" t="n"/>
      <c r="V428" s="0" t="n"/>
      <c r="W428" s="0" t="n"/>
      <c r="X428" s="0" t="n"/>
      <c r="Y428" s="0" t="n"/>
      <c r="Z428" s="0" t="n"/>
      <c r="AA428" s="0" t="n"/>
      <c r="AB428" s="0" t="n"/>
      <c r="AC428" s="0" t="n"/>
      <c r="AD428" s="0" t="n"/>
      <c r="AE428" s="0" t="n"/>
      <c r="AF428" s="0" t="n"/>
      <c r="AG428" s="0" t="n"/>
      <c r="AH428" s="0" t="n"/>
      <c r="AI428" s="0" t="n"/>
      <c r="AJ428" s="0" t="n"/>
      <c r="AK428" s="0" t="n"/>
      <c r="AL428" s="0" t="n"/>
      <c r="AM428" s="0" t="n"/>
      <c r="AN428" s="0" t="n"/>
      <c r="AO428" s="0" t="n"/>
      <c r="AP428" s="0" t="n"/>
      <c r="AQ428" s="0" t="n"/>
      <c r="AR428" s="0" t="n"/>
      <c r="AS428" s="0" t="n"/>
      <c r="AT428" s="0" t="n"/>
      <c r="AU428" s="0" t="n"/>
      <c r="AV428" s="0" t="n"/>
      <c r="AW428" s="0" t="n"/>
      <c r="AX428" s="0" t="n"/>
      <c r="AY428" s="0" t="n"/>
      <c r="AZ428" s="0" t="n"/>
      <c r="BA428" s="0" t="n"/>
      <c r="BB428" s="0" t="n"/>
      <c r="BC428" s="0" t="n"/>
      <c r="BD428" s="0" t="n"/>
      <c r="BE428" s="0" t="n"/>
      <c r="BF428" s="0" t="n"/>
      <c r="BG428" s="0" t="n"/>
      <c r="BH428" s="0" t="n"/>
      <c r="BI428" s="0" t="n"/>
      <c r="BJ428" s="0" t="n"/>
      <c r="BK428" s="0" t="n"/>
      <c r="BL428" s="0" t="n"/>
      <c r="BM428" s="0" t="n"/>
      <c r="BN428" s="0" t="n"/>
      <c r="BO428" s="0" t="n"/>
      <c r="BP428" s="0" t="n"/>
    </row>
    <row hidden="false" ht="15" outlineLevel="0" r="429">
      <c r="A429" s="116" t="n">
        <f aca="false" ca="false" dt2D="false" dtr="false" t="normal">+A428+1</f>
        <v>409</v>
      </c>
      <c r="B429" s="117" t="s">
        <v>463</v>
      </c>
      <c r="C429" s="104" t="s">
        <v>111</v>
      </c>
      <c r="D429" s="104" t="s">
        <v>376</v>
      </c>
      <c r="E429" s="113" t="n">
        <f aca="false" ca="true" dt2D="false" dtr="false" t="normal">SUBTOTAL(9, F429:T429)</f>
        <v>6630811.47</v>
      </c>
      <c r="F429" s="106" t="n"/>
      <c r="G429" s="114" t="n"/>
      <c r="H429" s="114" t="n"/>
      <c r="I429" s="114" t="n"/>
      <c r="J429" s="114" t="n"/>
      <c r="K429" s="114" t="n"/>
      <c r="L429" s="114" t="n"/>
      <c r="M429" s="114" t="n"/>
      <c r="N429" s="114" t="n"/>
      <c r="O429" s="114" t="n"/>
      <c r="P429" s="114" t="n"/>
      <c r="Q429" s="114" t="n">
        <v>6630811.47</v>
      </c>
      <c r="R429" s="114" t="n"/>
      <c r="S429" s="114" t="n"/>
      <c r="T429" s="115" t="n"/>
    </row>
    <row hidden="false" ht="15" outlineLevel="0" r="430">
      <c r="A430" s="116" t="n">
        <f aca="false" ca="false" dt2D="false" dtr="false" t="normal">+A429+1</f>
        <v>410</v>
      </c>
      <c r="B430" s="117" t="s">
        <v>463</v>
      </c>
      <c r="C430" s="104" t="s">
        <v>111</v>
      </c>
      <c r="D430" s="117" t="s">
        <v>381</v>
      </c>
      <c r="E430" s="113" t="n">
        <f aca="false" ca="true" dt2D="false" dtr="false" t="normal">SUBTOTAL(9, F430:T430)</f>
        <v>2642400.08</v>
      </c>
      <c r="F430" s="114" t="n"/>
      <c r="G430" s="114" t="n"/>
      <c r="H430" s="114" t="n">
        <v>2642400.08</v>
      </c>
      <c r="I430" s="114" t="n">
        <v>0</v>
      </c>
      <c r="J430" s="114" t="n"/>
      <c r="K430" s="114" t="n"/>
      <c r="L430" s="114" t="n"/>
      <c r="M430" s="114" t="n"/>
      <c r="N430" s="114" t="n"/>
      <c r="O430" s="114" t="n"/>
      <c r="P430" s="114" t="n"/>
      <c r="Q430" s="114" t="n"/>
      <c r="R430" s="114" t="n"/>
      <c r="S430" s="114" t="n"/>
      <c r="T430" s="115" t="n"/>
      <c r="U430" s="0" t="n"/>
      <c r="V430" s="0" t="n"/>
      <c r="W430" s="0" t="n"/>
      <c r="X430" s="0" t="n"/>
      <c r="Y430" s="0" t="n"/>
      <c r="Z430" s="0" t="n"/>
      <c r="AA430" s="0" t="n"/>
      <c r="AB430" s="0" t="n"/>
      <c r="AC430" s="0" t="n"/>
      <c r="AD430" s="0" t="n"/>
      <c r="AE430" s="0" t="n"/>
      <c r="AF430" s="0" t="n"/>
      <c r="AG430" s="0" t="n"/>
      <c r="AH430" s="0" t="n"/>
      <c r="AI430" s="0" t="n"/>
      <c r="AJ430" s="0" t="n"/>
      <c r="AK430" s="0" t="n"/>
      <c r="AL430" s="0" t="n"/>
      <c r="AM430" s="0" t="n"/>
      <c r="AN430" s="0" t="n"/>
      <c r="AO430" s="0" t="n"/>
      <c r="AP430" s="0" t="n"/>
      <c r="AQ430" s="0" t="n"/>
      <c r="AR430" s="0" t="n"/>
      <c r="AS430" s="0" t="n"/>
      <c r="AT430" s="0" t="n"/>
      <c r="AU430" s="0" t="n"/>
      <c r="AV430" s="0" t="n"/>
      <c r="AW430" s="0" t="n"/>
      <c r="AX430" s="0" t="n"/>
      <c r="AY430" s="0" t="n"/>
      <c r="AZ430" s="0" t="n"/>
      <c r="BA430" s="0" t="n"/>
      <c r="BB430" s="0" t="n"/>
      <c r="BC430" s="0" t="n"/>
      <c r="BD430" s="0" t="n"/>
      <c r="BE430" s="0" t="n"/>
      <c r="BF430" s="0" t="n"/>
      <c r="BG430" s="0" t="n"/>
      <c r="BH430" s="0" t="n"/>
      <c r="BI430" s="0" t="n"/>
      <c r="BJ430" s="0" t="n"/>
      <c r="BK430" s="0" t="n"/>
      <c r="BL430" s="0" t="n"/>
      <c r="BM430" s="0" t="n"/>
      <c r="BN430" s="0" t="n"/>
      <c r="BO430" s="0" t="n"/>
      <c r="BP430" s="0" t="n"/>
    </row>
    <row hidden="false" ht="15" outlineLevel="0" r="431">
      <c r="A431" s="116" t="n">
        <f aca="false" ca="false" dt2D="false" dtr="false" t="normal">+A430+1</f>
        <v>411</v>
      </c>
      <c r="B431" s="117" t="n">
        <v>204</v>
      </c>
      <c r="C431" s="104" t="s">
        <v>111</v>
      </c>
      <c r="D431" s="117" t="s">
        <v>485</v>
      </c>
      <c r="E431" s="113" t="n">
        <f aca="false" ca="true" dt2D="false" dtr="false" t="normal">SUBTOTAL(9, F431:T431)</f>
        <v>5699797.859999999</v>
      </c>
      <c r="F431" s="114" t="n"/>
      <c r="G431" s="114" t="n"/>
      <c r="H431" s="114" t="n"/>
      <c r="I431" s="114" t="n"/>
      <c r="J431" s="114" t="n"/>
      <c r="K431" s="114" t="n"/>
      <c r="L431" s="114" t="n"/>
      <c r="M431" s="114" t="n"/>
      <c r="N431" s="114" t="n">
        <v>5449539.43</v>
      </c>
      <c r="O431" s="114" t="n"/>
      <c r="P431" s="114" t="n"/>
      <c r="Q431" s="114" t="n"/>
      <c r="R431" s="114" t="n">
        <v>226258.43</v>
      </c>
      <c r="S431" s="114" t="n">
        <v>24000</v>
      </c>
      <c r="T431" s="115" t="n"/>
      <c r="U431" s="0" t="n"/>
      <c r="V431" s="0" t="n"/>
      <c r="W431" s="0" t="n"/>
      <c r="X431" s="0" t="n"/>
      <c r="Y431" s="0" t="n"/>
      <c r="Z431" s="0" t="n"/>
      <c r="AA431" s="0" t="n"/>
      <c r="AB431" s="0" t="n"/>
      <c r="AC431" s="0" t="n"/>
      <c r="AD431" s="0" t="n"/>
      <c r="AE431" s="0" t="n"/>
      <c r="AF431" s="0" t="n"/>
      <c r="AG431" s="0" t="n"/>
      <c r="AH431" s="0" t="n"/>
      <c r="AI431" s="0" t="n"/>
      <c r="AJ431" s="0" t="n"/>
      <c r="AK431" s="0" t="n"/>
      <c r="AL431" s="0" t="n"/>
      <c r="AM431" s="0" t="n"/>
      <c r="AN431" s="0" t="n"/>
      <c r="AO431" s="0" t="n"/>
      <c r="AP431" s="0" t="n"/>
      <c r="AQ431" s="0" t="n"/>
      <c r="AR431" s="0" t="n"/>
      <c r="AS431" s="0" t="n"/>
      <c r="AT431" s="0" t="n"/>
      <c r="AU431" s="0" t="n"/>
      <c r="AV431" s="0" t="n"/>
      <c r="AW431" s="0" t="n"/>
      <c r="AX431" s="0" t="n"/>
      <c r="AY431" s="0" t="n"/>
      <c r="AZ431" s="0" t="n"/>
      <c r="BA431" s="0" t="n"/>
      <c r="BB431" s="0" t="n"/>
      <c r="BC431" s="0" t="n"/>
      <c r="BD431" s="0" t="n"/>
      <c r="BE431" s="0" t="n"/>
      <c r="BF431" s="0" t="n"/>
      <c r="BG431" s="0" t="n"/>
      <c r="BH431" s="0" t="n"/>
      <c r="BI431" s="0" t="n"/>
      <c r="BJ431" s="0" t="n"/>
      <c r="BK431" s="0" t="n"/>
      <c r="BL431" s="0" t="n"/>
      <c r="BM431" s="0" t="n"/>
      <c r="BN431" s="0" t="n"/>
      <c r="BO431" s="0" t="n"/>
      <c r="BP431" s="0" t="n"/>
    </row>
    <row hidden="false" ht="15" outlineLevel="0" r="432">
      <c r="A432" s="116" t="n">
        <f aca="false" ca="false" dt2D="false" dtr="false" t="normal">+A431+1</f>
        <v>412</v>
      </c>
      <c r="B432" s="117" t="s">
        <v>463</v>
      </c>
      <c r="C432" s="104" t="s">
        <v>111</v>
      </c>
      <c r="D432" s="117" t="s">
        <v>382</v>
      </c>
      <c r="E432" s="186" t="n">
        <f aca="false" ca="true" dt2D="false" dtr="false" t="normal">SUBTOTAL(9, F432:T432)</f>
        <v>13682647.209999999</v>
      </c>
      <c r="F432" s="114" t="n">
        <v>5021208.78</v>
      </c>
      <c r="G432" s="114" t="n">
        <v>734322.14</v>
      </c>
      <c r="H432" s="114" t="n"/>
      <c r="I432" s="114" t="n">
        <v>1975667.5</v>
      </c>
      <c r="J432" s="114" t="n"/>
      <c r="K432" s="114" t="n"/>
      <c r="L432" s="114" t="n"/>
      <c r="M432" s="114" t="n">
        <v>0</v>
      </c>
      <c r="N432" s="114" t="n">
        <v>0</v>
      </c>
      <c r="O432" s="114" t="n">
        <v>0</v>
      </c>
      <c r="P432" s="114" t="n">
        <v>5170020</v>
      </c>
      <c r="Q432" s="114" t="n"/>
      <c r="R432" s="114" t="n">
        <v>767714.5</v>
      </c>
      <c r="S432" s="114" t="n">
        <v>13714.29</v>
      </c>
      <c r="T432" s="115" t="n"/>
      <c r="U432" s="0" t="n"/>
      <c r="V432" s="0" t="n"/>
      <c r="W432" s="0" t="n"/>
      <c r="X432" s="0" t="n"/>
      <c r="Y432" s="0" t="n"/>
      <c r="Z432" s="0" t="n"/>
      <c r="AA432" s="0" t="n"/>
      <c r="AB432" s="0" t="n"/>
      <c r="AC432" s="0" t="n"/>
      <c r="AD432" s="0" t="n"/>
      <c r="AE432" s="0" t="n"/>
      <c r="AF432" s="0" t="n"/>
      <c r="AG432" s="0" t="n"/>
      <c r="AH432" s="0" t="n"/>
      <c r="AI432" s="0" t="n"/>
      <c r="AJ432" s="0" t="n"/>
      <c r="AK432" s="0" t="n"/>
      <c r="AL432" s="0" t="n"/>
      <c r="AM432" s="0" t="n"/>
      <c r="AN432" s="0" t="n"/>
      <c r="AO432" s="0" t="n"/>
      <c r="AP432" s="0" t="n"/>
      <c r="AQ432" s="0" t="n"/>
      <c r="AR432" s="0" t="n"/>
      <c r="AS432" s="0" t="n"/>
      <c r="AT432" s="0" t="n"/>
      <c r="AU432" s="0" t="n"/>
      <c r="AV432" s="0" t="n"/>
      <c r="AW432" s="0" t="n"/>
      <c r="AX432" s="0" t="n"/>
      <c r="AY432" s="0" t="n"/>
      <c r="AZ432" s="0" t="n"/>
      <c r="BA432" s="0" t="n"/>
      <c r="BB432" s="0" t="n"/>
      <c r="BC432" s="0" t="n"/>
      <c r="BD432" s="0" t="n"/>
      <c r="BE432" s="0" t="n"/>
      <c r="BF432" s="0" t="n"/>
      <c r="BG432" s="0" t="n"/>
      <c r="BH432" s="0" t="n"/>
      <c r="BI432" s="0" t="n"/>
      <c r="BJ432" s="0" t="n"/>
      <c r="BK432" s="0" t="n"/>
      <c r="BL432" s="0" t="n"/>
      <c r="BM432" s="0" t="n"/>
      <c r="BN432" s="0" t="n"/>
      <c r="BO432" s="0" t="n"/>
      <c r="BP432" s="0" t="n"/>
    </row>
    <row hidden="false" ht="15" outlineLevel="0" r="433">
      <c r="A433" s="116" t="n">
        <f aca="false" ca="false" dt2D="false" dtr="false" t="normal">+A432+1</f>
        <v>413</v>
      </c>
      <c r="B433" s="117" t="s">
        <v>463</v>
      </c>
      <c r="C433" s="104" t="s">
        <v>111</v>
      </c>
      <c r="D433" s="117" t="s">
        <v>181</v>
      </c>
      <c r="E433" s="186" t="n">
        <f aca="false" ca="true" dt2D="false" dtr="false" t="normal">SUBTOTAL(9, F433:T433)</f>
        <v>9347701.01</v>
      </c>
      <c r="F433" s="114" t="n"/>
      <c r="G433" s="114" t="n"/>
      <c r="H433" s="114" t="n"/>
      <c r="I433" s="114" t="n"/>
      <c r="J433" s="114" t="n"/>
      <c r="K433" s="114" t="n"/>
      <c r="L433" s="114" t="n"/>
      <c r="M433" s="114" t="n"/>
      <c r="N433" s="114" t="n"/>
      <c r="O433" s="114" t="n">
        <v>0</v>
      </c>
      <c r="P433" s="114" t="n"/>
      <c r="Q433" s="114" t="n">
        <v>8872451.2</v>
      </c>
      <c r="R433" s="114" t="n">
        <v>459249.81</v>
      </c>
      <c r="S433" s="114" t="n">
        <v>16000</v>
      </c>
      <c r="T433" s="115" t="n"/>
      <c r="U433" s="0" t="n"/>
      <c r="V433" s="0" t="n"/>
      <c r="W433" s="0" t="n"/>
      <c r="X433" s="0" t="n"/>
      <c r="Y433" s="0" t="n"/>
      <c r="Z433" s="0" t="n"/>
      <c r="AA433" s="0" t="n"/>
      <c r="AB433" s="0" t="n"/>
      <c r="AC433" s="0" t="n"/>
      <c r="AD433" s="0" t="n"/>
      <c r="AE433" s="0" t="n"/>
      <c r="AF433" s="0" t="n"/>
      <c r="AG433" s="0" t="n"/>
      <c r="AH433" s="0" t="n"/>
      <c r="AI433" s="0" t="n"/>
      <c r="AJ433" s="0" t="n"/>
      <c r="AK433" s="0" t="n"/>
      <c r="AL433" s="0" t="n"/>
      <c r="AM433" s="0" t="n"/>
      <c r="AN433" s="0" t="n"/>
      <c r="AO433" s="0" t="n"/>
      <c r="AP433" s="0" t="n"/>
      <c r="AQ433" s="0" t="n"/>
      <c r="AR433" s="0" t="n"/>
      <c r="AS433" s="0" t="n"/>
      <c r="AT433" s="0" t="n"/>
      <c r="AU433" s="0" t="n"/>
      <c r="AV433" s="0" t="n"/>
      <c r="AW433" s="0" t="n"/>
      <c r="AX433" s="0" t="n"/>
      <c r="AY433" s="0" t="n"/>
      <c r="AZ433" s="0" t="n"/>
      <c r="BA433" s="0" t="n"/>
      <c r="BB433" s="0" t="n"/>
      <c r="BC433" s="0" t="n"/>
      <c r="BD433" s="0" t="n"/>
      <c r="BE433" s="0" t="n"/>
      <c r="BF433" s="0" t="n"/>
      <c r="BG433" s="0" t="n"/>
      <c r="BH433" s="0" t="n"/>
      <c r="BI433" s="0" t="n"/>
      <c r="BJ433" s="0" t="n"/>
      <c r="BK433" s="0" t="n"/>
      <c r="BL433" s="0" t="n"/>
      <c r="BM433" s="0" t="n"/>
      <c r="BN433" s="0" t="n"/>
      <c r="BO433" s="0" t="n"/>
      <c r="BP433" s="0" t="n"/>
    </row>
    <row hidden="false" ht="15" outlineLevel="0" r="434">
      <c r="A434" s="116" t="n">
        <f aca="false" ca="false" dt2D="false" dtr="false" t="normal">+A432+1</f>
        <v>413</v>
      </c>
      <c r="B434" s="117" t="s">
        <v>463</v>
      </c>
      <c r="C434" s="104" t="s">
        <v>111</v>
      </c>
      <c r="D434" s="117" t="s">
        <v>388</v>
      </c>
      <c r="E434" s="186" t="n">
        <f aca="false" ca="true" dt2D="false" dtr="false" t="normal">SUBTOTAL(9, F434:T434)</f>
        <v>11509868.83</v>
      </c>
      <c r="F434" s="114" t="n">
        <v>8087620.75</v>
      </c>
      <c r="G434" s="114" t="n">
        <v>3000884.73</v>
      </c>
      <c r="H434" s="114" t="n">
        <v>0</v>
      </c>
      <c r="I434" s="114" t="n">
        <v>0</v>
      </c>
      <c r="J434" s="114" t="n"/>
      <c r="K434" s="114" t="n"/>
      <c r="L434" s="114" t="n"/>
      <c r="M434" s="114" t="n">
        <v>0</v>
      </c>
      <c r="N434" s="114" t="n"/>
      <c r="O434" s="114" t="n">
        <v>0</v>
      </c>
      <c r="P434" s="114" t="n"/>
      <c r="Q434" s="114" t="n"/>
      <c r="R434" s="114" t="n">
        <v>411763.35</v>
      </c>
      <c r="S434" s="114" t="n">
        <v>9600</v>
      </c>
      <c r="T434" s="115" t="n"/>
      <c r="U434" s="0" t="n"/>
      <c r="V434" s="0" t="n"/>
      <c r="W434" s="0" t="n"/>
      <c r="X434" s="0" t="n"/>
      <c r="Y434" s="0" t="n"/>
      <c r="Z434" s="0" t="n"/>
      <c r="AA434" s="0" t="n"/>
      <c r="AB434" s="0" t="n"/>
      <c r="AC434" s="0" t="n"/>
      <c r="AD434" s="0" t="n"/>
      <c r="AE434" s="0" t="n"/>
      <c r="AF434" s="0" t="n"/>
      <c r="AG434" s="0" t="n"/>
      <c r="AH434" s="0" t="n"/>
      <c r="AI434" s="0" t="n"/>
      <c r="AJ434" s="0" t="n"/>
      <c r="AK434" s="0" t="n"/>
      <c r="AL434" s="0" t="n"/>
      <c r="AM434" s="0" t="n"/>
      <c r="AN434" s="0" t="n"/>
      <c r="AO434" s="0" t="n"/>
      <c r="AP434" s="0" t="n"/>
      <c r="AQ434" s="0" t="n"/>
      <c r="AR434" s="0" t="n"/>
      <c r="AS434" s="0" t="n"/>
      <c r="AT434" s="0" t="n"/>
      <c r="AU434" s="0" t="n"/>
      <c r="AV434" s="0" t="n"/>
      <c r="AW434" s="0" t="n"/>
      <c r="AX434" s="0" t="n"/>
      <c r="AY434" s="0" t="n"/>
      <c r="AZ434" s="0" t="n"/>
      <c r="BA434" s="0" t="n"/>
      <c r="BB434" s="0" t="n"/>
      <c r="BC434" s="0" t="n"/>
      <c r="BD434" s="0" t="n"/>
      <c r="BE434" s="0" t="n"/>
      <c r="BF434" s="0" t="n"/>
      <c r="BG434" s="0" t="n"/>
      <c r="BH434" s="0" t="n"/>
      <c r="BI434" s="0" t="n"/>
      <c r="BJ434" s="0" t="n"/>
      <c r="BK434" s="0" t="n"/>
      <c r="BL434" s="0" t="n"/>
      <c r="BM434" s="0" t="n"/>
      <c r="BN434" s="0" t="n"/>
      <c r="BO434" s="0" t="n"/>
      <c r="BP434" s="0" t="n"/>
    </row>
    <row customFormat="true" hidden="false" ht="15" outlineLevel="0" r="435" s="206">
      <c r="A435" s="116" t="n">
        <f aca="false" ca="false" dt2D="false" dtr="false" t="normal">+A434+1</f>
        <v>414</v>
      </c>
      <c r="B435" s="117" t="s">
        <v>463</v>
      </c>
      <c r="C435" s="104" t="s">
        <v>111</v>
      </c>
      <c r="D435" s="117" t="s">
        <v>391</v>
      </c>
      <c r="E435" s="113" t="n">
        <f aca="false" ca="true" dt2D="false" dtr="false" t="normal">SUBTOTAL(9, F435:T435)</f>
        <v>3403308.6</v>
      </c>
      <c r="F435" s="114" t="n"/>
      <c r="G435" s="114" t="n"/>
      <c r="H435" s="114" t="n"/>
      <c r="I435" s="114" t="n">
        <v>2042385.11</v>
      </c>
      <c r="J435" s="114" t="n">
        <v>1046167.7</v>
      </c>
      <c r="K435" s="114" t="n"/>
      <c r="L435" s="114" t="n"/>
      <c r="M435" s="114" t="n"/>
      <c r="N435" s="114" t="n"/>
      <c r="O435" s="114" t="n"/>
      <c r="P435" s="114" t="n"/>
      <c r="Q435" s="114" t="n"/>
      <c r="R435" s="114" t="n">
        <v>302755.79</v>
      </c>
      <c r="S435" s="114" t="n">
        <v>12000</v>
      </c>
      <c r="T435" s="115" t="n"/>
      <c r="U435" s="0" t="n"/>
      <c r="V435" s="0" t="n"/>
      <c r="W435" s="0" t="n"/>
      <c r="X435" s="0" t="n"/>
      <c r="Y435" s="0" t="n"/>
      <c r="Z435" s="0" t="n"/>
      <c r="AA435" s="0" t="n"/>
      <c r="AB435" s="0" t="n"/>
      <c r="AC435" s="0" t="n"/>
      <c r="AD435" s="0" t="n"/>
      <c r="AE435" s="0" t="n"/>
      <c r="AF435" s="0" t="n"/>
      <c r="AG435" s="0" t="n"/>
      <c r="AH435" s="0" t="n"/>
      <c r="AI435" s="0" t="n"/>
      <c r="AJ435" s="0" t="n"/>
      <c r="AK435" s="0" t="n"/>
      <c r="AL435" s="0" t="n"/>
      <c r="AM435" s="0" t="n"/>
      <c r="AN435" s="0" t="n"/>
      <c r="AO435" s="0" t="n"/>
      <c r="AP435" s="0" t="n"/>
      <c r="AQ435" s="0" t="n"/>
      <c r="AR435" s="0" t="n"/>
      <c r="AS435" s="0" t="n"/>
      <c r="AT435" s="0" t="n"/>
      <c r="AU435" s="0" t="n"/>
      <c r="AV435" s="0" t="n"/>
      <c r="AW435" s="0" t="n"/>
      <c r="AX435" s="0" t="n"/>
      <c r="AY435" s="0" t="n"/>
      <c r="AZ435" s="0" t="n"/>
      <c r="BA435" s="0" t="n"/>
      <c r="BB435" s="0" t="n"/>
      <c r="BC435" s="0" t="n"/>
      <c r="BD435" s="0" t="n"/>
      <c r="BE435" s="0" t="n"/>
      <c r="BF435" s="0" t="n"/>
      <c r="BG435" s="0" t="n"/>
      <c r="BH435" s="0" t="n"/>
      <c r="BI435" s="0" t="n"/>
      <c r="BJ435" s="0" t="n"/>
      <c r="BK435" s="0" t="n"/>
      <c r="BL435" s="0" t="n"/>
      <c r="BM435" s="0" t="n"/>
      <c r="BN435" s="0" t="n"/>
      <c r="BO435" s="0" t="n"/>
      <c r="BP435" s="0" t="n"/>
    </row>
    <row hidden="false" ht="15" outlineLevel="0" r="436">
      <c r="A436" s="116" t="n">
        <f aca="false" ca="false" dt2D="false" dtr="false" t="normal">+A435+1</f>
        <v>415</v>
      </c>
      <c r="B436" s="117" t="n">
        <v>205</v>
      </c>
      <c r="C436" s="104" t="s">
        <v>111</v>
      </c>
      <c r="D436" s="117" t="s">
        <v>198</v>
      </c>
      <c r="E436" s="113" t="n">
        <f aca="false" ca="true" dt2D="false" dtr="false" t="normal">SUBTOTAL(9, F436:T436)</f>
        <v>790873.3</v>
      </c>
      <c r="F436" s="114" t="n"/>
      <c r="G436" s="114" t="n"/>
      <c r="H436" s="114" t="n"/>
      <c r="I436" s="114" t="n">
        <v>790873.3</v>
      </c>
      <c r="J436" s="114" t="n"/>
      <c r="K436" s="114" t="n"/>
      <c r="L436" s="114" t="n"/>
      <c r="M436" s="114" t="n"/>
      <c r="N436" s="114" t="n"/>
      <c r="O436" s="114" t="n"/>
      <c r="P436" s="114" t="n"/>
      <c r="Q436" s="114" t="n"/>
      <c r="R436" s="114" t="n"/>
      <c r="S436" s="114" t="n"/>
      <c r="T436" s="115" t="n"/>
      <c r="U436" s="0" t="n"/>
      <c r="V436" s="0" t="n"/>
      <c r="W436" s="0" t="n"/>
      <c r="X436" s="0" t="n"/>
      <c r="Y436" s="0" t="n"/>
      <c r="Z436" s="0" t="n"/>
      <c r="AA436" s="0" t="n"/>
      <c r="AB436" s="0" t="n"/>
      <c r="AC436" s="0" t="n"/>
      <c r="AD436" s="0" t="n"/>
      <c r="AE436" s="0" t="n"/>
      <c r="AF436" s="0" t="n"/>
      <c r="AG436" s="0" t="n"/>
      <c r="AH436" s="0" t="n"/>
      <c r="AI436" s="0" t="n"/>
      <c r="AJ436" s="0" t="n"/>
      <c r="AK436" s="0" t="n"/>
      <c r="AL436" s="0" t="n"/>
      <c r="AM436" s="0" t="n"/>
      <c r="AN436" s="0" t="n"/>
      <c r="AO436" s="0" t="n"/>
      <c r="AP436" s="0" t="n"/>
      <c r="AQ436" s="0" t="n"/>
      <c r="AR436" s="0" t="n"/>
      <c r="AS436" s="0" t="n"/>
      <c r="AT436" s="0" t="n"/>
      <c r="AU436" s="0" t="n"/>
      <c r="AV436" s="0" t="n"/>
      <c r="AW436" s="0" t="n"/>
      <c r="AX436" s="0" t="n"/>
      <c r="AY436" s="0" t="n"/>
      <c r="AZ436" s="0" t="n"/>
      <c r="BA436" s="0" t="n"/>
      <c r="BB436" s="0" t="n"/>
      <c r="BC436" s="0" t="n"/>
      <c r="BD436" s="0" t="n"/>
      <c r="BE436" s="0" t="n"/>
      <c r="BF436" s="0" t="n"/>
      <c r="BG436" s="0" t="n"/>
      <c r="BH436" s="0" t="n"/>
      <c r="BI436" s="0" t="n"/>
      <c r="BJ436" s="0" t="n"/>
      <c r="BK436" s="0" t="n"/>
      <c r="BL436" s="0" t="n"/>
      <c r="BM436" s="0" t="n"/>
      <c r="BN436" s="0" t="n"/>
      <c r="BO436" s="0" t="n"/>
      <c r="BP436" s="0" t="n"/>
    </row>
    <row hidden="false" ht="15" outlineLevel="0" r="437">
      <c r="A437" s="116" t="n">
        <f aca="false" ca="false" dt2D="false" dtr="false" t="normal">+A436+1</f>
        <v>416</v>
      </c>
      <c r="B437" s="117" t="s">
        <v>463</v>
      </c>
      <c r="C437" s="104" t="s">
        <v>111</v>
      </c>
      <c r="D437" s="117" t="s">
        <v>394</v>
      </c>
      <c r="E437" s="186" t="n">
        <f aca="false" ca="true" dt2D="false" dtr="false" t="normal">SUBTOTAL(9, F437:T437)</f>
        <v>7589452.780000001</v>
      </c>
      <c r="F437" s="114" t="n">
        <v>3126691.49</v>
      </c>
      <c r="G437" s="114" t="n">
        <v>1010526.62</v>
      </c>
      <c r="H437" s="114" t="n"/>
      <c r="I437" s="114" t="n">
        <v>965070.61</v>
      </c>
      <c r="J437" s="114" t="n"/>
      <c r="K437" s="114" t="n"/>
      <c r="L437" s="114" t="n"/>
      <c r="M437" s="114" t="n">
        <v>0</v>
      </c>
      <c r="N437" s="114" t="n"/>
      <c r="O437" s="114" t="n">
        <v>0</v>
      </c>
      <c r="P437" s="114" t="n"/>
      <c r="Q437" s="114" t="n">
        <v>2487164.06</v>
      </c>
      <c r="R437" s="114" t="n"/>
      <c r="S437" s="114" t="n"/>
      <c r="T437" s="115" t="n"/>
      <c r="U437" s="0" t="n"/>
      <c r="V437" s="0" t="n"/>
      <c r="W437" s="0" t="n"/>
      <c r="X437" s="0" t="n"/>
      <c r="Y437" s="0" t="n"/>
      <c r="Z437" s="0" t="n"/>
      <c r="AA437" s="0" t="n"/>
      <c r="AB437" s="0" t="n"/>
      <c r="AC437" s="0" t="n"/>
      <c r="AD437" s="0" t="n"/>
      <c r="AE437" s="0" t="n"/>
      <c r="AF437" s="0" t="n"/>
      <c r="AG437" s="0" t="n"/>
      <c r="AH437" s="0" t="n"/>
      <c r="AI437" s="0" t="n"/>
      <c r="AJ437" s="0" t="n"/>
      <c r="AK437" s="0" t="n"/>
      <c r="AL437" s="0" t="n"/>
      <c r="AM437" s="0" t="n"/>
      <c r="AN437" s="0" t="n"/>
      <c r="AO437" s="0" t="n"/>
      <c r="AP437" s="0" t="n"/>
      <c r="AQ437" s="0" t="n"/>
      <c r="AR437" s="0" t="n"/>
      <c r="AS437" s="0" t="n"/>
      <c r="AT437" s="0" t="n"/>
      <c r="AU437" s="0" t="n"/>
      <c r="AV437" s="0" t="n"/>
      <c r="AW437" s="0" t="n"/>
      <c r="AX437" s="0" t="n"/>
      <c r="AY437" s="0" t="n"/>
      <c r="AZ437" s="0" t="n"/>
      <c r="BA437" s="0" t="n"/>
      <c r="BB437" s="0" t="n"/>
      <c r="BC437" s="0" t="n"/>
      <c r="BD437" s="0" t="n"/>
      <c r="BE437" s="0" t="n"/>
      <c r="BF437" s="0" t="n"/>
      <c r="BG437" s="0" t="n"/>
      <c r="BH437" s="0" t="n"/>
      <c r="BI437" s="0" t="n"/>
      <c r="BJ437" s="0" t="n"/>
      <c r="BK437" s="0" t="n"/>
      <c r="BL437" s="0" t="n"/>
      <c r="BM437" s="0" t="n"/>
      <c r="BN437" s="0" t="n"/>
      <c r="BO437" s="0" t="n"/>
      <c r="BP437" s="0" t="n"/>
    </row>
    <row hidden="false" ht="15" outlineLevel="0" r="438">
      <c r="A438" s="116" t="n">
        <f aca="false" ca="false" dt2D="false" dtr="false" t="normal">+A437+1</f>
        <v>417</v>
      </c>
      <c r="B438" s="117" t="n">
        <v>206</v>
      </c>
      <c r="C438" s="104" t="s">
        <v>200</v>
      </c>
      <c r="D438" s="117" t="s">
        <v>203</v>
      </c>
      <c r="E438" s="113" t="n">
        <f aca="false" ca="true" dt2D="false" dtr="false" t="normal">SUBTOTAL(9, F438:T438)</f>
        <v>1451159.65</v>
      </c>
      <c r="F438" s="114" t="n"/>
      <c r="G438" s="114" t="n"/>
      <c r="H438" s="114" t="n">
        <v>1451159.65</v>
      </c>
      <c r="I438" s="114" t="n">
        <v>0</v>
      </c>
      <c r="J438" s="114" t="n"/>
      <c r="K438" s="114" t="n"/>
      <c r="L438" s="114" t="n"/>
      <c r="M438" s="114" t="n"/>
      <c r="N438" s="114" t="n"/>
      <c r="O438" s="114" t="n"/>
      <c r="P438" s="114" t="n"/>
      <c r="Q438" s="114" t="n"/>
      <c r="R438" s="114" t="n"/>
      <c r="S438" s="114" t="n"/>
      <c r="T438" s="115" t="n"/>
      <c r="U438" s="0" t="n"/>
      <c r="V438" s="0" t="n"/>
      <c r="W438" s="0" t="n"/>
      <c r="X438" s="0" t="n"/>
      <c r="Y438" s="0" t="n"/>
      <c r="Z438" s="0" t="n"/>
      <c r="AA438" s="0" t="n"/>
      <c r="AB438" s="0" t="n"/>
      <c r="AC438" s="0" t="n"/>
      <c r="AD438" s="0" t="n"/>
      <c r="AE438" s="0" t="n"/>
      <c r="AF438" s="0" t="n"/>
      <c r="AG438" s="0" t="n"/>
      <c r="AH438" s="0" t="n"/>
      <c r="AI438" s="0" t="n"/>
      <c r="AJ438" s="0" t="n"/>
      <c r="AK438" s="0" t="n"/>
      <c r="AL438" s="0" t="n"/>
      <c r="AM438" s="0" t="n"/>
      <c r="AN438" s="0" t="n"/>
      <c r="AO438" s="0" t="n"/>
      <c r="AP438" s="0" t="n"/>
      <c r="AQ438" s="0" t="n"/>
      <c r="AR438" s="0" t="n"/>
      <c r="AS438" s="0" t="n"/>
      <c r="AT438" s="0" t="n"/>
      <c r="AU438" s="0" t="n"/>
      <c r="AV438" s="0" t="n"/>
      <c r="AW438" s="0" t="n"/>
      <c r="AX438" s="0" t="n"/>
      <c r="AY438" s="0" t="n"/>
      <c r="AZ438" s="0" t="n"/>
      <c r="BA438" s="0" t="n"/>
      <c r="BB438" s="0" t="n"/>
      <c r="BC438" s="0" t="n"/>
      <c r="BD438" s="0" t="n"/>
      <c r="BE438" s="0" t="n"/>
      <c r="BF438" s="0" t="n"/>
      <c r="BG438" s="0" t="n"/>
      <c r="BH438" s="0" t="n"/>
      <c r="BI438" s="0" t="n"/>
      <c r="BJ438" s="0" t="n"/>
      <c r="BK438" s="0" t="n"/>
      <c r="BL438" s="0" t="n"/>
      <c r="BM438" s="0" t="n"/>
      <c r="BN438" s="0" t="n"/>
      <c r="BO438" s="0" t="n"/>
      <c r="BP438" s="0" t="n"/>
    </row>
    <row hidden="false" ht="15" outlineLevel="0" r="439">
      <c r="A439" s="116" t="n">
        <f aca="false" ca="false" dt2D="false" dtr="false" t="normal">+A438+1</f>
        <v>418</v>
      </c>
      <c r="B439" s="117" t="n">
        <f aca="false" ca="false" dt2D="false" dtr="false" t="normal">+B438+1</f>
        <v>207</v>
      </c>
      <c r="C439" s="104" t="s">
        <v>200</v>
      </c>
      <c r="D439" s="117" t="s">
        <v>206</v>
      </c>
      <c r="E439" s="113" t="n">
        <f aca="false" ca="true" dt2D="false" dtr="false" t="normal">SUBTOTAL(9, F439:T439)</f>
        <v>536702.36</v>
      </c>
      <c r="F439" s="114" t="n">
        <v>0</v>
      </c>
      <c r="G439" s="114" t="n"/>
      <c r="H439" s="114" t="n">
        <v>536702.36</v>
      </c>
      <c r="I439" s="114" t="n"/>
      <c r="J439" s="114" t="n">
        <v>0</v>
      </c>
      <c r="K439" s="114" t="n"/>
      <c r="L439" s="114" t="n"/>
      <c r="M439" s="114" t="n">
        <v>0</v>
      </c>
      <c r="N439" s="114" t="n"/>
      <c r="O439" s="114" t="n">
        <v>0</v>
      </c>
      <c r="P439" s="114" t="n">
        <v>0</v>
      </c>
      <c r="Q439" s="114" t="n">
        <v>0</v>
      </c>
      <c r="R439" s="114" t="n"/>
      <c r="S439" s="114" t="n"/>
      <c r="T439" s="115" t="n"/>
      <c r="U439" s="0" t="n"/>
      <c r="V439" s="0" t="n"/>
      <c r="W439" s="0" t="n"/>
      <c r="X439" s="0" t="n"/>
      <c r="Y439" s="0" t="n"/>
      <c r="Z439" s="0" t="n"/>
      <c r="AA439" s="0" t="n"/>
      <c r="AB439" s="0" t="n"/>
      <c r="AC439" s="0" t="n"/>
      <c r="AD439" s="0" t="n"/>
      <c r="AE439" s="0" t="n"/>
      <c r="AF439" s="0" t="n"/>
      <c r="AG439" s="0" t="n"/>
      <c r="AH439" s="0" t="n"/>
      <c r="AI439" s="0" t="n"/>
      <c r="AJ439" s="0" t="n"/>
      <c r="AK439" s="0" t="n"/>
      <c r="AL439" s="0" t="n"/>
      <c r="AM439" s="0" t="n"/>
      <c r="AN439" s="0" t="n"/>
      <c r="AO439" s="0" t="n"/>
      <c r="AP439" s="0" t="n"/>
      <c r="AQ439" s="0" t="n"/>
      <c r="AR439" s="0" t="n"/>
      <c r="AS439" s="0" t="n"/>
      <c r="AT439" s="0" t="n"/>
      <c r="AU439" s="0" t="n"/>
      <c r="AV439" s="0" t="n"/>
      <c r="AW439" s="0" t="n"/>
      <c r="AX439" s="0" t="n"/>
      <c r="AY439" s="0" t="n"/>
      <c r="AZ439" s="0" t="n"/>
      <c r="BA439" s="0" t="n"/>
      <c r="BB439" s="0" t="n"/>
      <c r="BC439" s="0" t="n"/>
      <c r="BD439" s="0" t="n"/>
      <c r="BE439" s="0" t="n"/>
      <c r="BF439" s="0" t="n"/>
      <c r="BG439" s="0" t="n"/>
      <c r="BH439" s="0" t="n"/>
      <c r="BI439" s="0" t="n"/>
      <c r="BJ439" s="0" t="n"/>
      <c r="BK439" s="0" t="n"/>
      <c r="BL439" s="0" t="n"/>
      <c r="BM439" s="0" t="n"/>
      <c r="BN439" s="0" t="n"/>
      <c r="BO439" s="0" t="n"/>
      <c r="BP439" s="0" t="n"/>
    </row>
    <row hidden="false" ht="15" outlineLevel="0" r="440">
      <c r="A440" s="116" t="n">
        <f aca="false" ca="false" dt2D="false" dtr="false" t="normal">+A439+1</f>
        <v>419</v>
      </c>
      <c r="B440" s="117" t="n">
        <v>208</v>
      </c>
      <c r="C440" s="104" t="s">
        <v>396</v>
      </c>
      <c r="D440" s="117" t="s">
        <v>486</v>
      </c>
      <c r="E440" s="113" t="n">
        <f aca="false" ca="false" dt2D="false" dtr="false" t="normal">SUM(F440:T440)</f>
        <v>5183657.06</v>
      </c>
      <c r="F440" s="117" t="n"/>
      <c r="G440" s="114" t="n"/>
      <c r="H440" s="114" t="n"/>
      <c r="I440" s="114" t="n"/>
      <c r="J440" s="114" t="n"/>
      <c r="K440" s="114" t="n"/>
      <c r="L440" s="114" t="n"/>
      <c r="M440" s="114" t="n"/>
      <c r="N440" s="114" t="n"/>
      <c r="O440" s="114" t="n"/>
      <c r="P440" s="114" t="n">
        <v>5178857.06</v>
      </c>
      <c r="Q440" s="114" t="n"/>
      <c r="R440" s="114" t="n"/>
      <c r="S440" s="114" t="n">
        <v>4800</v>
      </c>
      <c r="T440" s="115" t="n"/>
      <c r="U440" s="0" t="n"/>
      <c r="V440" s="0" t="n"/>
      <c r="W440" s="0" t="n"/>
      <c r="X440" s="0" t="n"/>
      <c r="Y440" s="0" t="n"/>
      <c r="Z440" s="0" t="n"/>
      <c r="AA440" s="0" t="n"/>
      <c r="AB440" s="0" t="n"/>
      <c r="AC440" s="0" t="n"/>
      <c r="AD440" s="0" t="n"/>
      <c r="AE440" s="0" t="n"/>
      <c r="AF440" s="0" t="n"/>
      <c r="AG440" s="0" t="n"/>
      <c r="AH440" s="0" t="n"/>
      <c r="AI440" s="0" t="n"/>
      <c r="AJ440" s="0" t="n"/>
      <c r="AK440" s="0" t="n"/>
      <c r="AL440" s="0" t="n"/>
      <c r="AM440" s="0" t="n"/>
      <c r="AN440" s="0" t="n"/>
      <c r="AO440" s="0" t="n"/>
      <c r="AP440" s="0" t="n"/>
      <c r="AQ440" s="0" t="n"/>
      <c r="AR440" s="0" t="n"/>
      <c r="AS440" s="0" t="n"/>
      <c r="AT440" s="0" t="n"/>
      <c r="AU440" s="0" t="n"/>
      <c r="AV440" s="0" t="n"/>
      <c r="AW440" s="0" t="n"/>
      <c r="AX440" s="0" t="n"/>
      <c r="AY440" s="0" t="n"/>
      <c r="AZ440" s="0" t="n"/>
      <c r="BA440" s="0" t="n"/>
      <c r="BB440" s="0" t="n"/>
      <c r="BC440" s="0" t="n"/>
      <c r="BD440" s="0" t="n"/>
      <c r="BE440" s="0" t="n"/>
      <c r="BF440" s="0" t="n"/>
      <c r="BG440" s="0" t="n"/>
      <c r="BH440" s="0" t="n"/>
      <c r="BI440" s="0" t="n"/>
      <c r="BJ440" s="0" t="n"/>
      <c r="BK440" s="0" t="n"/>
      <c r="BL440" s="0" t="n"/>
      <c r="BM440" s="0" t="n"/>
      <c r="BN440" s="0" t="n"/>
      <c r="BO440" s="0" t="n"/>
      <c r="BP440" s="0" t="n"/>
    </row>
    <row hidden="false" ht="15" outlineLevel="0" r="441">
      <c r="A441" s="116" t="n">
        <f aca="false" ca="false" dt2D="false" dtr="false" t="normal">+A440+1</f>
        <v>420</v>
      </c>
      <c r="B441" s="117" t="n">
        <f aca="false" ca="false" dt2D="false" dtr="false" t="normal">+B440+1</f>
        <v>209</v>
      </c>
      <c r="C441" s="104" t="s">
        <v>396</v>
      </c>
      <c r="D441" s="117" t="s">
        <v>488</v>
      </c>
      <c r="E441" s="113" t="n">
        <f aca="false" ca="false" dt2D="false" dtr="false" t="normal">SUM(F441:T441)</f>
        <v>4752736.23</v>
      </c>
      <c r="F441" s="117" t="n"/>
      <c r="G441" s="114" t="n"/>
      <c r="H441" s="114" t="n"/>
      <c r="I441" s="114" t="n"/>
      <c r="J441" s="114" t="n"/>
      <c r="K441" s="114" t="n"/>
      <c r="L441" s="114" t="n"/>
      <c r="M441" s="114" t="n"/>
      <c r="N441" s="114" t="n"/>
      <c r="O441" s="114" t="n"/>
      <c r="P441" s="114" t="n">
        <v>4728736.23</v>
      </c>
      <c r="Q441" s="114" t="n"/>
      <c r="R441" s="114" t="n"/>
      <c r="S441" s="114" t="n">
        <v>24000</v>
      </c>
      <c r="T441" s="115" t="n"/>
      <c r="U441" s="0" t="n"/>
      <c r="V441" s="0" t="n"/>
      <c r="W441" s="0" t="n"/>
      <c r="X441" s="0" t="n"/>
      <c r="Y441" s="0" t="n"/>
      <c r="Z441" s="0" t="n"/>
      <c r="AA441" s="0" t="n"/>
      <c r="AB441" s="0" t="n"/>
      <c r="AC441" s="0" t="n"/>
      <c r="AD441" s="0" t="n"/>
      <c r="AE441" s="0" t="n"/>
      <c r="AF441" s="0" t="n"/>
      <c r="AG441" s="0" t="n"/>
      <c r="AH441" s="0" t="n"/>
      <c r="AI441" s="0" t="n"/>
      <c r="AJ441" s="0" t="n"/>
      <c r="AK441" s="0" t="n"/>
      <c r="AL441" s="0" t="n"/>
      <c r="AM441" s="0" t="n"/>
      <c r="AN441" s="0" t="n"/>
      <c r="AO441" s="0" t="n"/>
      <c r="AP441" s="0" t="n"/>
      <c r="AQ441" s="0" t="n"/>
      <c r="AR441" s="0" t="n"/>
      <c r="AS441" s="0" t="n"/>
      <c r="AT441" s="0" t="n"/>
      <c r="AU441" s="0" t="n"/>
      <c r="AV441" s="0" t="n"/>
      <c r="AW441" s="0" t="n"/>
      <c r="AX441" s="0" t="n"/>
      <c r="AY441" s="0" t="n"/>
      <c r="AZ441" s="0" t="n"/>
      <c r="BA441" s="0" t="n"/>
      <c r="BB441" s="0" t="n"/>
      <c r="BC441" s="0" t="n"/>
      <c r="BD441" s="0" t="n"/>
      <c r="BE441" s="0" t="n"/>
      <c r="BF441" s="0" t="n"/>
      <c r="BG441" s="0" t="n"/>
      <c r="BH441" s="0" t="n"/>
      <c r="BI441" s="0" t="n"/>
      <c r="BJ441" s="0" t="n"/>
      <c r="BK441" s="0" t="n"/>
      <c r="BL441" s="0" t="n"/>
      <c r="BM441" s="0" t="n"/>
      <c r="BN441" s="0" t="n"/>
      <c r="BO441" s="0" t="n"/>
      <c r="BP441" s="0" t="n"/>
    </row>
    <row hidden="false" ht="15" outlineLevel="0" r="442">
      <c r="A442" s="116" t="n">
        <f aca="false" ca="false" dt2D="false" dtr="false" t="normal">+A441+1</f>
        <v>421</v>
      </c>
      <c r="B442" s="117" t="n">
        <f aca="false" ca="false" dt2D="false" dtr="false" t="normal">+B441+1</f>
        <v>210</v>
      </c>
      <c r="C442" s="104" t="s">
        <v>396</v>
      </c>
      <c r="D442" s="117" t="s">
        <v>489</v>
      </c>
      <c r="E442" s="113" t="n">
        <f aca="false" ca="false" dt2D="false" dtr="false" t="normal">SUM(F442:T442)</f>
        <v>4847207.98</v>
      </c>
      <c r="F442" s="117" t="n"/>
      <c r="G442" s="114" t="n"/>
      <c r="H442" s="114" t="n"/>
      <c r="I442" s="114" t="n"/>
      <c r="J442" s="114" t="n"/>
      <c r="K442" s="114" t="n"/>
      <c r="L442" s="114" t="n"/>
      <c r="M442" s="114" t="n"/>
      <c r="N442" s="114" t="n"/>
      <c r="O442" s="114" t="n"/>
      <c r="P442" s="114" t="n">
        <v>4842407.98</v>
      </c>
      <c r="Q442" s="114" t="n"/>
      <c r="R442" s="114" t="n"/>
      <c r="S442" s="114" t="n">
        <v>4800</v>
      </c>
      <c r="T442" s="115" t="n"/>
      <c r="U442" s="0" t="n"/>
      <c r="V442" s="0" t="n"/>
      <c r="W442" s="0" t="n"/>
      <c r="X442" s="0" t="n"/>
      <c r="Y442" s="0" t="n"/>
      <c r="Z442" s="0" t="n"/>
      <c r="AA442" s="0" t="n"/>
      <c r="AB442" s="0" t="n"/>
      <c r="AC442" s="0" t="n"/>
      <c r="AD442" s="0" t="n"/>
      <c r="AE442" s="0" t="n"/>
      <c r="AF442" s="0" t="n"/>
      <c r="AG442" s="0" t="n"/>
      <c r="AH442" s="0" t="n"/>
      <c r="AI442" s="0" t="n"/>
      <c r="AJ442" s="0" t="n"/>
      <c r="AK442" s="0" t="n"/>
      <c r="AL442" s="0" t="n"/>
      <c r="AM442" s="0" t="n"/>
      <c r="AN442" s="0" t="n"/>
      <c r="AO442" s="0" t="n"/>
      <c r="AP442" s="0" t="n"/>
      <c r="AQ442" s="0" t="n"/>
      <c r="AR442" s="0" t="n"/>
      <c r="AS442" s="0" t="n"/>
      <c r="AT442" s="0" t="n"/>
      <c r="AU442" s="0" t="n"/>
      <c r="AV442" s="0" t="n"/>
      <c r="AW442" s="0" t="n"/>
      <c r="AX442" s="0" t="n"/>
      <c r="AY442" s="0" t="n"/>
      <c r="AZ442" s="0" t="n"/>
      <c r="BA442" s="0" t="n"/>
      <c r="BB442" s="0" t="n"/>
      <c r="BC442" s="0" t="n"/>
      <c r="BD442" s="0" t="n"/>
      <c r="BE442" s="0" t="n"/>
      <c r="BF442" s="0" t="n"/>
      <c r="BG442" s="0" t="n"/>
      <c r="BH442" s="0" t="n"/>
      <c r="BI442" s="0" t="n"/>
      <c r="BJ442" s="0" t="n"/>
      <c r="BK442" s="0" t="n"/>
      <c r="BL442" s="0" t="n"/>
      <c r="BM442" s="0" t="n"/>
      <c r="BN442" s="0" t="n"/>
      <c r="BO442" s="0" t="n"/>
      <c r="BP442" s="0" t="n"/>
    </row>
    <row hidden="false" ht="15" outlineLevel="0" r="443">
      <c r="A443" s="116" t="n">
        <f aca="false" ca="false" dt2D="false" dtr="false" t="normal">+A442+1</f>
        <v>422</v>
      </c>
      <c r="B443" s="117" t="n">
        <f aca="false" ca="false" dt2D="false" dtr="false" t="normal">+B442+1</f>
        <v>211</v>
      </c>
      <c r="C443" s="104" t="s">
        <v>396</v>
      </c>
      <c r="D443" s="117" t="s">
        <v>491</v>
      </c>
      <c r="E443" s="113" t="n">
        <f aca="false" ca="false" dt2D="false" dtr="false" t="normal">SUM(F443:T443)</f>
        <v>4753460.04</v>
      </c>
      <c r="F443" s="117" t="n"/>
      <c r="G443" s="114" t="n"/>
      <c r="H443" s="114" t="n"/>
      <c r="I443" s="114" t="n"/>
      <c r="J443" s="114" t="n"/>
      <c r="K443" s="114" t="n"/>
      <c r="L443" s="114" t="n"/>
      <c r="M443" s="114" t="n"/>
      <c r="N443" s="114" t="n"/>
      <c r="O443" s="114" t="n"/>
      <c r="P443" s="114" t="n">
        <v>4747460.04</v>
      </c>
      <c r="Q443" s="114" t="n"/>
      <c r="R443" s="114" t="n"/>
      <c r="S443" s="114" t="n">
        <v>6000</v>
      </c>
      <c r="T443" s="115" t="n"/>
      <c r="U443" s="0" t="n"/>
      <c r="V443" s="0" t="n"/>
      <c r="W443" s="0" t="n"/>
      <c r="X443" s="0" t="n"/>
      <c r="Y443" s="0" t="n"/>
      <c r="Z443" s="0" t="n"/>
      <c r="AA443" s="0" t="n"/>
      <c r="AB443" s="0" t="n"/>
      <c r="AC443" s="0" t="n"/>
      <c r="AD443" s="0" t="n"/>
      <c r="AE443" s="0" t="n"/>
      <c r="AF443" s="0" t="n"/>
      <c r="AG443" s="0" t="n"/>
      <c r="AH443" s="0" t="n"/>
      <c r="AI443" s="0" t="n"/>
      <c r="AJ443" s="0" t="n"/>
      <c r="AK443" s="0" t="n"/>
      <c r="AL443" s="0" t="n"/>
      <c r="AM443" s="0" t="n"/>
      <c r="AN443" s="0" t="n"/>
      <c r="AO443" s="0" t="n"/>
      <c r="AP443" s="0" t="n"/>
      <c r="AQ443" s="0" t="n"/>
      <c r="AR443" s="0" t="n"/>
      <c r="AS443" s="0" t="n"/>
      <c r="AT443" s="0" t="n"/>
      <c r="AU443" s="0" t="n"/>
      <c r="AV443" s="0" t="n"/>
      <c r="AW443" s="0" t="n"/>
      <c r="AX443" s="0" t="n"/>
      <c r="AY443" s="0" t="n"/>
      <c r="AZ443" s="0" t="n"/>
      <c r="BA443" s="0" t="n"/>
      <c r="BB443" s="0" t="n"/>
      <c r="BC443" s="0" t="n"/>
      <c r="BD443" s="0" t="n"/>
      <c r="BE443" s="0" t="n"/>
      <c r="BF443" s="0" t="n"/>
      <c r="BG443" s="0" t="n"/>
      <c r="BH443" s="0" t="n"/>
      <c r="BI443" s="0" t="n"/>
      <c r="BJ443" s="0" t="n"/>
      <c r="BK443" s="0" t="n"/>
      <c r="BL443" s="0" t="n"/>
      <c r="BM443" s="0" t="n"/>
      <c r="BN443" s="0" t="n"/>
      <c r="BO443" s="0" t="n"/>
      <c r="BP443" s="0" t="n"/>
    </row>
    <row hidden="false" ht="15" outlineLevel="0" r="444">
      <c r="A444" s="116" t="n">
        <f aca="false" ca="false" dt2D="false" dtr="false" t="normal">+A443+1</f>
        <v>423</v>
      </c>
      <c r="B444" s="117" t="n">
        <f aca="false" ca="false" dt2D="false" dtr="false" t="normal">+B443+1</f>
        <v>212</v>
      </c>
      <c r="C444" s="104" t="s">
        <v>396</v>
      </c>
      <c r="D444" s="117" t="s">
        <v>492</v>
      </c>
      <c r="E444" s="113" t="n">
        <f aca="false" ca="false" dt2D="false" dtr="false" t="normal">SUM(F444:T444)</f>
        <v>4872127.52</v>
      </c>
      <c r="F444" s="117" t="n"/>
      <c r="G444" s="114" t="n"/>
      <c r="H444" s="114" t="n"/>
      <c r="I444" s="114" t="n"/>
      <c r="J444" s="114" t="n"/>
      <c r="K444" s="114" t="n"/>
      <c r="L444" s="114" t="n"/>
      <c r="M444" s="114" t="n"/>
      <c r="N444" s="114" t="n"/>
      <c r="O444" s="114" t="n"/>
      <c r="P444" s="114" t="n">
        <v>4867327.52</v>
      </c>
      <c r="Q444" s="114" t="n"/>
      <c r="R444" s="114" t="n"/>
      <c r="S444" s="114" t="n">
        <v>4800</v>
      </c>
      <c r="T444" s="115" t="n"/>
      <c r="U444" s="0" t="n"/>
      <c r="V444" s="0" t="n"/>
      <c r="W444" s="0" t="n"/>
      <c r="X444" s="0" t="n"/>
      <c r="Y444" s="0" t="n"/>
      <c r="Z444" s="0" t="n"/>
      <c r="AA444" s="0" t="n"/>
      <c r="AB444" s="0" t="n"/>
      <c r="AC444" s="0" t="n"/>
      <c r="AD444" s="0" t="n"/>
      <c r="AE444" s="0" t="n"/>
      <c r="AF444" s="0" t="n"/>
      <c r="AG444" s="0" t="n"/>
      <c r="AH444" s="0" t="n"/>
      <c r="AI444" s="0" t="n"/>
      <c r="AJ444" s="0" t="n"/>
      <c r="AK444" s="0" t="n"/>
      <c r="AL444" s="0" t="n"/>
      <c r="AM444" s="0" t="n"/>
      <c r="AN444" s="0" t="n"/>
      <c r="AO444" s="0" t="n"/>
      <c r="AP444" s="0" t="n"/>
      <c r="AQ444" s="0" t="n"/>
      <c r="AR444" s="0" t="n"/>
      <c r="AS444" s="0" t="n"/>
      <c r="AT444" s="0" t="n"/>
      <c r="AU444" s="0" t="n"/>
      <c r="AV444" s="0" t="n"/>
      <c r="AW444" s="0" t="n"/>
      <c r="AX444" s="0" t="n"/>
      <c r="AY444" s="0" t="n"/>
      <c r="AZ444" s="0" t="n"/>
      <c r="BA444" s="0" t="n"/>
      <c r="BB444" s="0" t="n"/>
      <c r="BC444" s="0" t="n"/>
      <c r="BD444" s="0" t="n"/>
      <c r="BE444" s="0" t="n"/>
      <c r="BF444" s="0" t="n"/>
      <c r="BG444" s="0" t="n"/>
      <c r="BH444" s="0" t="n"/>
      <c r="BI444" s="0" t="n"/>
      <c r="BJ444" s="0" t="n"/>
      <c r="BK444" s="0" t="n"/>
      <c r="BL444" s="0" t="n"/>
      <c r="BM444" s="0" t="n"/>
      <c r="BN444" s="0" t="n"/>
      <c r="BO444" s="0" t="n"/>
      <c r="BP444" s="0" t="n"/>
    </row>
    <row hidden="false" ht="15" outlineLevel="0" r="445">
      <c r="A445" s="116" t="n">
        <f aca="false" ca="false" dt2D="false" dtr="false" t="normal">+A444+1</f>
        <v>424</v>
      </c>
      <c r="B445" s="117" t="n">
        <f aca="false" ca="false" dt2D="false" dtr="false" t="normal">+B444+1</f>
        <v>213</v>
      </c>
      <c r="C445" s="104" t="s">
        <v>396</v>
      </c>
      <c r="D445" s="117" t="s">
        <v>494</v>
      </c>
      <c r="E445" s="113" t="n">
        <f aca="false" ca="false" dt2D="false" dtr="false" t="normal">SUM(F445:T445)</f>
        <v>7963657.87</v>
      </c>
      <c r="F445" s="117" t="n"/>
      <c r="G445" s="114" t="n"/>
      <c r="H445" s="114" t="n"/>
      <c r="I445" s="114" t="n"/>
      <c r="J445" s="114" t="n"/>
      <c r="K445" s="114" t="n"/>
      <c r="L445" s="114" t="n"/>
      <c r="M445" s="114" t="n"/>
      <c r="N445" s="114" t="n"/>
      <c r="O445" s="114" t="n"/>
      <c r="P445" s="114" t="n">
        <v>7955657.87</v>
      </c>
      <c r="Q445" s="114" t="n"/>
      <c r="R445" s="114" t="n"/>
      <c r="S445" s="114" t="n">
        <v>8000</v>
      </c>
      <c r="T445" s="115" t="n"/>
      <c r="U445" s="0" t="n"/>
      <c r="V445" s="0" t="n"/>
      <c r="W445" s="0" t="n"/>
      <c r="X445" s="0" t="n"/>
      <c r="Y445" s="0" t="n"/>
      <c r="Z445" s="0" t="n"/>
      <c r="AA445" s="0" t="n"/>
      <c r="AB445" s="0" t="n"/>
      <c r="AC445" s="0" t="n"/>
      <c r="AD445" s="0" t="n"/>
      <c r="AE445" s="0" t="n"/>
      <c r="AF445" s="0" t="n"/>
      <c r="AG445" s="0" t="n"/>
      <c r="AH445" s="0" t="n"/>
      <c r="AI445" s="0" t="n"/>
      <c r="AJ445" s="0" t="n"/>
      <c r="AK445" s="0" t="n"/>
      <c r="AL445" s="0" t="n"/>
      <c r="AM445" s="0" t="n"/>
      <c r="AN445" s="0" t="n"/>
      <c r="AO445" s="0" t="n"/>
      <c r="AP445" s="0" t="n"/>
      <c r="AQ445" s="0" t="n"/>
      <c r="AR445" s="0" t="n"/>
      <c r="AS445" s="0" t="n"/>
      <c r="AT445" s="0" t="n"/>
      <c r="AU445" s="0" t="n"/>
      <c r="AV445" s="0" t="n"/>
      <c r="AW445" s="0" t="n"/>
      <c r="AX445" s="0" t="n"/>
      <c r="AY445" s="0" t="n"/>
      <c r="AZ445" s="0" t="n"/>
      <c r="BA445" s="0" t="n"/>
      <c r="BB445" s="0" t="n"/>
      <c r="BC445" s="0" t="n"/>
      <c r="BD445" s="0" t="n"/>
      <c r="BE445" s="0" t="n"/>
      <c r="BF445" s="0" t="n"/>
      <c r="BG445" s="0" t="n"/>
      <c r="BH445" s="0" t="n"/>
      <c r="BI445" s="0" t="n"/>
      <c r="BJ445" s="0" t="n"/>
      <c r="BK445" s="0" t="n"/>
      <c r="BL445" s="0" t="n"/>
      <c r="BM445" s="0" t="n"/>
      <c r="BN445" s="0" t="n"/>
      <c r="BO445" s="0" t="n"/>
      <c r="BP445" s="0" t="n"/>
    </row>
    <row hidden="false" ht="15" outlineLevel="0" r="446">
      <c r="A446" s="116" t="n">
        <f aca="false" ca="false" dt2D="false" dtr="false" t="normal">+A445+1</f>
        <v>425</v>
      </c>
      <c r="B446" s="117" t="n">
        <f aca="false" ca="false" dt2D="false" dtr="false" t="normal">+B445+1</f>
        <v>214</v>
      </c>
      <c r="C446" s="104" t="s">
        <v>207</v>
      </c>
      <c r="D446" s="117" t="s">
        <v>495</v>
      </c>
      <c r="E446" s="113" t="n">
        <f aca="false" ca="true" dt2D="false" dtr="false" t="normal">SUBTOTAL(9, F446:T446)</f>
        <v>2107622.31</v>
      </c>
      <c r="F446" s="114" t="n">
        <v>992115.39</v>
      </c>
      <c r="G446" s="114" t="n">
        <v>816974.44</v>
      </c>
      <c r="H446" s="114" t="n"/>
      <c r="I446" s="114" t="n">
        <v>242295.61</v>
      </c>
      <c r="J446" s="114" t="n">
        <v>0</v>
      </c>
      <c r="K446" s="114" t="n"/>
      <c r="L446" s="114" t="n"/>
      <c r="M446" s="114" t="n">
        <v>0</v>
      </c>
      <c r="N446" s="114" t="n">
        <v>0</v>
      </c>
      <c r="O446" s="114" t="n">
        <v>0</v>
      </c>
      <c r="P446" s="114" t="n">
        <v>0</v>
      </c>
      <c r="Q446" s="114" t="n">
        <v>0</v>
      </c>
      <c r="R446" s="114" t="n">
        <v>38236.87</v>
      </c>
      <c r="S446" s="114" t="n">
        <v>18000</v>
      </c>
      <c r="T446" s="115" t="n"/>
      <c r="U446" s="0" t="n"/>
      <c r="V446" s="0" t="n"/>
      <c r="W446" s="0" t="n"/>
      <c r="X446" s="0" t="n"/>
      <c r="Y446" s="0" t="n"/>
      <c r="Z446" s="0" t="n"/>
      <c r="AA446" s="0" t="n"/>
      <c r="AB446" s="0" t="n"/>
      <c r="AC446" s="0" t="n"/>
      <c r="AD446" s="0" t="n"/>
      <c r="AE446" s="0" t="n"/>
      <c r="AF446" s="0" t="n"/>
      <c r="AG446" s="0" t="n"/>
      <c r="AH446" s="0" t="n"/>
      <c r="AI446" s="0" t="n"/>
      <c r="AJ446" s="0" t="n"/>
      <c r="AK446" s="0" t="n"/>
      <c r="AL446" s="0" t="n"/>
      <c r="AM446" s="0" t="n"/>
      <c r="AN446" s="0" t="n"/>
      <c r="AO446" s="0" t="n"/>
      <c r="AP446" s="0" t="n"/>
      <c r="AQ446" s="0" t="n"/>
      <c r="AR446" s="0" t="n"/>
      <c r="AS446" s="0" t="n"/>
      <c r="AT446" s="0" t="n"/>
      <c r="AU446" s="0" t="n"/>
      <c r="AV446" s="0" t="n"/>
      <c r="AW446" s="0" t="n"/>
      <c r="AX446" s="0" t="n"/>
      <c r="AY446" s="0" t="n"/>
      <c r="AZ446" s="0" t="n"/>
      <c r="BA446" s="0" t="n"/>
      <c r="BB446" s="0" t="n"/>
      <c r="BC446" s="0" t="n"/>
      <c r="BD446" s="0" t="n"/>
      <c r="BE446" s="0" t="n"/>
      <c r="BF446" s="0" t="n"/>
      <c r="BG446" s="0" t="n"/>
      <c r="BH446" s="0" t="n"/>
      <c r="BI446" s="0" t="n"/>
      <c r="BJ446" s="0" t="n"/>
      <c r="BK446" s="0" t="n"/>
      <c r="BL446" s="0" t="n"/>
      <c r="BM446" s="0" t="n"/>
      <c r="BN446" s="0" t="n"/>
      <c r="BO446" s="0" t="n"/>
      <c r="BP446" s="0" t="n"/>
    </row>
    <row hidden="false" ht="15" outlineLevel="0" r="447">
      <c r="A447" s="116" t="n">
        <f aca="false" ca="false" dt2D="false" dtr="false" t="normal">+A446+1</f>
        <v>426</v>
      </c>
      <c r="B447" s="117" t="n">
        <f aca="false" ca="false" dt2D="false" dtr="false" t="normal">+B446+1</f>
        <v>215</v>
      </c>
      <c r="C447" s="104" t="s">
        <v>207</v>
      </c>
      <c r="D447" s="117" t="s">
        <v>496</v>
      </c>
      <c r="E447" s="113" t="n">
        <f aca="false" ca="true" dt2D="false" dtr="false" t="normal">SUBTOTAL(9, F447:T447)</f>
        <v>3055335.82</v>
      </c>
      <c r="F447" s="114" t="n">
        <v>1703436.36</v>
      </c>
      <c r="G447" s="114" t="n">
        <v>859294.68</v>
      </c>
      <c r="H447" s="114" t="n"/>
      <c r="I447" s="114" t="n">
        <v>422101.36</v>
      </c>
      <c r="J447" s="114" t="n">
        <v>0</v>
      </c>
      <c r="K447" s="114" t="n"/>
      <c r="L447" s="114" t="n"/>
      <c r="M447" s="114" t="n">
        <v>0</v>
      </c>
      <c r="N447" s="114" t="n">
        <v>0</v>
      </c>
      <c r="O447" s="114" t="n">
        <v>0</v>
      </c>
      <c r="P447" s="114" t="n">
        <v>0</v>
      </c>
      <c r="Q447" s="114" t="n">
        <v>0</v>
      </c>
      <c r="R447" s="114" t="n">
        <v>52503.42</v>
      </c>
      <c r="S447" s="114" t="n">
        <v>18000</v>
      </c>
      <c r="T447" s="115" t="n"/>
      <c r="U447" s="0" t="n"/>
      <c r="V447" s="0" t="n"/>
      <c r="W447" s="0" t="n"/>
      <c r="X447" s="0" t="n"/>
      <c r="Y447" s="0" t="n"/>
      <c r="Z447" s="0" t="n"/>
      <c r="AA447" s="0" t="n"/>
      <c r="AB447" s="0" t="n"/>
      <c r="AC447" s="0" t="n"/>
      <c r="AD447" s="0" t="n"/>
      <c r="AE447" s="0" t="n"/>
      <c r="AF447" s="0" t="n"/>
      <c r="AG447" s="0" t="n"/>
      <c r="AH447" s="0" t="n"/>
      <c r="AI447" s="0" t="n"/>
      <c r="AJ447" s="0" t="n"/>
      <c r="AK447" s="0" t="n"/>
      <c r="AL447" s="0" t="n"/>
      <c r="AM447" s="0" t="n"/>
      <c r="AN447" s="0" t="n"/>
      <c r="AO447" s="0" t="n"/>
      <c r="AP447" s="0" t="n"/>
      <c r="AQ447" s="0" t="n"/>
      <c r="AR447" s="0" t="n"/>
      <c r="AS447" s="0" t="n"/>
      <c r="AT447" s="0" t="n"/>
      <c r="AU447" s="0" t="n"/>
      <c r="AV447" s="0" t="n"/>
      <c r="AW447" s="0" t="n"/>
      <c r="AX447" s="0" t="n"/>
      <c r="AY447" s="0" t="n"/>
      <c r="AZ447" s="0" t="n"/>
      <c r="BA447" s="0" t="n"/>
      <c r="BB447" s="0" t="n"/>
      <c r="BC447" s="0" t="n"/>
      <c r="BD447" s="0" t="n"/>
      <c r="BE447" s="0" t="n"/>
      <c r="BF447" s="0" t="n"/>
      <c r="BG447" s="0" t="n"/>
      <c r="BH447" s="0" t="n"/>
      <c r="BI447" s="0" t="n"/>
      <c r="BJ447" s="0" t="n"/>
      <c r="BK447" s="0" t="n"/>
      <c r="BL447" s="0" t="n"/>
      <c r="BM447" s="0" t="n"/>
      <c r="BN447" s="0" t="n"/>
      <c r="BO447" s="0" t="n"/>
      <c r="BP447" s="0" t="n"/>
    </row>
    <row hidden="false" ht="15" outlineLevel="0" r="448">
      <c r="A448" s="116" t="n">
        <f aca="false" ca="false" dt2D="false" dtr="false" t="normal">+A447+1</f>
        <v>427</v>
      </c>
      <c r="B448" s="117" t="n">
        <f aca="false" ca="false" dt2D="false" dtr="false" t="normal">+B447+1</f>
        <v>216</v>
      </c>
      <c r="C448" s="104" t="s">
        <v>209</v>
      </c>
      <c r="D448" s="117" t="s">
        <v>211</v>
      </c>
      <c r="E448" s="113" t="n">
        <f aca="false" ca="true" dt2D="false" dtr="false" t="normal">SUBTOTAL(9, F448:T448)</f>
        <v>226071.44</v>
      </c>
      <c r="F448" s="114" t="n">
        <v>0</v>
      </c>
      <c r="G448" s="114" t="n">
        <v>0</v>
      </c>
      <c r="H448" s="114" t="n">
        <v>226071.44</v>
      </c>
      <c r="I448" s="114" t="n">
        <v>0</v>
      </c>
      <c r="J448" s="114" t="n">
        <v>0</v>
      </c>
      <c r="K448" s="114" t="n"/>
      <c r="L448" s="114" t="n"/>
      <c r="M448" s="114" t="n">
        <v>0</v>
      </c>
      <c r="N448" s="114" t="n"/>
      <c r="O448" s="114" t="n">
        <v>0</v>
      </c>
      <c r="P448" s="114" t="n">
        <v>0</v>
      </c>
      <c r="Q448" s="114" t="n">
        <v>0</v>
      </c>
      <c r="R448" s="114" t="n"/>
      <c r="S448" s="114" t="n"/>
      <c r="T448" s="115" t="n"/>
      <c r="U448" s="0" t="n"/>
      <c r="V448" s="0" t="n"/>
      <c r="W448" s="0" t="n"/>
      <c r="X448" s="0" t="n"/>
      <c r="Y448" s="0" t="n"/>
      <c r="Z448" s="0" t="n"/>
      <c r="AA448" s="0" t="n"/>
      <c r="AB448" s="0" t="n"/>
      <c r="AC448" s="0" t="n"/>
      <c r="AD448" s="0" t="n"/>
      <c r="AE448" s="0" t="n"/>
      <c r="AF448" s="0" t="n"/>
      <c r="AG448" s="0" t="n"/>
      <c r="AH448" s="0" t="n"/>
      <c r="AI448" s="0" t="n"/>
      <c r="AJ448" s="0" t="n"/>
      <c r="AK448" s="0" t="n"/>
      <c r="AL448" s="0" t="n"/>
      <c r="AM448" s="0" t="n"/>
      <c r="AN448" s="0" t="n"/>
      <c r="AO448" s="0" t="n"/>
      <c r="AP448" s="0" t="n"/>
      <c r="AQ448" s="0" t="n"/>
      <c r="AR448" s="0" t="n"/>
      <c r="AS448" s="0" t="n"/>
      <c r="AT448" s="0" t="n"/>
      <c r="AU448" s="0" t="n"/>
      <c r="AV448" s="0" t="n"/>
      <c r="AW448" s="0" t="n"/>
      <c r="AX448" s="0" t="n"/>
      <c r="AY448" s="0" t="n"/>
      <c r="AZ448" s="0" t="n"/>
      <c r="BA448" s="0" t="n"/>
      <c r="BB448" s="0" t="n"/>
      <c r="BC448" s="0" t="n"/>
      <c r="BD448" s="0" t="n"/>
      <c r="BE448" s="0" t="n"/>
      <c r="BF448" s="0" t="n"/>
      <c r="BG448" s="0" t="n"/>
      <c r="BH448" s="0" t="n"/>
      <c r="BI448" s="0" t="n"/>
      <c r="BJ448" s="0" t="n"/>
      <c r="BK448" s="0" t="n"/>
      <c r="BL448" s="0" t="n"/>
      <c r="BM448" s="0" t="n"/>
      <c r="BN448" s="0" t="n"/>
      <c r="BO448" s="0" t="n"/>
      <c r="BP448" s="0" t="n"/>
    </row>
    <row hidden="false" ht="15" outlineLevel="0" r="449">
      <c r="A449" s="116" t="n">
        <f aca="false" ca="false" dt2D="false" dtr="false" t="normal">+A448+1</f>
        <v>428</v>
      </c>
      <c r="B449" s="117" t="n">
        <f aca="false" ca="false" dt2D="false" dtr="false" t="normal">+B448+1</f>
        <v>217</v>
      </c>
      <c r="C449" s="104" t="s">
        <v>209</v>
      </c>
      <c r="D449" s="117" t="s">
        <v>214</v>
      </c>
      <c r="E449" s="113" t="n">
        <f aca="false" ca="true" dt2D="false" dtr="false" t="normal">SUBTOTAL(9, F449:T449)</f>
        <v>240520.96</v>
      </c>
      <c r="F449" s="114" t="n">
        <v>0</v>
      </c>
      <c r="G449" s="114" t="n">
        <v>0</v>
      </c>
      <c r="H449" s="114" t="n">
        <v>240520.96</v>
      </c>
      <c r="I449" s="114" t="n">
        <v>0</v>
      </c>
      <c r="J449" s="114" t="n">
        <v>0</v>
      </c>
      <c r="K449" s="114" t="n"/>
      <c r="L449" s="114" t="n"/>
      <c r="M449" s="114" t="n">
        <v>0</v>
      </c>
      <c r="N449" s="114" t="n"/>
      <c r="O449" s="114" t="n">
        <v>0</v>
      </c>
      <c r="P449" s="114" t="n">
        <v>0</v>
      </c>
      <c r="Q449" s="114" t="n">
        <v>0</v>
      </c>
      <c r="R449" s="114" t="n"/>
      <c r="S449" s="114" t="n"/>
      <c r="T449" s="115" t="n"/>
      <c r="U449" s="0" t="n"/>
      <c r="V449" s="0" t="n"/>
      <c r="W449" s="0" t="n"/>
      <c r="X449" s="0" t="n"/>
      <c r="Y449" s="0" t="n"/>
      <c r="Z449" s="0" t="n"/>
      <c r="AA449" s="0" t="n"/>
      <c r="AB449" s="0" t="n"/>
      <c r="AC449" s="0" t="n"/>
      <c r="AD449" s="0" t="n"/>
      <c r="AE449" s="0" t="n"/>
      <c r="AF449" s="0" t="n"/>
      <c r="AG449" s="0" t="n"/>
      <c r="AH449" s="0" t="n"/>
      <c r="AI449" s="0" t="n"/>
      <c r="AJ449" s="0" t="n"/>
      <c r="AK449" s="0" t="n"/>
      <c r="AL449" s="0" t="n"/>
      <c r="AM449" s="0" t="n"/>
      <c r="AN449" s="0" t="n"/>
      <c r="AO449" s="0" t="n"/>
      <c r="AP449" s="0" t="n"/>
      <c r="AQ449" s="0" t="n"/>
      <c r="AR449" s="0" t="n"/>
      <c r="AS449" s="0" t="n"/>
      <c r="AT449" s="0" t="n"/>
      <c r="AU449" s="0" t="n"/>
      <c r="AV449" s="0" t="n"/>
      <c r="AW449" s="0" t="n"/>
      <c r="AX449" s="0" t="n"/>
      <c r="AY449" s="0" t="n"/>
      <c r="AZ449" s="0" t="n"/>
      <c r="BA449" s="0" t="n"/>
      <c r="BB449" s="0" t="n"/>
      <c r="BC449" s="0" t="n"/>
      <c r="BD449" s="0" t="n"/>
      <c r="BE449" s="0" t="n"/>
      <c r="BF449" s="0" t="n"/>
      <c r="BG449" s="0" t="n"/>
      <c r="BH449" s="0" t="n"/>
      <c r="BI449" s="0" t="n"/>
      <c r="BJ449" s="0" t="n"/>
      <c r="BK449" s="0" t="n"/>
      <c r="BL449" s="0" t="n"/>
      <c r="BM449" s="0" t="n"/>
      <c r="BN449" s="0" t="n"/>
      <c r="BO449" s="0" t="n"/>
      <c r="BP449" s="0" t="n"/>
    </row>
    <row hidden="false" ht="15" outlineLevel="0" r="450">
      <c r="A450" s="116" t="n">
        <f aca="false" ca="false" dt2D="false" dtr="false" t="normal">+A449+1</f>
        <v>429</v>
      </c>
      <c r="B450" s="117" t="n">
        <f aca="false" ca="false" dt2D="false" dtr="false" t="normal">+B449+1</f>
        <v>218</v>
      </c>
      <c r="C450" s="104" t="s">
        <v>209</v>
      </c>
      <c r="D450" s="117" t="s">
        <v>497</v>
      </c>
      <c r="E450" s="113" t="n">
        <f aca="false" ca="true" dt2D="false" dtr="false" t="normal">SUBTOTAL(9, F450:T450)</f>
        <v>253456.48</v>
      </c>
      <c r="F450" s="114" t="n">
        <v>0</v>
      </c>
      <c r="G450" s="114" t="n">
        <v>0</v>
      </c>
      <c r="H450" s="114" t="n">
        <v>253456.48</v>
      </c>
      <c r="I450" s="114" t="n">
        <v>0</v>
      </c>
      <c r="J450" s="114" t="n">
        <v>0</v>
      </c>
      <c r="K450" s="114" t="n"/>
      <c r="L450" s="114" t="n"/>
      <c r="M450" s="114" t="n">
        <v>0</v>
      </c>
      <c r="N450" s="114" t="n">
        <v>0</v>
      </c>
      <c r="O450" s="114" t="n">
        <v>0</v>
      </c>
      <c r="P450" s="114" t="n">
        <v>0</v>
      </c>
      <c r="Q450" s="114" t="n">
        <v>0</v>
      </c>
      <c r="R450" s="114" t="n"/>
      <c r="S450" s="114" t="n"/>
      <c r="T450" s="115" t="n"/>
      <c r="U450" s="0" t="n"/>
      <c r="V450" s="0" t="n"/>
      <c r="W450" s="0" t="n"/>
      <c r="X450" s="0" t="n"/>
      <c r="Y450" s="0" t="n"/>
      <c r="Z450" s="0" t="n"/>
      <c r="AA450" s="0" t="n"/>
      <c r="AB450" s="0" t="n"/>
      <c r="AC450" s="0" t="n"/>
      <c r="AD450" s="0" t="n"/>
      <c r="AE450" s="0" t="n"/>
      <c r="AF450" s="0" t="n"/>
      <c r="AG450" s="0" t="n"/>
      <c r="AH450" s="0" t="n"/>
      <c r="AI450" s="0" t="n"/>
      <c r="AJ450" s="0" t="n"/>
      <c r="AK450" s="0" t="n"/>
      <c r="AL450" s="0" t="n"/>
      <c r="AM450" s="0" t="n"/>
      <c r="AN450" s="0" t="n"/>
      <c r="AO450" s="0" t="n"/>
      <c r="AP450" s="0" t="n"/>
      <c r="AQ450" s="0" t="n"/>
      <c r="AR450" s="0" t="n"/>
      <c r="AS450" s="0" t="n"/>
      <c r="AT450" s="0" t="n"/>
      <c r="AU450" s="0" t="n"/>
      <c r="AV450" s="0" t="n"/>
      <c r="AW450" s="0" t="n"/>
      <c r="AX450" s="0" t="n"/>
      <c r="AY450" s="0" t="n"/>
      <c r="AZ450" s="0" t="n"/>
      <c r="BA450" s="0" t="n"/>
      <c r="BB450" s="0" t="n"/>
      <c r="BC450" s="0" t="n"/>
      <c r="BD450" s="0" t="n"/>
      <c r="BE450" s="0" t="n"/>
      <c r="BF450" s="0" t="n"/>
      <c r="BG450" s="0" t="n"/>
      <c r="BH450" s="0" t="n"/>
      <c r="BI450" s="0" t="n"/>
      <c r="BJ450" s="0" t="n"/>
      <c r="BK450" s="0" t="n"/>
      <c r="BL450" s="0" t="n"/>
      <c r="BM450" s="0" t="n"/>
      <c r="BN450" s="0" t="n"/>
      <c r="BO450" s="0" t="n"/>
      <c r="BP450" s="0" t="n"/>
    </row>
    <row hidden="false" ht="15" outlineLevel="0" r="451">
      <c r="A451" s="116" t="n">
        <f aca="false" ca="false" dt2D="false" dtr="false" t="normal">+A450+1</f>
        <v>430</v>
      </c>
      <c r="B451" s="117" t="n">
        <f aca="false" ca="false" dt2D="false" dtr="false" t="normal">+B450+1</f>
        <v>219</v>
      </c>
      <c r="C451" s="104" t="s">
        <v>209</v>
      </c>
      <c r="D451" s="117" t="s">
        <v>498</v>
      </c>
      <c r="E451" s="113" t="n">
        <f aca="false" ca="true" dt2D="false" dtr="false" t="normal">SUBTOTAL(9, F451:T451)</f>
        <v>620415.33</v>
      </c>
      <c r="F451" s="114" t="n"/>
      <c r="G451" s="114" t="n">
        <v>601824.37</v>
      </c>
      <c r="H451" s="114" t="n"/>
      <c r="I451" s="114" t="n"/>
      <c r="J451" s="114" t="n">
        <v>0</v>
      </c>
      <c r="K451" s="114" t="n"/>
      <c r="L451" s="114" t="n"/>
      <c r="M451" s="114" t="n">
        <v>0</v>
      </c>
      <c r="N451" s="114" t="n"/>
      <c r="O451" s="114" t="n">
        <v>0</v>
      </c>
      <c r="P451" s="114" t="n">
        <v>0</v>
      </c>
      <c r="Q451" s="114" t="n">
        <v>0</v>
      </c>
      <c r="R451" s="114" t="n">
        <v>13790.96</v>
      </c>
      <c r="S451" s="114" t="n">
        <v>4800</v>
      </c>
      <c r="T451" s="115" t="n"/>
      <c r="U451" s="0" t="n"/>
      <c r="V451" s="0" t="n"/>
      <c r="W451" s="0" t="n"/>
      <c r="X451" s="0" t="n"/>
      <c r="Y451" s="0" t="n"/>
      <c r="Z451" s="0" t="n"/>
      <c r="AA451" s="0" t="n"/>
      <c r="AB451" s="0" t="n"/>
      <c r="AC451" s="0" t="n"/>
      <c r="AD451" s="0" t="n"/>
      <c r="AE451" s="0" t="n"/>
      <c r="AF451" s="0" t="n"/>
      <c r="AG451" s="0" t="n"/>
      <c r="AH451" s="0" t="n"/>
      <c r="AI451" s="0" t="n"/>
      <c r="AJ451" s="0" t="n"/>
      <c r="AK451" s="0" t="n"/>
      <c r="AL451" s="0" t="n"/>
      <c r="AM451" s="0" t="n"/>
      <c r="AN451" s="0" t="n"/>
      <c r="AO451" s="0" t="n"/>
      <c r="AP451" s="0" t="n"/>
      <c r="AQ451" s="0" t="n"/>
      <c r="AR451" s="0" t="n"/>
      <c r="AS451" s="0" t="n"/>
      <c r="AT451" s="0" t="n"/>
      <c r="AU451" s="0" t="n"/>
      <c r="AV451" s="0" t="n"/>
      <c r="AW451" s="0" t="n"/>
      <c r="AX451" s="0" t="n"/>
      <c r="AY451" s="0" t="n"/>
      <c r="AZ451" s="0" t="n"/>
      <c r="BA451" s="0" t="n"/>
      <c r="BB451" s="0" t="n"/>
      <c r="BC451" s="0" t="n"/>
      <c r="BD451" s="0" t="n"/>
      <c r="BE451" s="0" t="n"/>
      <c r="BF451" s="0" t="n"/>
      <c r="BG451" s="0" t="n"/>
      <c r="BH451" s="0" t="n"/>
      <c r="BI451" s="0" t="n"/>
      <c r="BJ451" s="0" t="n"/>
      <c r="BK451" s="0" t="n"/>
      <c r="BL451" s="0" t="n"/>
      <c r="BM451" s="0" t="n"/>
      <c r="BN451" s="0" t="n"/>
      <c r="BO451" s="0" t="n"/>
      <c r="BP451" s="0" t="n"/>
    </row>
    <row hidden="false" ht="15" outlineLevel="0" r="452">
      <c r="A452" s="116" t="n">
        <f aca="false" ca="false" dt2D="false" dtr="false" t="normal">+A451+1</f>
        <v>431</v>
      </c>
      <c r="B452" s="117" t="s">
        <v>463</v>
      </c>
      <c r="C452" s="104" t="s">
        <v>209</v>
      </c>
      <c r="D452" s="117" t="s">
        <v>210</v>
      </c>
      <c r="E452" s="113" t="n">
        <f aca="false" ca="true" dt2D="false" dtr="false" t="normal">SUBTOTAL(9, F452:T452)</f>
        <v>223889.01</v>
      </c>
      <c r="F452" s="114" t="n"/>
      <c r="G452" s="114" t="n"/>
      <c r="H452" s="114" t="n">
        <v>0</v>
      </c>
      <c r="I452" s="114" t="n">
        <v>223889.01</v>
      </c>
      <c r="J452" s="114" t="n"/>
      <c r="K452" s="114" t="n"/>
      <c r="L452" s="114" t="n"/>
      <c r="M452" s="114" t="n">
        <v>0</v>
      </c>
      <c r="N452" s="114" t="n">
        <v>0</v>
      </c>
      <c r="O452" s="114" t="n"/>
      <c r="P452" s="114" t="n">
        <v>0</v>
      </c>
      <c r="Q452" s="114" t="n"/>
      <c r="R452" s="114" t="n"/>
      <c r="S452" s="114" t="n"/>
      <c r="T452" s="115" t="n"/>
      <c r="U452" s="0" t="n"/>
      <c r="V452" s="0" t="n"/>
      <c r="W452" s="0" t="n"/>
      <c r="X452" s="0" t="n"/>
      <c r="Y452" s="0" t="n"/>
      <c r="Z452" s="0" t="n"/>
      <c r="AA452" s="0" t="n"/>
      <c r="AB452" s="0" t="n"/>
      <c r="AC452" s="0" t="n"/>
      <c r="AD452" s="0" t="n"/>
      <c r="AE452" s="0" t="n"/>
      <c r="AF452" s="0" t="n"/>
      <c r="AG452" s="0" t="n"/>
      <c r="AH452" s="0" t="n"/>
      <c r="AI452" s="0" t="n"/>
      <c r="AJ452" s="0" t="n"/>
      <c r="AK452" s="0" t="n"/>
      <c r="AL452" s="0" t="n"/>
      <c r="AM452" s="0" t="n"/>
      <c r="AN452" s="0" t="n"/>
      <c r="AO452" s="0" t="n"/>
      <c r="AP452" s="0" t="n"/>
      <c r="AQ452" s="0" t="n"/>
      <c r="AR452" s="0" t="n"/>
      <c r="AS452" s="0" t="n"/>
      <c r="AT452" s="0" t="n"/>
      <c r="AU452" s="0" t="n"/>
      <c r="AV452" s="0" t="n"/>
      <c r="AW452" s="0" t="n"/>
      <c r="AX452" s="0" t="n"/>
      <c r="AY452" s="0" t="n"/>
      <c r="AZ452" s="0" t="n"/>
      <c r="BA452" s="0" t="n"/>
      <c r="BB452" s="0" t="n"/>
      <c r="BC452" s="0" t="n"/>
      <c r="BD452" s="0" t="n"/>
      <c r="BE452" s="0" t="n"/>
      <c r="BF452" s="0" t="n"/>
      <c r="BG452" s="0" t="n"/>
      <c r="BH452" s="0" t="n"/>
      <c r="BI452" s="0" t="n"/>
      <c r="BJ452" s="0" t="n"/>
      <c r="BK452" s="0" t="n"/>
      <c r="BL452" s="0" t="n"/>
      <c r="BM452" s="0" t="n"/>
      <c r="BN452" s="0" t="n"/>
      <c r="BO452" s="0" t="n"/>
      <c r="BP452" s="0" t="n"/>
    </row>
    <row customHeight="true" hidden="false" ht="13.5" outlineLevel="0" r="453">
      <c r="A453" s="116" t="n">
        <f aca="false" ca="false" dt2D="false" dtr="false" t="normal">+A452+1</f>
        <v>432</v>
      </c>
      <c r="B453" s="117" t="s">
        <v>463</v>
      </c>
      <c r="C453" s="104" t="s">
        <v>209</v>
      </c>
      <c r="D453" s="117" t="s">
        <v>212</v>
      </c>
      <c r="E453" s="113" t="n">
        <f aca="false" ca="true" dt2D="false" dtr="false" t="normal">SUBTOTAL(9, F453:T453)</f>
        <v>223889.01</v>
      </c>
      <c r="F453" s="114" t="n"/>
      <c r="G453" s="114" t="n"/>
      <c r="H453" s="114" t="n">
        <v>0</v>
      </c>
      <c r="I453" s="114" t="n">
        <v>223889.01</v>
      </c>
      <c r="J453" s="114" t="n"/>
      <c r="K453" s="114" t="n"/>
      <c r="L453" s="114" t="n"/>
      <c r="M453" s="114" t="n">
        <v>0</v>
      </c>
      <c r="N453" s="114" t="n">
        <v>0</v>
      </c>
      <c r="O453" s="114" t="n"/>
      <c r="P453" s="114" t="n">
        <v>0</v>
      </c>
      <c r="Q453" s="114" t="n"/>
      <c r="R453" s="114" t="n"/>
      <c r="S453" s="114" t="n"/>
      <c r="T453" s="115" t="n"/>
      <c r="U453" s="0" t="n"/>
      <c r="V453" s="0" t="n"/>
      <c r="W453" s="0" t="n"/>
      <c r="X453" s="0" t="n"/>
      <c r="Y453" s="0" t="n"/>
      <c r="Z453" s="0" t="n"/>
      <c r="AA453" s="0" t="n"/>
      <c r="AB453" s="0" t="n"/>
      <c r="AC453" s="0" t="n"/>
      <c r="AD453" s="0" t="n"/>
      <c r="AE453" s="0" t="n"/>
      <c r="AF453" s="0" t="n"/>
      <c r="AG453" s="0" t="n"/>
      <c r="AH453" s="0" t="n"/>
      <c r="AI453" s="0" t="n"/>
      <c r="AJ453" s="0" t="n"/>
      <c r="AK453" s="0" t="n"/>
      <c r="AL453" s="0" t="n"/>
      <c r="AM453" s="0" t="n"/>
      <c r="AN453" s="0" t="n"/>
      <c r="AO453" s="0" t="n"/>
      <c r="AP453" s="0" t="n"/>
      <c r="AQ453" s="0" t="n"/>
      <c r="AR453" s="0" t="n"/>
      <c r="AS453" s="0" t="n"/>
      <c r="AT453" s="0" t="n"/>
      <c r="AU453" s="0" t="n"/>
      <c r="AV453" s="0" t="n"/>
      <c r="AW453" s="0" t="n"/>
      <c r="AX453" s="0" t="n"/>
      <c r="AY453" s="0" t="n"/>
      <c r="AZ453" s="0" t="n"/>
      <c r="BA453" s="0" t="n"/>
      <c r="BB453" s="0" t="n"/>
      <c r="BC453" s="0" t="n"/>
      <c r="BD453" s="0" t="n"/>
      <c r="BE453" s="0" t="n"/>
      <c r="BF453" s="0" t="n"/>
      <c r="BG453" s="0" t="n"/>
      <c r="BH453" s="0" t="n"/>
      <c r="BI453" s="0" t="n"/>
      <c r="BJ453" s="0" t="n"/>
      <c r="BK453" s="0" t="n"/>
      <c r="BL453" s="0" t="n"/>
      <c r="BM453" s="0" t="n"/>
      <c r="BN453" s="0" t="n"/>
      <c r="BO453" s="0" t="n"/>
      <c r="BP453" s="0" t="n"/>
    </row>
    <row hidden="false" ht="15" outlineLevel="0" r="454">
      <c r="A454" s="116" t="n">
        <f aca="false" ca="false" dt2D="false" dtr="false" t="normal">+A453+1</f>
        <v>433</v>
      </c>
      <c r="B454" s="117" t="n">
        <v>220</v>
      </c>
      <c r="C454" s="104" t="s">
        <v>209</v>
      </c>
      <c r="D454" s="117" t="s">
        <v>213</v>
      </c>
      <c r="E454" s="113" t="n">
        <f aca="false" ca="true" dt2D="false" dtr="false" t="normal">SUBTOTAL(9, F454:T454)</f>
        <v>2917814.5300000003</v>
      </c>
      <c r="F454" s="114" t="n"/>
      <c r="G454" s="114" t="n"/>
      <c r="H454" s="114" t="n">
        <v>0</v>
      </c>
      <c r="I454" s="114" t="n">
        <v>278729.45</v>
      </c>
      <c r="J454" s="114" t="n"/>
      <c r="K454" s="114" t="n"/>
      <c r="L454" s="114" t="n"/>
      <c r="M454" s="114" t="n">
        <v>0</v>
      </c>
      <c r="N454" s="114" t="n">
        <v>0</v>
      </c>
      <c r="O454" s="114" t="n">
        <v>2639085.08</v>
      </c>
      <c r="P454" s="114" t="n">
        <v>0</v>
      </c>
      <c r="Q454" s="114" t="n"/>
      <c r="R454" s="114" t="n"/>
      <c r="S454" s="114" t="n"/>
      <c r="T454" s="115" t="n"/>
      <c r="U454" s="0" t="n"/>
      <c r="V454" s="0" t="n"/>
      <c r="W454" s="0" t="n"/>
      <c r="X454" s="0" t="n"/>
      <c r="Y454" s="0" t="n"/>
      <c r="Z454" s="0" t="n"/>
      <c r="AA454" s="0" t="n"/>
      <c r="AB454" s="0" t="n"/>
      <c r="AC454" s="0" t="n"/>
      <c r="AD454" s="0" t="n"/>
      <c r="AE454" s="0" t="n"/>
      <c r="AF454" s="0" t="n"/>
      <c r="AG454" s="0" t="n"/>
      <c r="AH454" s="0" t="n"/>
      <c r="AI454" s="0" t="n"/>
      <c r="AJ454" s="0" t="n"/>
      <c r="AK454" s="0" t="n"/>
      <c r="AL454" s="0" t="n"/>
      <c r="AM454" s="0" t="n"/>
      <c r="AN454" s="0" t="n"/>
      <c r="AO454" s="0" t="n"/>
      <c r="AP454" s="0" t="n"/>
      <c r="AQ454" s="0" t="n"/>
      <c r="AR454" s="0" t="n"/>
      <c r="AS454" s="0" t="n"/>
      <c r="AT454" s="0" t="n"/>
      <c r="AU454" s="0" t="n"/>
      <c r="AV454" s="0" t="n"/>
      <c r="AW454" s="0" t="n"/>
      <c r="AX454" s="0" t="n"/>
      <c r="AY454" s="0" t="n"/>
      <c r="AZ454" s="0" t="n"/>
      <c r="BA454" s="0" t="n"/>
      <c r="BB454" s="0" t="n"/>
      <c r="BC454" s="0" t="n"/>
      <c r="BD454" s="0" t="n"/>
      <c r="BE454" s="0" t="n"/>
      <c r="BF454" s="0" t="n"/>
      <c r="BG454" s="0" t="n"/>
      <c r="BH454" s="0" t="n"/>
      <c r="BI454" s="0" t="n"/>
      <c r="BJ454" s="0" t="n"/>
      <c r="BK454" s="0" t="n"/>
      <c r="BL454" s="0" t="n"/>
      <c r="BM454" s="0" t="n"/>
      <c r="BN454" s="0" t="n"/>
      <c r="BO454" s="0" t="n"/>
      <c r="BP454" s="0" t="n"/>
    </row>
    <row hidden="false" ht="15" outlineLevel="0" r="455">
      <c r="A455" s="116" t="n">
        <f aca="false" ca="false" dt2D="false" dtr="false" t="normal">+A454+1</f>
        <v>434</v>
      </c>
      <c r="B455" s="117" t="n">
        <v>221</v>
      </c>
      <c r="C455" s="104" t="s">
        <v>404</v>
      </c>
      <c r="D455" s="117" t="s">
        <v>499</v>
      </c>
      <c r="E455" s="113" t="n">
        <f aca="false" ca="true" dt2D="false" dtr="false" t="normal">SUBTOTAL(9, F455:T455)</f>
        <v>492037.06</v>
      </c>
      <c r="F455" s="114" t="n"/>
      <c r="G455" s="114" t="n"/>
      <c r="H455" s="114" t="n"/>
      <c r="I455" s="114" t="n">
        <v>492037.06</v>
      </c>
      <c r="J455" s="114" t="n">
        <v>0</v>
      </c>
      <c r="K455" s="114" t="n"/>
      <c r="L455" s="114" t="n"/>
      <c r="M455" s="114" t="n">
        <v>0</v>
      </c>
      <c r="N455" s="114" t="n">
        <v>0</v>
      </c>
      <c r="O455" s="114" t="n">
        <v>0</v>
      </c>
      <c r="P455" s="114" t="n">
        <v>0</v>
      </c>
      <c r="Q455" s="114" t="n">
        <v>0</v>
      </c>
      <c r="R455" s="114" t="n"/>
      <c r="S455" s="114" t="n"/>
      <c r="T455" s="115" t="n"/>
      <c r="U455" s="0" t="n"/>
      <c r="V455" s="0" t="n"/>
      <c r="W455" s="0" t="n"/>
      <c r="X455" s="0" t="n"/>
      <c r="Y455" s="0" t="n"/>
      <c r="Z455" s="0" t="n"/>
      <c r="AA455" s="0" t="n"/>
      <c r="AB455" s="0" t="n"/>
      <c r="AC455" s="0" t="n"/>
      <c r="AD455" s="0" t="n"/>
      <c r="AE455" s="0" t="n"/>
      <c r="AF455" s="0" t="n"/>
      <c r="AG455" s="0" t="n"/>
      <c r="AH455" s="0" t="n"/>
      <c r="AI455" s="0" t="n"/>
      <c r="AJ455" s="0" t="n"/>
      <c r="AK455" s="0" t="n"/>
      <c r="AL455" s="0" t="n"/>
      <c r="AM455" s="0" t="n"/>
      <c r="AN455" s="0" t="n"/>
      <c r="AO455" s="0" t="n"/>
      <c r="AP455" s="0" t="n"/>
      <c r="AQ455" s="0" t="n"/>
      <c r="AR455" s="0" t="n"/>
      <c r="AS455" s="0" t="n"/>
      <c r="AT455" s="0" t="n"/>
      <c r="AU455" s="0" t="n"/>
      <c r="AV455" s="0" t="n"/>
      <c r="AW455" s="0" t="n"/>
      <c r="AX455" s="0" t="n"/>
      <c r="AY455" s="0" t="n"/>
      <c r="AZ455" s="0" t="n"/>
      <c r="BA455" s="0" t="n"/>
      <c r="BB455" s="0" t="n"/>
      <c r="BC455" s="0" t="n"/>
      <c r="BD455" s="0" t="n"/>
      <c r="BE455" s="0" t="n"/>
      <c r="BF455" s="0" t="n"/>
      <c r="BG455" s="0" t="n"/>
      <c r="BH455" s="0" t="n"/>
      <c r="BI455" s="0" t="n"/>
      <c r="BJ455" s="0" t="n"/>
      <c r="BK455" s="0" t="n"/>
      <c r="BL455" s="0" t="n"/>
      <c r="BM455" s="0" t="n"/>
      <c r="BN455" s="0" t="n"/>
      <c r="BO455" s="0" t="n"/>
      <c r="BP455" s="0" t="n"/>
    </row>
    <row hidden="false" ht="15" outlineLevel="0" r="456">
      <c r="A456" s="116" t="n">
        <f aca="false" ca="false" dt2D="false" dtr="false" t="normal">+A455+1</f>
        <v>435</v>
      </c>
      <c r="B456" s="117" t="n">
        <v>222</v>
      </c>
      <c r="C456" s="104" t="s">
        <v>404</v>
      </c>
      <c r="D456" s="117" t="s">
        <v>500</v>
      </c>
      <c r="E456" s="113" t="n">
        <f aca="false" ca="true" dt2D="false" dtr="false" t="normal">SUBTOTAL(9, F456:T456)</f>
        <v>422534</v>
      </c>
      <c r="F456" s="114" t="n"/>
      <c r="G456" s="114" t="n"/>
      <c r="H456" s="114" t="n"/>
      <c r="I456" s="114" t="n">
        <v>422534</v>
      </c>
      <c r="J456" s="114" t="n">
        <v>0</v>
      </c>
      <c r="K456" s="114" t="n"/>
      <c r="L456" s="114" t="n"/>
      <c r="M456" s="114" t="n">
        <v>0</v>
      </c>
      <c r="N456" s="114" t="n">
        <v>0</v>
      </c>
      <c r="O456" s="114" t="n">
        <v>0</v>
      </c>
      <c r="P456" s="114" t="n">
        <v>0</v>
      </c>
      <c r="Q456" s="114" t="n">
        <v>0</v>
      </c>
      <c r="R456" s="114" t="n"/>
      <c r="S456" s="114" t="n"/>
      <c r="T456" s="115" t="n"/>
    </row>
    <row hidden="false" ht="15" outlineLevel="0" r="457">
      <c r="A457" s="116" t="n">
        <f aca="false" ca="false" dt2D="false" dtr="false" t="normal">+A456+1</f>
        <v>436</v>
      </c>
      <c r="B457" s="117" t="n">
        <v>223</v>
      </c>
      <c r="C457" s="104" t="s">
        <v>404</v>
      </c>
      <c r="D457" s="117" t="s">
        <v>501</v>
      </c>
      <c r="E457" s="113" t="n">
        <f aca="false" ca="true" dt2D="false" dtr="false" t="normal">SUBTOTAL(9, F457:T457)</f>
        <v>548136.26</v>
      </c>
      <c r="F457" s="114" t="n">
        <v>0</v>
      </c>
      <c r="G457" s="114" t="n">
        <v>0</v>
      </c>
      <c r="H457" s="114" t="n"/>
      <c r="I457" s="114" t="n">
        <v>548136.26</v>
      </c>
      <c r="J457" s="114" t="n">
        <v>0</v>
      </c>
      <c r="K457" s="114" t="n"/>
      <c r="L457" s="114" t="n"/>
      <c r="M457" s="114" t="n">
        <v>0</v>
      </c>
      <c r="N457" s="114" t="n">
        <v>0</v>
      </c>
      <c r="O457" s="114" t="n">
        <v>0</v>
      </c>
      <c r="P457" s="114" t="n">
        <v>0</v>
      </c>
      <c r="Q457" s="114" t="n">
        <v>0</v>
      </c>
      <c r="R457" s="114" t="n"/>
      <c r="S457" s="114" t="n"/>
      <c r="T457" s="115" t="n"/>
    </row>
    <row hidden="false" ht="15" outlineLevel="0" r="458">
      <c r="A458" s="116" t="n">
        <f aca="false" ca="false" dt2D="false" dtr="false" t="normal">+A457+1</f>
        <v>437</v>
      </c>
      <c r="B458" s="117" t="s">
        <v>463</v>
      </c>
      <c r="C458" s="104" t="s">
        <v>217</v>
      </c>
      <c r="D458" s="117" t="s">
        <v>218</v>
      </c>
      <c r="E458" s="113" t="n">
        <f aca="false" ca="true" dt2D="false" dtr="false" t="normal">SUBTOTAL(9, F458:T458)</f>
        <v>25027038.06</v>
      </c>
      <c r="F458" s="114" t="n"/>
      <c r="G458" s="114" t="n"/>
      <c r="H458" s="114" t="n"/>
      <c r="I458" s="114" t="n"/>
      <c r="J458" s="114" t="n">
        <v>0</v>
      </c>
      <c r="K458" s="114" t="n"/>
      <c r="L458" s="114" t="n"/>
      <c r="M458" s="114" t="n">
        <v>0</v>
      </c>
      <c r="N458" s="114" t="n"/>
      <c r="O458" s="114" t="n">
        <v>0</v>
      </c>
      <c r="P458" s="114" t="n">
        <v>25027038.06</v>
      </c>
      <c r="Q458" s="114" t="n"/>
      <c r="R458" s="114" t="n"/>
      <c r="S458" s="114" t="n"/>
      <c r="T458" s="115" t="n"/>
    </row>
    <row hidden="false" ht="15" outlineLevel="0" r="459">
      <c r="A459" s="116" t="n">
        <f aca="false" ca="false" dt2D="false" dtr="false" t="normal">+A458+1</f>
        <v>438</v>
      </c>
      <c r="B459" s="117" t="s">
        <v>463</v>
      </c>
      <c r="C459" s="104" t="s">
        <v>227</v>
      </c>
      <c r="D459" s="117" t="s">
        <v>424</v>
      </c>
      <c r="E459" s="186" t="n">
        <f aca="false" ca="true" dt2D="false" dtr="false" t="normal">SUBTOTAL(9, F459:T459)</f>
        <v>93897055.49000001</v>
      </c>
      <c r="F459" s="114" t="n"/>
      <c r="G459" s="114" t="n"/>
      <c r="H459" s="114" t="n"/>
      <c r="I459" s="114" t="n"/>
      <c r="J459" s="114" t="n">
        <v>0</v>
      </c>
      <c r="K459" s="114" t="n"/>
      <c r="L459" s="114" t="n"/>
      <c r="M459" s="114" t="n"/>
      <c r="N459" s="114" t="n">
        <v>0</v>
      </c>
      <c r="O459" s="114" t="n">
        <v>0</v>
      </c>
      <c r="P459" s="114" t="n">
        <v>93307087.4</v>
      </c>
      <c r="Q459" s="114" t="n">
        <v>0</v>
      </c>
      <c r="R459" s="114" t="n">
        <v>579968.09</v>
      </c>
      <c r="S459" s="114" t="n">
        <v>10000</v>
      </c>
      <c r="T459" s="115" t="n"/>
    </row>
    <row hidden="false" ht="15" outlineLevel="0" r="460">
      <c r="A460" s="116" t="n">
        <f aca="false" ca="false" dt2D="false" dtr="false" t="normal">+A459+1</f>
        <v>439</v>
      </c>
      <c r="B460" s="117" t="n">
        <v>224</v>
      </c>
      <c r="C460" s="104" t="s">
        <v>227</v>
      </c>
      <c r="D460" s="117" t="s">
        <v>230</v>
      </c>
      <c r="E460" s="113" t="n">
        <f aca="false" ca="true" dt2D="false" dtr="false" t="normal">SUBTOTAL(9, F460:T460)</f>
        <v>5271196.86</v>
      </c>
      <c r="F460" s="114" t="n"/>
      <c r="G460" s="114" t="n"/>
      <c r="H460" s="114" t="n"/>
      <c r="I460" s="114" t="n">
        <v>5271196.86</v>
      </c>
      <c r="J460" s="114" t="n">
        <v>0</v>
      </c>
      <c r="K460" s="114" t="n"/>
      <c r="L460" s="114" t="n"/>
      <c r="M460" s="114" t="n">
        <v>0</v>
      </c>
      <c r="N460" s="114" t="n"/>
      <c r="O460" s="114" t="n">
        <v>0</v>
      </c>
      <c r="P460" s="114" t="n"/>
      <c r="Q460" s="114" t="n"/>
      <c r="R460" s="114" t="n"/>
      <c r="S460" s="114" t="n"/>
      <c r="T460" s="115" t="n"/>
    </row>
    <row hidden="false" ht="15" outlineLevel="0" r="461">
      <c r="A461" s="116" t="n">
        <f aca="false" ca="false" dt2D="false" dtr="false" t="normal">+A460+1</f>
        <v>440</v>
      </c>
      <c r="B461" s="117" t="n">
        <v>225</v>
      </c>
      <c r="C461" s="104" t="s">
        <v>227</v>
      </c>
      <c r="D461" s="104" t="s">
        <v>502</v>
      </c>
      <c r="E461" s="186" t="n">
        <f aca="false" ca="true" dt2D="false" dtr="false" t="normal">SUBTOTAL(9, F461:T461)</f>
        <v>18000110.39</v>
      </c>
      <c r="F461" s="106" t="n"/>
      <c r="G461" s="106" t="n"/>
      <c r="H461" s="106" t="n"/>
      <c r="I461" s="106" t="n"/>
      <c r="J461" s="106" t="n"/>
      <c r="K461" s="106" t="n"/>
      <c r="L461" s="106" t="n"/>
      <c r="M461" s="106" t="n">
        <v>16975058.39</v>
      </c>
      <c r="N461" s="106" t="n"/>
      <c r="O461" s="106" t="n"/>
      <c r="P461" s="106" t="n"/>
      <c r="Q461" s="114" t="n"/>
      <c r="R461" s="114" t="n">
        <v>768789</v>
      </c>
      <c r="S461" s="114" t="n">
        <v>256263</v>
      </c>
      <c r="T461" s="115" t="n"/>
    </row>
    <row hidden="false" ht="15" outlineLevel="0" r="462">
      <c r="A462" s="116" t="n">
        <f aca="false" ca="false" dt2D="false" dtr="false" t="normal">+A461+1</f>
        <v>441</v>
      </c>
      <c r="B462" s="117" t="n">
        <v>226</v>
      </c>
      <c r="C462" s="104" t="s">
        <v>227</v>
      </c>
      <c r="D462" s="117" t="s">
        <v>503</v>
      </c>
      <c r="E462" s="113" t="n">
        <f aca="false" ca="true" dt2D="false" dtr="false" t="normal">SUBTOTAL(9, F462:T462)</f>
        <v>13923869.55</v>
      </c>
      <c r="F462" s="114" t="n">
        <v>6125064</v>
      </c>
      <c r="G462" s="114" t="n">
        <v>2367725.57</v>
      </c>
      <c r="H462" s="114" t="n"/>
      <c r="I462" s="114" t="n"/>
      <c r="J462" s="114" t="n">
        <v>0</v>
      </c>
      <c r="K462" s="114" t="n"/>
      <c r="L462" s="114" t="n"/>
      <c r="M462" s="114" t="n">
        <v>0</v>
      </c>
      <c r="N462" s="114" t="n">
        <v>5431079.98</v>
      </c>
      <c r="O462" s="114" t="n">
        <v>0</v>
      </c>
      <c r="P462" s="114" t="n">
        <v>0</v>
      </c>
      <c r="Q462" s="114" t="n">
        <v>0</v>
      </c>
      <c r="R462" s="114" t="n"/>
      <c r="S462" s="114" t="n"/>
      <c r="T462" s="115" t="n"/>
    </row>
    <row hidden="false" ht="15" outlineLevel="0" r="463">
      <c r="A463" s="116" t="n">
        <f aca="false" ca="false" dt2D="false" dtr="false" t="normal">+A462+1</f>
        <v>442</v>
      </c>
      <c r="B463" s="117" t="s">
        <v>463</v>
      </c>
      <c r="C463" s="104" t="s">
        <v>227</v>
      </c>
      <c r="D463" s="117" t="s">
        <v>425</v>
      </c>
      <c r="E463" s="113" t="n">
        <f aca="false" ca="true" dt2D="false" dtr="false" t="normal">SUBTOTAL(9, F463:T463)</f>
        <v>2593578.3</v>
      </c>
      <c r="F463" s="114" t="n"/>
      <c r="G463" s="114" t="n"/>
      <c r="H463" s="114" t="n"/>
      <c r="I463" s="114" t="n"/>
      <c r="J463" s="114" t="n">
        <v>0</v>
      </c>
      <c r="K463" s="114" t="n"/>
      <c r="L463" s="114" t="n"/>
      <c r="M463" s="114" t="n">
        <v>0</v>
      </c>
      <c r="N463" s="114" t="n">
        <v>2593578.3</v>
      </c>
      <c r="O463" s="114" t="n">
        <v>0</v>
      </c>
      <c r="P463" s="114" t="n">
        <v>0</v>
      </c>
      <c r="Q463" s="114" t="n"/>
      <c r="R463" s="114" t="n"/>
      <c r="S463" s="114" t="n"/>
      <c r="T463" s="115" t="n"/>
    </row>
    <row hidden="false" ht="15" outlineLevel="0" r="464">
      <c r="A464" s="116" t="n">
        <f aca="false" ca="false" dt2D="false" dtr="false" t="normal">+A463+1</f>
        <v>443</v>
      </c>
      <c r="B464" s="117" t="s">
        <v>463</v>
      </c>
      <c r="C464" s="104" t="s">
        <v>227</v>
      </c>
      <c r="D464" s="117" t="s">
        <v>426</v>
      </c>
      <c r="E464" s="113" t="n">
        <f aca="false" ca="true" dt2D="false" dtr="false" t="normal">SUBTOTAL(9, F464:T464)</f>
        <v>10877868</v>
      </c>
      <c r="F464" s="114" t="n">
        <v>5809151.59</v>
      </c>
      <c r="G464" s="114" t="n">
        <v>5068716.41</v>
      </c>
      <c r="H464" s="114" t="n"/>
      <c r="I464" s="114" t="n"/>
      <c r="J464" s="114" t="n"/>
      <c r="K464" s="114" t="n"/>
      <c r="L464" s="114" t="n"/>
      <c r="M464" s="114" t="n">
        <v>0</v>
      </c>
      <c r="N464" s="114" t="n"/>
      <c r="O464" s="114" t="n">
        <v>0</v>
      </c>
      <c r="P464" s="114" t="n"/>
      <c r="R464" s="114" t="n"/>
      <c r="S464" s="114" t="n"/>
      <c r="T464" s="115" t="n"/>
    </row>
    <row hidden="false" ht="15" outlineLevel="0" r="465">
      <c r="A465" s="116" t="n">
        <f aca="false" ca="false" dt2D="false" dtr="false" t="normal">+A464+1</f>
        <v>444</v>
      </c>
      <c r="B465" s="117" t="n">
        <v>227</v>
      </c>
      <c r="C465" s="104" t="s">
        <v>227</v>
      </c>
      <c r="D465" s="117" t="s">
        <v>504</v>
      </c>
      <c r="E465" s="113" t="n">
        <f aca="false" ca="true" dt2D="false" dtr="false" t="normal">SUBTOTAL(9, F465:T465)</f>
        <v>13595928.31</v>
      </c>
      <c r="F465" s="114" t="n"/>
      <c r="G465" s="114" t="n"/>
      <c r="H465" s="114" t="n"/>
      <c r="I465" s="114" t="n"/>
      <c r="J465" s="114" t="n"/>
      <c r="K465" s="114" t="n"/>
      <c r="L465" s="114" t="n"/>
      <c r="M465" s="114" t="n"/>
      <c r="N465" s="114" t="n">
        <v>0</v>
      </c>
      <c r="O465" s="114" t="n">
        <v>0</v>
      </c>
      <c r="P465" s="114" t="n">
        <v>13459169.38</v>
      </c>
      <c r="Q465" s="114" t="n"/>
      <c r="R465" s="114" t="n"/>
      <c r="S465" s="114" t="n"/>
      <c r="T465" s="115" t="n">
        <v>136758.93</v>
      </c>
    </row>
    <row hidden="false" ht="15" outlineLevel="0" r="466">
      <c r="A466" s="116" t="n">
        <f aca="false" ca="false" dt2D="false" dtr="false" t="normal">+A465+1</f>
        <v>445</v>
      </c>
      <c r="B466" s="117" t="n">
        <v>228</v>
      </c>
      <c r="C466" s="104" t="s">
        <v>227</v>
      </c>
      <c r="D466" s="117" t="s">
        <v>246</v>
      </c>
      <c r="E466" s="113" t="n">
        <f aca="false" ca="true" dt2D="false" dtr="false" t="normal">SUBTOTAL(9, F466:T466)</f>
        <v>11006074.42</v>
      </c>
      <c r="F466" s="114" t="n">
        <v>11006074.42</v>
      </c>
      <c r="G466" s="114" t="n"/>
      <c r="H466" s="114" t="n"/>
      <c r="I466" s="114" t="n"/>
      <c r="J466" s="114" t="n">
        <v>0</v>
      </c>
      <c r="K466" s="114" t="n"/>
      <c r="L466" s="114" t="n"/>
      <c r="M466" s="114" t="n">
        <v>0</v>
      </c>
      <c r="N466" s="114" t="n">
        <v>0</v>
      </c>
      <c r="O466" s="114" t="n">
        <v>0</v>
      </c>
      <c r="P466" s="114" t="n">
        <v>0</v>
      </c>
      <c r="Q466" s="114" t="n">
        <v>0</v>
      </c>
      <c r="R466" s="114" t="n"/>
      <c r="S466" s="114" t="n"/>
      <c r="T466" s="115" t="n"/>
    </row>
    <row hidden="false" ht="15" outlineLevel="0" r="467">
      <c r="A467" s="116" t="n">
        <f aca="false" ca="false" dt2D="false" dtr="false" t="normal">+A466+1</f>
        <v>446</v>
      </c>
      <c r="B467" s="117" t="s">
        <v>463</v>
      </c>
      <c r="C467" s="104" t="s">
        <v>227</v>
      </c>
      <c r="D467" s="117" t="s">
        <v>245</v>
      </c>
      <c r="E467" s="113" t="n">
        <f aca="false" ca="true" dt2D="false" dtr="false" t="normal">SUBTOTAL(9, F467:T467)</f>
        <v>9324892.68</v>
      </c>
      <c r="F467" s="114" t="n"/>
      <c r="G467" s="114" t="n"/>
      <c r="H467" s="114" t="n"/>
      <c r="I467" s="114" t="n"/>
      <c r="J467" s="114" t="n"/>
      <c r="K467" s="114" t="n"/>
      <c r="L467" s="114" t="n"/>
      <c r="M467" s="114" t="n">
        <v>0</v>
      </c>
      <c r="N467" s="114" t="n">
        <v>0</v>
      </c>
      <c r="O467" s="114" t="n">
        <v>0</v>
      </c>
      <c r="P467" s="114" t="n">
        <v>9226685.78</v>
      </c>
      <c r="Q467" s="114" t="n"/>
      <c r="R467" s="114" t="n"/>
      <c r="S467" s="114" t="n"/>
      <c r="T467" s="115" t="n">
        <v>98206.9</v>
      </c>
    </row>
    <row hidden="false" ht="15" outlineLevel="0" r="468">
      <c r="A468" s="116" t="n">
        <f aca="false" ca="false" dt2D="false" dtr="false" t="normal">+A467+1</f>
        <v>447</v>
      </c>
      <c r="B468" s="117" t="s">
        <v>463</v>
      </c>
      <c r="C468" s="104" t="s">
        <v>247</v>
      </c>
      <c r="D468" s="117" t="s">
        <v>427</v>
      </c>
      <c r="E468" s="113" t="n">
        <f aca="false" ca="true" dt2D="false" dtr="false" t="normal">SUBTOTAL(9, F468:T468)</f>
        <v>17830898.72</v>
      </c>
      <c r="F468" s="114" t="n">
        <v>13314058.64</v>
      </c>
      <c r="G468" s="114" t="n">
        <v>4516840.08</v>
      </c>
      <c r="H468" s="114" t="n">
        <v>0</v>
      </c>
      <c r="I468" s="114" t="n">
        <v>0</v>
      </c>
      <c r="J468" s="114" t="n">
        <v>0</v>
      </c>
      <c r="K468" s="114" t="n"/>
      <c r="L468" s="114" t="n"/>
      <c r="M468" s="114" t="n">
        <v>0</v>
      </c>
      <c r="N468" s="114" t="n"/>
      <c r="O468" s="114" t="n">
        <v>0</v>
      </c>
      <c r="P468" s="114" t="n">
        <v>0</v>
      </c>
      <c r="Q468" s="114" t="n">
        <v>0</v>
      </c>
      <c r="R468" s="114" t="n"/>
      <c r="S468" s="114" t="n"/>
      <c r="T468" s="115" t="n"/>
    </row>
    <row hidden="false" ht="15" outlineLevel="0" r="469">
      <c r="A469" s="116" t="n">
        <f aca="false" ca="false" dt2D="false" dtr="false" t="normal">+A468+1</f>
        <v>448</v>
      </c>
      <c r="B469" s="117" t="n">
        <v>229</v>
      </c>
      <c r="C469" s="104" t="s">
        <v>247</v>
      </c>
      <c r="D469" s="117" t="s">
        <v>250</v>
      </c>
      <c r="E469" s="113" t="n">
        <f aca="false" ca="true" dt2D="false" dtr="false" t="normal">SUBTOTAL(9, F469:T469)</f>
        <v>14344128.08</v>
      </c>
      <c r="F469" s="114" t="n">
        <v>10307046.52</v>
      </c>
      <c r="G469" s="114" t="n">
        <v>4037081.56</v>
      </c>
      <c r="H469" s="114" t="n">
        <v>0</v>
      </c>
      <c r="I469" s="114" t="n">
        <v>0</v>
      </c>
      <c r="J469" s="114" t="n">
        <v>0</v>
      </c>
      <c r="K469" s="114" t="n"/>
      <c r="L469" s="114" t="n"/>
      <c r="M469" s="114" t="n">
        <v>0</v>
      </c>
      <c r="N469" s="114" t="n"/>
      <c r="O469" s="114" t="n">
        <v>0</v>
      </c>
      <c r="P469" s="114" t="n">
        <v>0</v>
      </c>
      <c r="Q469" s="114" t="n">
        <v>0</v>
      </c>
      <c r="R469" s="114" t="n"/>
      <c r="S469" s="114" t="n"/>
      <c r="T469" s="115" t="n"/>
    </row>
    <row hidden="false" ht="15" outlineLevel="0" r="470">
      <c r="A470" s="116" t="n">
        <f aca="false" ca="false" dt2D="false" dtr="false" t="normal">+A469+1</f>
        <v>449</v>
      </c>
      <c r="B470" s="117" t="n">
        <f aca="false" ca="false" dt2D="false" dtr="false" t="normal">+B469+1</f>
        <v>230</v>
      </c>
      <c r="C470" s="104" t="s">
        <v>253</v>
      </c>
      <c r="D470" s="104" t="s">
        <v>254</v>
      </c>
      <c r="E470" s="113" t="n">
        <f aca="false" ca="true" dt2D="false" dtr="false" t="normal">SUBTOTAL(9, F470:T470)</f>
        <v>366422.22</v>
      </c>
      <c r="F470" s="106" t="n"/>
      <c r="G470" s="114" t="n"/>
      <c r="H470" s="114" t="n"/>
      <c r="I470" s="114" t="n">
        <v>366422.22</v>
      </c>
      <c r="J470" s="114" t="n">
        <v>0</v>
      </c>
      <c r="K470" s="114" t="n"/>
      <c r="L470" s="114" t="n"/>
      <c r="M470" s="114" t="n">
        <v>0</v>
      </c>
      <c r="N470" s="114" t="n"/>
      <c r="O470" s="114" t="n"/>
      <c r="P470" s="114" t="n"/>
      <c r="Q470" s="114" t="n"/>
      <c r="R470" s="114" t="n"/>
      <c r="S470" s="114" t="n"/>
      <c r="T470" s="115" t="n"/>
    </row>
    <row hidden="false" ht="15" outlineLevel="0" r="471">
      <c r="A471" s="116" t="n">
        <f aca="false" ca="false" dt2D="false" dtr="false" t="normal">+A470+1</f>
        <v>450</v>
      </c>
      <c r="B471" s="117" t="n">
        <f aca="false" ca="false" dt2D="false" dtr="false" t="normal">+B470+1</f>
        <v>231</v>
      </c>
      <c r="C471" s="104" t="s">
        <v>253</v>
      </c>
      <c r="D471" s="104" t="s">
        <v>256</v>
      </c>
      <c r="E471" s="113" t="n">
        <f aca="false" ca="true" dt2D="false" dtr="false" t="normal">SUBTOTAL(9, F471:T471)</f>
        <v>3803871.23</v>
      </c>
      <c r="F471" s="106" t="n">
        <v>0</v>
      </c>
      <c r="G471" s="114" t="n">
        <v>0</v>
      </c>
      <c r="H471" s="114" t="n"/>
      <c r="I471" s="114" t="n"/>
      <c r="J471" s="114" t="n">
        <v>0</v>
      </c>
      <c r="K471" s="114" t="n"/>
      <c r="L471" s="114" t="n"/>
      <c r="M471" s="114" t="n">
        <v>0</v>
      </c>
      <c r="N471" s="114" t="n">
        <v>3803871.23</v>
      </c>
      <c r="O471" s="114" t="n">
        <v>0</v>
      </c>
      <c r="P471" s="114" t="n">
        <v>0</v>
      </c>
      <c r="Q471" s="114" t="n"/>
      <c r="R471" s="114" t="n"/>
      <c r="S471" s="114" t="n"/>
      <c r="T471" s="115" t="n"/>
    </row>
    <row hidden="false" ht="15" outlineLevel="0" r="472">
      <c r="A472" s="116" t="n">
        <f aca="false" ca="false" dt2D="false" dtr="false" t="normal">+A471+1</f>
        <v>451</v>
      </c>
      <c r="B472" s="117" t="n">
        <f aca="false" ca="false" dt2D="false" dtr="false" t="normal">+B471+1</f>
        <v>232</v>
      </c>
      <c r="C472" s="104" t="s">
        <v>253</v>
      </c>
      <c r="D472" s="104" t="s">
        <v>505</v>
      </c>
      <c r="E472" s="113" t="n">
        <f aca="false" ca="true" dt2D="false" dtr="false" t="normal">SUBTOTAL(9, F472:T472)</f>
        <v>4188288.59</v>
      </c>
      <c r="F472" s="106" t="n">
        <v>0</v>
      </c>
      <c r="G472" s="114" t="n">
        <v>0</v>
      </c>
      <c r="H472" s="114" t="n"/>
      <c r="I472" s="114" t="n">
        <v>1099685.39</v>
      </c>
      <c r="J472" s="114" t="n">
        <v>0</v>
      </c>
      <c r="K472" s="114" t="n"/>
      <c r="L472" s="114" t="n"/>
      <c r="M472" s="114" t="n">
        <v>0</v>
      </c>
      <c r="N472" s="114" t="n">
        <v>3088603.2</v>
      </c>
      <c r="O472" s="114" t="n">
        <v>0</v>
      </c>
      <c r="P472" s="114" t="n"/>
      <c r="Q472" s="114" t="n"/>
      <c r="R472" s="114" t="n"/>
      <c r="S472" s="114" t="n"/>
      <c r="T472" s="115" t="n"/>
    </row>
    <row hidden="false" ht="15" outlineLevel="0" r="473">
      <c r="A473" s="116" t="n">
        <f aca="false" ca="false" dt2D="false" dtr="false" t="normal">+A472+1</f>
        <v>452</v>
      </c>
      <c r="B473" s="117" t="n">
        <f aca="false" ca="false" dt2D="false" dtr="false" t="normal">+B472+1</f>
        <v>233</v>
      </c>
      <c r="C473" s="104" t="s">
        <v>253</v>
      </c>
      <c r="D473" s="104" t="s">
        <v>255</v>
      </c>
      <c r="E473" s="113" t="n">
        <f aca="false" ca="true" dt2D="false" dtr="false" t="normal">SUBTOTAL(9, F473:T473)</f>
        <v>4320197.02</v>
      </c>
      <c r="F473" s="106" t="n"/>
      <c r="G473" s="114" t="n"/>
      <c r="H473" s="114" t="n"/>
      <c r="I473" s="114" t="n"/>
      <c r="J473" s="114" t="n"/>
      <c r="K473" s="114" t="n"/>
      <c r="L473" s="114" t="n"/>
      <c r="M473" s="114" t="n"/>
      <c r="N473" s="114" t="n"/>
      <c r="O473" s="114" t="n"/>
      <c r="P473" s="114" t="n"/>
      <c r="Q473" s="114" t="n">
        <v>4320197.02</v>
      </c>
      <c r="R473" s="114" t="n"/>
      <c r="S473" s="114" t="n"/>
      <c r="T473" s="115" t="n"/>
    </row>
    <row hidden="false" ht="15" outlineLevel="0" r="474">
      <c r="A474" s="116" t="n">
        <f aca="false" ca="false" dt2D="false" dtr="false" t="normal">+A473+1</f>
        <v>453</v>
      </c>
      <c r="B474" s="117" t="n">
        <f aca="false" ca="false" dt2D="false" dtr="false" t="normal">+B473+1</f>
        <v>234</v>
      </c>
      <c r="C474" s="104" t="s">
        <v>253</v>
      </c>
      <c r="D474" s="104" t="s">
        <v>506</v>
      </c>
      <c r="E474" s="113" t="n">
        <f aca="false" ca="true" dt2D="false" dtr="false" t="normal">SUBTOTAL(9, F474:T474)</f>
        <v>3298923.58</v>
      </c>
      <c r="F474" s="106" t="n"/>
      <c r="G474" s="114" t="n"/>
      <c r="H474" s="114" t="n"/>
      <c r="I474" s="114" t="n">
        <v>0</v>
      </c>
      <c r="J474" s="114" t="n">
        <v>0</v>
      </c>
      <c r="K474" s="114" t="n"/>
      <c r="L474" s="114" t="n"/>
      <c r="M474" s="114" t="n">
        <v>0</v>
      </c>
      <c r="N474" s="114" t="n">
        <v>0</v>
      </c>
      <c r="O474" s="114" t="n">
        <v>0</v>
      </c>
      <c r="P474" s="114" t="n">
        <v>0</v>
      </c>
      <c r="Q474" s="114" t="n">
        <v>3298923.58</v>
      </c>
      <c r="R474" s="114" t="n"/>
      <c r="S474" s="114" t="n"/>
      <c r="T474" s="115" t="n"/>
    </row>
    <row hidden="false" ht="15" outlineLevel="0" r="475">
      <c r="A475" s="116" t="n">
        <f aca="false" ca="false" dt2D="false" dtr="false" t="normal">+A474+1</f>
        <v>454</v>
      </c>
      <c r="B475" s="117" t="n">
        <f aca="false" ca="false" dt2D="false" dtr="false" t="normal">+B474+1</f>
        <v>235</v>
      </c>
      <c r="C475" s="104" t="s">
        <v>253</v>
      </c>
      <c r="D475" s="104" t="s">
        <v>507</v>
      </c>
      <c r="E475" s="113" t="n">
        <f aca="false" ca="true" dt2D="false" dtr="false" t="normal">SUBTOTAL(9, F475:T475)</f>
        <v>3158936.6999999997</v>
      </c>
      <c r="F475" s="106" t="n"/>
      <c r="G475" s="114" t="n"/>
      <c r="H475" s="114" t="n"/>
      <c r="I475" s="114" t="n">
        <v>316550.13</v>
      </c>
      <c r="J475" s="114" t="n">
        <v>0</v>
      </c>
      <c r="K475" s="114" t="n"/>
      <c r="L475" s="114" t="n"/>
      <c r="M475" s="114" t="n">
        <v>0</v>
      </c>
      <c r="N475" s="114" t="n">
        <v>0</v>
      </c>
      <c r="O475" s="114" t="n">
        <v>0</v>
      </c>
      <c r="P475" s="114" t="n">
        <v>0</v>
      </c>
      <c r="Q475" s="114" t="n">
        <v>2842386.57</v>
      </c>
      <c r="R475" s="114" t="n"/>
      <c r="S475" s="114" t="n"/>
      <c r="T475" s="115" t="n"/>
    </row>
    <row hidden="false" ht="15" outlineLevel="0" r="476">
      <c r="A476" s="116" t="n">
        <f aca="false" ca="false" dt2D="false" dtr="false" t="normal">+A475+1</f>
        <v>455</v>
      </c>
      <c r="B476" s="117" t="n">
        <f aca="false" ca="false" dt2D="false" dtr="false" t="normal">+B475+1</f>
        <v>236</v>
      </c>
      <c r="C476" s="104" t="s">
        <v>253</v>
      </c>
      <c r="D476" s="104" t="s">
        <v>508</v>
      </c>
      <c r="E476" s="113" t="n">
        <f aca="false" ca="true" dt2D="false" dtr="false" t="normal">SUBTOTAL(9, F476:T476)</f>
        <v>5454094.26</v>
      </c>
      <c r="F476" s="106" t="n">
        <v>0</v>
      </c>
      <c r="G476" s="114" t="n">
        <v>0</v>
      </c>
      <c r="H476" s="114" t="n">
        <v>0</v>
      </c>
      <c r="I476" s="114" t="n">
        <v>0</v>
      </c>
      <c r="J476" s="114" t="n">
        <v>0</v>
      </c>
      <c r="K476" s="114" t="n"/>
      <c r="L476" s="114" t="n"/>
      <c r="M476" s="114" t="n">
        <v>0</v>
      </c>
      <c r="N476" s="114" t="n">
        <v>0</v>
      </c>
      <c r="O476" s="114" t="n">
        <v>0</v>
      </c>
      <c r="P476" s="114" t="n">
        <v>5454094.26</v>
      </c>
      <c r="Q476" s="114" t="n"/>
      <c r="R476" s="114" t="n"/>
      <c r="S476" s="114" t="n"/>
      <c r="T476" s="115" t="n"/>
    </row>
    <row hidden="false" ht="15" outlineLevel="0" r="477">
      <c r="A477" s="116" t="n">
        <f aca="false" ca="false" dt2D="false" dtr="false" t="normal">+A476+1</f>
        <v>456</v>
      </c>
      <c r="B477" s="117" t="n">
        <f aca="false" ca="false" dt2D="false" dtr="false" t="normal">+B476+1</f>
        <v>237</v>
      </c>
      <c r="C477" s="104" t="s">
        <v>428</v>
      </c>
      <c r="D477" s="117" t="s">
        <v>509</v>
      </c>
      <c r="E477" s="113" t="n">
        <f aca="false" ca="true" dt2D="false" dtr="false" t="normal">SUBTOTAL(9, F477:T477)</f>
        <v>5770612.33</v>
      </c>
      <c r="F477" s="114" t="n"/>
      <c r="G477" s="114" t="n"/>
      <c r="H477" s="114" t="n">
        <v>0</v>
      </c>
      <c r="I477" s="114" t="n">
        <v>0</v>
      </c>
      <c r="J477" s="114" t="n">
        <v>0</v>
      </c>
      <c r="K477" s="114" t="n"/>
      <c r="L477" s="114" t="n"/>
      <c r="M477" s="114" t="n">
        <v>0</v>
      </c>
      <c r="N477" s="114" t="n">
        <v>5770612.33</v>
      </c>
      <c r="O477" s="114" t="n">
        <v>0</v>
      </c>
      <c r="P477" s="114" t="n">
        <v>0</v>
      </c>
      <c r="Q477" s="114" t="n">
        <v>0</v>
      </c>
      <c r="R477" s="114" t="n"/>
      <c r="S477" s="114" t="n"/>
      <c r="T477" s="115" t="n"/>
    </row>
    <row hidden="false" ht="15" outlineLevel="0" r="478">
      <c r="A478" s="116" t="n">
        <f aca="false" ca="false" dt2D="false" dtr="false" t="normal">+A477+1</f>
        <v>457</v>
      </c>
      <c r="B478" s="117" t="n">
        <f aca="false" ca="false" dt2D="false" dtr="false" t="normal">+B477+1</f>
        <v>238</v>
      </c>
      <c r="C478" s="104" t="s">
        <v>428</v>
      </c>
      <c r="D478" s="117" t="s">
        <v>510</v>
      </c>
      <c r="E478" s="113" t="n">
        <f aca="false" ca="true" dt2D="false" dtr="false" t="normal">SUBTOTAL(9, F478:T478)</f>
        <v>7256814.72</v>
      </c>
      <c r="F478" s="114" t="n">
        <v>0</v>
      </c>
      <c r="G478" s="114" t="n">
        <v>0</v>
      </c>
      <c r="H478" s="114" t="n">
        <v>0</v>
      </c>
      <c r="I478" s="114" t="n">
        <v>0</v>
      </c>
      <c r="J478" s="114" t="n">
        <v>0</v>
      </c>
      <c r="K478" s="114" t="n"/>
      <c r="L478" s="114" t="n"/>
      <c r="M478" s="114" t="n">
        <v>0</v>
      </c>
      <c r="N478" s="114" t="n">
        <v>7256814.72</v>
      </c>
      <c r="O478" s="114" t="n">
        <v>0</v>
      </c>
      <c r="P478" s="114" t="n"/>
      <c r="Q478" s="114" t="n">
        <v>0</v>
      </c>
      <c r="R478" s="114" t="n"/>
      <c r="S478" s="114" t="n"/>
      <c r="T478" s="115" t="n"/>
    </row>
    <row hidden="false" ht="15" outlineLevel="0" r="479">
      <c r="A479" s="116" t="n">
        <f aca="false" ca="false" dt2D="false" dtr="false" t="normal">+A478+1</f>
        <v>458</v>
      </c>
      <c r="B479" s="117" t="n">
        <f aca="false" ca="false" dt2D="false" dtr="false" t="normal">+B478+1</f>
        <v>239</v>
      </c>
      <c r="C479" s="104" t="s">
        <v>280</v>
      </c>
      <c r="D479" s="104" t="s">
        <v>511</v>
      </c>
      <c r="E479" s="113" t="n">
        <f aca="false" ca="true" dt2D="false" dtr="false" t="normal">SUBTOTAL(9, F479:T479)</f>
        <v>6397046.15</v>
      </c>
      <c r="F479" s="106" t="n">
        <v>0</v>
      </c>
      <c r="G479" s="114" t="n">
        <v>0</v>
      </c>
      <c r="H479" s="114" t="n">
        <v>0</v>
      </c>
      <c r="I479" s="114" t="n">
        <v>0</v>
      </c>
      <c r="J479" s="114" t="n">
        <v>0</v>
      </c>
      <c r="K479" s="114" t="n"/>
      <c r="L479" s="114" t="n"/>
      <c r="M479" s="114" t="n">
        <v>0</v>
      </c>
      <c r="N479" s="114" t="n">
        <v>0</v>
      </c>
      <c r="O479" s="114" t="n">
        <v>0</v>
      </c>
      <c r="P479" s="114" t="n">
        <v>0</v>
      </c>
      <c r="Q479" s="114" t="n">
        <v>6397046.15</v>
      </c>
      <c r="R479" s="114" t="n"/>
      <c r="S479" s="114" t="n"/>
      <c r="T479" s="115" t="n"/>
    </row>
    <row hidden="false" ht="15" outlineLevel="0" r="480">
      <c r="A480" s="116" t="n">
        <f aca="false" ca="false" dt2D="false" dtr="false" t="normal">+A479+1</f>
        <v>459</v>
      </c>
      <c r="B480" s="117" t="n">
        <f aca="false" ca="false" dt2D="false" dtr="false" t="normal">+B479+1</f>
        <v>240</v>
      </c>
      <c r="C480" s="104" t="s">
        <v>283</v>
      </c>
      <c r="D480" s="117" t="s">
        <v>512</v>
      </c>
      <c r="E480" s="113" t="n">
        <f aca="false" ca="true" dt2D="false" dtr="false" t="normal">SUBTOTAL(9, F480:T480)</f>
        <v>9357328.82</v>
      </c>
      <c r="F480" s="114" t="n">
        <v>0</v>
      </c>
      <c r="G480" s="114" t="n">
        <v>0</v>
      </c>
      <c r="H480" s="114" t="n">
        <v>0</v>
      </c>
      <c r="I480" s="114" t="n">
        <v>0</v>
      </c>
      <c r="J480" s="114" t="n">
        <v>0</v>
      </c>
      <c r="K480" s="114" t="n"/>
      <c r="L480" s="114" t="n"/>
      <c r="M480" s="114" t="n">
        <v>0</v>
      </c>
      <c r="N480" s="114" t="n">
        <v>0</v>
      </c>
      <c r="O480" s="114" t="n">
        <v>0</v>
      </c>
      <c r="P480" s="114" t="n">
        <v>7030996.8</v>
      </c>
      <c r="Q480" s="114" t="n">
        <v>2326332.02</v>
      </c>
      <c r="R480" s="114" t="n"/>
      <c r="S480" s="114" t="n"/>
      <c r="T480" s="115" t="n"/>
    </row>
    <row customFormat="true" customHeight="true" hidden="false" ht="21" outlineLevel="0" r="481" s="149">
      <c r="A481" s="236" t="n"/>
      <c r="B481" s="237" t="n"/>
      <c r="C481" s="237" t="n"/>
      <c r="D481" s="238" t="n">
        <v>2024</v>
      </c>
      <c r="E481" s="151" t="n">
        <f aca="false" ca="false" dt2D="false" dtr="false" t="normal">SUM(E482:E832)</f>
        <v>3746953688.6499987</v>
      </c>
      <c r="F481" s="151" t="n">
        <f aca="false" ca="false" dt2D="false" dtr="false" t="normal">SUM(F482:F831)</f>
        <v>816627020.99</v>
      </c>
      <c r="G481" s="151" t="n">
        <f aca="false" ca="false" dt2D="false" dtr="false" t="normal">SUM(G482:G831)</f>
        <v>268181799.7299999</v>
      </c>
      <c r="H481" s="151" t="n">
        <f aca="false" ca="false" dt2D="false" dtr="false" t="normal">SUM(H482:H831)</f>
        <v>306470397.31000006</v>
      </c>
      <c r="I481" s="151" t="n">
        <f aca="false" ca="false" dt2D="false" dtr="false" t="normal">SUM(I482:I831)</f>
        <v>186250297.19999996</v>
      </c>
      <c r="J481" s="151" t="n">
        <f aca="false" ca="false" dt2D="false" dtr="false" t="normal">SUM(J482:J831)</f>
        <v>70797284.06999998</v>
      </c>
      <c r="K481" s="151" t="n">
        <f aca="false" ca="false" dt2D="false" dtr="false" t="normal">SUM(K482:K831)</f>
        <v>0</v>
      </c>
      <c r="L481" s="151" t="n">
        <f aca="false" ca="false" dt2D="false" dtr="false" t="normal">SUM(L482:L831)</f>
        <v>0</v>
      </c>
      <c r="M481" s="151" t="n">
        <f aca="false" ca="false" dt2D="false" dtr="false" t="normal">SUM(M482:M831)</f>
        <v>175566694.75</v>
      </c>
      <c r="N481" s="151" t="n">
        <f aca="false" ca="false" dt2D="false" dtr="false" t="normal">SUM(N482:N831)</f>
        <v>476911216.4700001</v>
      </c>
      <c r="O481" s="151" t="n">
        <f aca="false" ca="false" dt2D="false" dtr="false" t="normal">SUM(O482:O831)</f>
        <v>140408390.76000002</v>
      </c>
      <c r="P481" s="151" t="n">
        <f aca="false" ca="false" dt2D="false" dtr="false" t="normal">SUM(P482:P832)</f>
        <v>1077484512.3000002</v>
      </c>
      <c r="Q481" s="151" t="n">
        <f aca="false" ca="false" dt2D="false" dtr="false" t="normal">SUM(Q482:Q831)</f>
        <v>213401680.85999998</v>
      </c>
      <c r="R481" s="151" t="n">
        <f aca="false" ca="false" dt2D="false" dtr="false" t="normal">SUM(R482:R831)</f>
        <v>9243803.190000001</v>
      </c>
      <c r="S481" s="151" t="n">
        <f aca="false" ca="false" dt2D="false" dtr="false" t="normal">SUM(S482:S831)</f>
        <v>2092352.4500000002</v>
      </c>
      <c r="T481" s="239" t="n">
        <f aca="false" ca="false" dt2D="false" dtr="false" t="normal">SUM(T482:T831)</f>
        <v>3518238.5699999994</v>
      </c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</row>
    <row customFormat="true" hidden="false" ht="15" outlineLevel="0" r="482" s="129">
      <c r="A482" s="116" t="n">
        <v>460</v>
      </c>
      <c r="B482" s="117" t="n">
        <f aca="false" ca="false" dt2D="false" dtr="false" t="normal">+B481+1</f>
        <v>1</v>
      </c>
      <c r="C482" s="104" t="s">
        <v>305</v>
      </c>
      <c r="D482" s="117" t="s">
        <v>513</v>
      </c>
      <c r="E482" s="113" t="n">
        <f aca="false" ca="false" dt2D="false" dtr="false" t="normal">SUM(F482:T482)</f>
        <v>9000055.33</v>
      </c>
      <c r="F482" s="106" t="n">
        <v>0</v>
      </c>
      <c r="G482" s="114" t="n">
        <v>0</v>
      </c>
      <c r="H482" s="114" t="n">
        <v>0</v>
      </c>
      <c r="I482" s="106" t="n">
        <v>0</v>
      </c>
      <c r="J482" s="114" t="n"/>
      <c r="K482" s="114" t="n">
        <v>0</v>
      </c>
      <c r="L482" s="106" t="n"/>
      <c r="M482" s="114" t="n">
        <v>8487529.33</v>
      </c>
      <c r="N482" s="114" t="n">
        <v>0</v>
      </c>
      <c r="O482" s="106" t="n">
        <v>0</v>
      </c>
      <c r="P482" s="114" t="n">
        <v>0</v>
      </c>
      <c r="Q482" s="114" t="n">
        <v>0</v>
      </c>
      <c r="R482" s="114" t="n">
        <v>384394.5</v>
      </c>
      <c r="S482" s="114" t="n">
        <v>128131.5</v>
      </c>
      <c r="T482" s="240" t="n"/>
    </row>
    <row customFormat="true" hidden="false" ht="15" outlineLevel="0" r="483" s="1">
      <c r="A483" s="116" t="n">
        <f aca="false" ca="false" dt2D="false" dtr="false" t="normal">+A482+1</f>
        <v>461</v>
      </c>
      <c r="B483" s="117" t="n">
        <f aca="false" ca="false" dt2D="false" dtr="false" t="normal">+B482+1</f>
        <v>2</v>
      </c>
      <c r="C483" s="104" t="s">
        <v>305</v>
      </c>
      <c r="D483" s="117" t="s">
        <v>515</v>
      </c>
      <c r="E483" s="113" t="n">
        <f aca="false" ca="true" dt2D="false" dtr="false" t="normal">SUBTOTAL(9, F483:T483)</f>
        <v>14405926.62</v>
      </c>
      <c r="F483" s="106" t="n">
        <v>0</v>
      </c>
      <c r="G483" s="114" t="n">
        <v>0</v>
      </c>
      <c r="H483" s="114" t="n">
        <v>0</v>
      </c>
      <c r="I483" s="106" t="n">
        <v>0</v>
      </c>
      <c r="J483" s="114" t="n">
        <v>0</v>
      </c>
      <c r="K483" s="114" t="n"/>
      <c r="L483" s="106" t="n"/>
      <c r="M483" s="114" t="n">
        <v>0</v>
      </c>
      <c r="N483" s="114" t="n">
        <v>0</v>
      </c>
      <c r="O483" s="106" t="n">
        <v>14405926.62</v>
      </c>
      <c r="P483" s="114" t="n">
        <v>0</v>
      </c>
      <c r="Q483" s="114" t="n">
        <v>0</v>
      </c>
      <c r="R483" s="114" t="n"/>
      <c r="S483" s="114" t="n"/>
      <c r="T483" s="303" t="n"/>
    </row>
    <row customFormat="true" hidden="false" ht="15" outlineLevel="0" r="484" s="1">
      <c r="A484" s="116" t="n">
        <f aca="false" ca="false" dt2D="false" dtr="false" t="normal">+A483+1</f>
        <v>462</v>
      </c>
      <c r="B484" s="117" t="n">
        <f aca="false" ca="false" dt2D="false" dtr="false" t="normal">+B483+1</f>
        <v>3</v>
      </c>
      <c r="C484" s="104" t="s">
        <v>305</v>
      </c>
      <c r="D484" s="117" t="s">
        <v>516</v>
      </c>
      <c r="E484" s="113" t="n">
        <f aca="false" ca="true" dt2D="false" dtr="false" t="normal">SUBTOTAL(9, F484:T484)</f>
        <v>39978559.15</v>
      </c>
      <c r="F484" s="106" t="n">
        <v>0</v>
      </c>
      <c r="G484" s="114" t="n">
        <v>0</v>
      </c>
      <c r="H484" s="114" t="n">
        <v>11100823.82</v>
      </c>
      <c r="I484" s="114" t="n">
        <v>0</v>
      </c>
      <c r="J484" s="114" t="n">
        <v>0</v>
      </c>
      <c r="K484" s="114" t="n"/>
      <c r="L484" s="106" t="n">
        <v>0</v>
      </c>
      <c r="M484" s="114" t="n">
        <v>0</v>
      </c>
      <c r="N484" s="114" t="n">
        <v>0</v>
      </c>
      <c r="O484" s="106" t="n">
        <v>28877735.33</v>
      </c>
      <c r="P484" s="114" t="n">
        <v>0</v>
      </c>
      <c r="Q484" s="114" t="n">
        <v>0</v>
      </c>
      <c r="R484" s="114" t="n"/>
      <c r="S484" s="114" t="n"/>
      <c r="T484" s="303" t="n"/>
    </row>
    <row customFormat="true" hidden="false" ht="15" outlineLevel="0" r="485" s="1">
      <c r="A485" s="116" t="n">
        <f aca="false" ca="false" dt2D="false" dtr="false" t="normal">+A484+1</f>
        <v>463</v>
      </c>
      <c r="B485" s="117" t="n">
        <f aca="false" ca="false" dt2D="false" dtr="false" t="normal">+B484+1</f>
        <v>4</v>
      </c>
      <c r="C485" s="104" t="s">
        <v>305</v>
      </c>
      <c r="D485" s="117" t="s">
        <v>308</v>
      </c>
      <c r="E485" s="113" t="n">
        <f aca="false" ca="true" dt2D="false" dtr="false" t="normal">SUBTOTAL(9, F485:T485)</f>
        <v>19402429.97</v>
      </c>
      <c r="F485" s="106" t="n">
        <v>2320624.28</v>
      </c>
      <c r="G485" s="114" t="n">
        <v>1208886.87</v>
      </c>
      <c r="H485" s="114" t="n"/>
      <c r="I485" s="114" t="n">
        <v>480187.06</v>
      </c>
      <c r="J485" s="114" t="n">
        <v>0</v>
      </c>
      <c r="K485" s="114" t="n"/>
      <c r="L485" s="106" t="n"/>
      <c r="M485" s="114" t="n">
        <v>0</v>
      </c>
      <c r="N485" s="114" t="n">
        <v>4272787.71</v>
      </c>
      <c r="O485" s="106" t="n">
        <v>4924704.85</v>
      </c>
      <c r="P485" s="114" t="n">
        <v>5939807.05</v>
      </c>
      <c r="Q485" s="114" t="n"/>
      <c r="R485" s="114" t="n"/>
      <c r="S485" s="114" t="n"/>
      <c r="T485" s="111" t="n">
        <v>255432.15</v>
      </c>
    </row>
    <row customFormat="true" hidden="false" ht="15" outlineLevel="0" r="486" s="1">
      <c r="A486" s="116" t="n">
        <f aca="false" ca="false" dt2D="false" dtr="false" t="normal">+A485+1</f>
        <v>464</v>
      </c>
      <c r="B486" s="117" t="n">
        <f aca="false" ca="false" dt2D="false" dtr="false" t="normal">+B485+1</f>
        <v>5</v>
      </c>
      <c r="C486" s="104" t="s">
        <v>305</v>
      </c>
      <c r="D486" s="117" t="s">
        <v>517</v>
      </c>
      <c r="E486" s="113" t="n">
        <f aca="false" ca="true" dt2D="false" dtr="false" t="normal">SUBTOTAL(9, F486:T486)</f>
        <v>25233182.36</v>
      </c>
      <c r="F486" s="106" t="n">
        <v>7353309.26</v>
      </c>
      <c r="G486" s="114" t="n">
        <v>0</v>
      </c>
      <c r="H486" s="114" t="n">
        <v>2956319.09</v>
      </c>
      <c r="I486" s="114" t="n">
        <v>1953691.03</v>
      </c>
      <c r="J486" s="114" t="n">
        <v>0</v>
      </c>
      <c r="K486" s="114" t="n"/>
      <c r="L486" s="106" t="n"/>
      <c r="M486" s="114" t="n">
        <v>0</v>
      </c>
      <c r="N486" s="114" t="n"/>
      <c r="O486" s="114" t="n"/>
      <c r="P486" s="114" t="n">
        <v>12969862.98</v>
      </c>
      <c r="Q486" s="114" t="n">
        <v>0</v>
      </c>
      <c r="R486" s="304" t="n"/>
      <c r="S486" s="304" t="n"/>
      <c r="T486" s="303" t="n"/>
    </row>
    <row customFormat="true" hidden="false" ht="15" outlineLevel="0" r="487" s="1">
      <c r="A487" s="116" t="n">
        <f aca="false" ca="false" dt2D="false" dtr="false" t="normal">+A486+1</f>
        <v>465</v>
      </c>
      <c r="B487" s="117" t="n">
        <f aca="false" ca="false" dt2D="false" dtr="false" t="normal">+B486+1</f>
        <v>6</v>
      </c>
      <c r="C487" s="104" t="s">
        <v>305</v>
      </c>
      <c r="D487" s="117" t="s">
        <v>519</v>
      </c>
      <c r="E487" s="113" t="n">
        <f aca="false" ca="true" dt2D="false" dtr="false" t="normal">SUBTOTAL(9, F487:T487)</f>
        <v>24900233.97</v>
      </c>
      <c r="F487" s="106" t="n">
        <v>6584152.93</v>
      </c>
      <c r="G487" s="114" t="n">
        <v>0</v>
      </c>
      <c r="H487" s="114" t="n">
        <v>2939342.87</v>
      </c>
      <c r="I487" s="114" t="n">
        <v>1963047.25</v>
      </c>
      <c r="J487" s="114" t="n">
        <v>0</v>
      </c>
      <c r="K487" s="114" t="n"/>
      <c r="L487" s="106" t="n"/>
      <c r="M487" s="114" t="n">
        <v>0</v>
      </c>
      <c r="N487" s="114" t="n"/>
      <c r="O487" s="114" t="n"/>
      <c r="P487" s="114" t="n">
        <v>13413690.92</v>
      </c>
      <c r="Q487" s="114" t="n">
        <v>0</v>
      </c>
      <c r="R487" s="304" t="n"/>
      <c r="S487" s="304" t="n"/>
      <c r="T487" s="303" t="n"/>
    </row>
    <row customFormat="true" hidden="false" ht="15" outlineLevel="0" r="488" s="1">
      <c r="A488" s="116" t="n">
        <f aca="false" ca="false" dt2D="false" dtr="false" t="normal">+A487+1</f>
        <v>466</v>
      </c>
      <c r="B488" s="117" t="n">
        <f aca="false" ca="false" dt2D="false" dtr="false" t="normal">+B487+1</f>
        <v>7</v>
      </c>
      <c r="C488" s="104" t="s">
        <v>305</v>
      </c>
      <c r="D488" s="117" t="s">
        <v>521</v>
      </c>
      <c r="E488" s="113" t="n">
        <f aca="false" ca="true" dt2D="false" dtr="false" t="normal">SUBTOTAL(9, F488:T488)</f>
        <v>12985326.37</v>
      </c>
      <c r="F488" s="106" t="n"/>
      <c r="G488" s="114" t="n"/>
      <c r="H488" s="114" t="n"/>
      <c r="I488" s="114" t="n"/>
      <c r="J488" s="114" t="n"/>
      <c r="K488" s="114" t="n"/>
      <c r="L488" s="106" t="n"/>
      <c r="M488" s="114" t="n"/>
      <c r="N488" s="114" t="n"/>
      <c r="O488" s="114" t="n"/>
      <c r="P488" s="114" t="n">
        <v>12985326.37</v>
      </c>
      <c r="Q488" s="114" t="n">
        <v>0</v>
      </c>
      <c r="R488" s="304" t="n"/>
      <c r="S488" s="304" t="n"/>
      <c r="T488" s="303" t="n"/>
    </row>
    <row customFormat="true" hidden="false" ht="15" outlineLevel="0" r="489" s="1">
      <c r="A489" s="116" t="n">
        <f aca="false" ca="false" dt2D="false" dtr="false" t="normal">+A488+1</f>
        <v>467</v>
      </c>
      <c r="B489" s="117" t="n">
        <f aca="false" ca="false" dt2D="false" dtr="false" t="normal">+B488+1</f>
        <v>8</v>
      </c>
      <c r="C489" s="104" t="s">
        <v>75</v>
      </c>
      <c r="D489" s="117" t="s">
        <v>311</v>
      </c>
      <c r="E489" s="113" t="n">
        <f aca="false" ca="true" dt2D="false" dtr="false" t="normal">SUBTOTAL(9, F489:T489)</f>
        <v>4650632.720000001</v>
      </c>
      <c r="F489" s="106" t="n">
        <v>0</v>
      </c>
      <c r="G489" s="114" t="n">
        <v>0</v>
      </c>
      <c r="H489" s="114" t="n"/>
      <c r="I489" s="114" t="n"/>
      <c r="J489" s="114" t="n">
        <v>0</v>
      </c>
      <c r="K489" s="114" t="n"/>
      <c r="L489" s="106" t="n"/>
      <c r="M489" s="114" t="n">
        <v>0</v>
      </c>
      <c r="N489" s="114" t="n">
        <v>0</v>
      </c>
      <c r="O489" s="114" t="n"/>
      <c r="P489" s="114" t="n">
        <v>4596356.03</v>
      </c>
      <c r="Q489" s="114" t="n"/>
      <c r="R489" s="114" t="n"/>
      <c r="S489" s="114" t="n"/>
      <c r="T489" s="115" t="n">
        <v>54276.69</v>
      </c>
      <c r="U489" s="0" t="n"/>
      <c r="V489" s="0" t="n"/>
      <c r="W489" s="0" t="n"/>
      <c r="X489" s="0" t="n"/>
      <c r="Y489" s="0" t="n"/>
      <c r="Z489" s="0" t="n"/>
      <c r="AA489" s="0" t="n"/>
      <c r="AB489" s="0" t="n"/>
      <c r="AC489" s="0" t="n"/>
      <c r="AD489" s="0" t="n"/>
      <c r="AE489" s="0" t="n"/>
      <c r="AF489" s="0" t="n"/>
      <c r="AG489" s="0" t="n"/>
      <c r="AH489" s="0" t="n"/>
      <c r="AI489" s="0" t="n"/>
      <c r="AJ489" s="0" t="n"/>
      <c r="AK489" s="0" t="n"/>
      <c r="AL489" s="0" t="n"/>
      <c r="AM489" s="0" t="n"/>
      <c r="AN489" s="0" t="n"/>
      <c r="AO489" s="0" t="n"/>
      <c r="AP489" s="0" t="n"/>
      <c r="AQ489" s="0" t="n"/>
      <c r="AR489" s="0" t="n"/>
      <c r="AS489" s="0" t="n"/>
      <c r="AT489" s="0" t="n"/>
      <c r="AU489" s="0" t="n"/>
      <c r="AV489" s="0" t="n"/>
      <c r="AW489" s="0" t="n"/>
      <c r="AX489" s="0" t="n"/>
      <c r="AY489" s="0" t="n"/>
      <c r="AZ489" s="0" t="n"/>
      <c r="BA489" s="0" t="n"/>
      <c r="BB489" s="0" t="n"/>
      <c r="BC489" s="0" t="n"/>
      <c r="BD489" s="0" t="n"/>
      <c r="BE489" s="0" t="n"/>
      <c r="BF489" s="0" t="n"/>
      <c r="BG489" s="0" t="n"/>
      <c r="BH489" s="0" t="n"/>
      <c r="BI489" s="0" t="n"/>
      <c r="BJ489" s="0" t="n"/>
      <c r="BK489" s="0" t="n"/>
      <c r="BL489" s="0" t="n"/>
      <c r="BM489" s="0" t="n"/>
      <c r="BN489" s="0" t="n"/>
      <c r="BO489" s="0" t="n"/>
      <c r="BP489" s="0" t="n"/>
    </row>
    <row customFormat="true" hidden="false" ht="15" outlineLevel="0" r="490" s="1">
      <c r="A490" s="116" t="n">
        <f aca="false" ca="false" dt2D="false" dtr="false" t="normal">+A489+1</f>
        <v>468</v>
      </c>
      <c r="B490" s="117" t="n">
        <f aca="false" ca="false" dt2D="false" dtr="false" t="normal">+B489+1</f>
        <v>9</v>
      </c>
      <c r="C490" s="104" t="s">
        <v>66</v>
      </c>
      <c r="D490" s="117" t="s">
        <v>523</v>
      </c>
      <c r="E490" s="113" t="n">
        <f aca="false" ca="true" dt2D="false" dtr="false" t="normal">SUBTOTAL(9, F490:T490)</f>
        <v>17226746.4</v>
      </c>
      <c r="F490" s="106" t="n"/>
      <c r="G490" s="114" t="n"/>
      <c r="H490" s="114" t="n"/>
      <c r="I490" s="114" t="n"/>
      <c r="J490" s="114" t="n"/>
      <c r="K490" s="114" t="n"/>
      <c r="L490" s="106" t="n"/>
      <c r="M490" s="114" t="n"/>
      <c r="N490" s="114" t="n"/>
      <c r="O490" s="114" t="n"/>
      <c r="P490" s="114" t="n">
        <v>17226746.4</v>
      </c>
      <c r="Q490" s="114" t="n"/>
      <c r="R490" s="304" t="n"/>
      <c r="S490" s="304" t="n"/>
      <c r="T490" s="303" t="n"/>
    </row>
    <row customFormat="true" hidden="false" ht="15" outlineLevel="0" r="491" s="1">
      <c r="A491" s="116" t="n">
        <f aca="false" ca="false" dt2D="false" dtr="false" t="normal">+A490+1</f>
        <v>469</v>
      </c>
      <c r="B491" s="117" t="n">
        <f aca="false" ca="false" dt2D="false" dtr="false" t="normal">+B490+1</f>
        <v>10</v>
      </c>
      <c r="C491" s="104" t="s">
        <v>75</v>
      </c>
      <c r="D491" s="117" t="s">
        <v>464</v>
      </c>
      <c r="E491" s="113" t="n">
        <f aca="false" ca="true" dt2D="false" dtr="false" t="normal">SUBTOTAL(9, F491:T491)</f>
        <v>12034991.170000002</v>
      </c>
      <c r="F491" s="106" t="n">
        <v>5393202.38</v>
      </c>
      <c r="G491" s="114" t="n">
        <v>3557169.42</v>
      </c>
      <c r="H491" s="114" t="n"/>
      <c r="I491" s="114" t="n">
        <v>2958773.23</v>
      </c>
      <c r="J491" s="114" t="n">
        <v>0</v>
      </c>
      <c r="K491" s="114" t="n"/>
      <c r="L491" s="106" t="n"/>
      <c r="M491" s="114" t="n">
        <v>0</v>
      </c>
      <c r="N491" s="114" t="n">
        <v>0</v>
      </c>
      <c r="O491" s="114" t="n">
        <v>0</v>
      </c>
      <c r="P491" s="114" t="n">
        <v>0</v>
      </c>
      <c r="Q491" s="114" t="n">
        <v>0</v>
      </c>
      <c r="R491" s="114" t="n"/>
      <c r="S491" s="114" t="n"/>
      <c r="T491" s="111" t="n">
        <v>125846.14</v>
      </c>
      <c r="U491" s="0" t="n"/>
      <c r="V491" s="0" t="n"/>
      <c r="W491" s="0" t="n"/>
      <c r="X491" s="0" t="n"/>
      <c r="Y491" s="0" t="n"/>
      <c r="Z491" s="0" t="n"/>
      <c r="AA491" s="0" t="n"/>
      <c r="AB491" s="0" t="n"/>
      <c r="AC491" s="0" t="n"/>
      <c r="AD491" s="0" t="n"/>
      <c r="AE491" s="0" t="n"/>
      <c r="AF491" s="0" t="n"/>
      <c r="AG491" s="0" t="n"/>
      <c r="AH491" s="0" t="n"/>
      <c r="AI491" s="0" t="n"/>
      <c r="AJ491" s="0" t="n"/>
      <c r="AK491" s="0" t="n"/>
      <c r="AL491" s="0" t="n"/>
      <c r="AM491" s="0" t="n"/>
      <c r="AN491" s="0" t="n"/>
      <c r="AO491" s="0" t="n"/>
      <c r="AP491" s="0" t="n"/>
      <c r="AQ491" s="0" t="n"/>
      <c r="AR491" s="0" t="n"/>
      <c r="AS491" s="0" t="n"/>
      <c r="AT491" s="0" t="n"/>
      <c r="AU491" s="0" t="n"/>
      <c r="AV491" s="0" t="n"/>
      <c r="AW491" s="0" t="n"/>
      <c r="AX491" s="0" t="n"/>
      <c r="AY491" s="0" t="n"/>
      <c r="AZ491" s="0" t="n"/>
      <c r="BA491" s="0" t="n"/>
      <c r="BB491" s="0" t="n"/>
      <c r="BC491" s="0" t="n"/>
      <c r="BD491" s="0" t="n"/>
      <c r="BE491" s="0" t="n"/>
      <c r="BF491" s="0" t="n"/>
      <c r="BG491" s="0" t="n"/>
      <c r="BH491" s="0" t="n"/>
      <c r="BI491" s="0" t="n"/>
      <c r="BJ491" s="0" t="n"/>
      <c r="BK491" s="0" t="n"/>
      <c r="BL491" s="0" t="n"/>
      <c r="BM491" s="0" t="n"/>
      <c r="BN491" s="0" t="n"/>
      <c r="BO491" s="0" t="n"/>
      <c r="BP491" s="0" t="n"/>
    </row>
    <row customFormat="true" hidden="false" ht="15" outlineLevel="0" r="492" s="1">
      <c r="A492" s="116" t="n">
        <f aca="false" ca="false" dt2D="false" dtr="false" t="normal">+A491+1</f>
        <v>470</v>
      </c>
      <c r="B492" s="117" t="n">
        <f aca="false" ca="false" dt2D="false" dtr="false" t="normal">+B491+1</f>
        <v>11</v>
      </c>
      <c r="C492" s="104" t="s">
        <v>75</v>
      </c>
      <c r="D492" s="117" t="s">
        <v>77</v>
      </c>
      <c r="E492" s="113" t="n">
        <f aca="false" ca="true" dt2D="false" dtr="false" t="normal">SUBTOTAL(9, F492:T492)</f>
        <v>3152859.25</v>
      </c>
      <c r="F492" s="106" t="n">
        <v>0</v>
      </c>
      <c r="G492" s="114" t="n">
        <v>0</v>
      </c>
      <c r="H492" s="114" t="n">
        <v>0</v>
      </c>
      <c r="I492" s="114" t="n">
        <v>0</v>
      </c>
      <c r="J492" s="114" t="n">
        <v>0</v>
      </c>
      <c r="K492" s="114" t="n"/>
      <c r="L492" s="106" t="n"/>
      <c r="M492" s="114" t="n">
        <v>0</v>
      </c>
      <c r="N492" s="114" t="n">
        <v>0</v>
      </c>
      <c r="O492" s="114" t="n"/>
      <c r="P492" s="114" t="n">
        <v>3110879.85</v>
      </c>
      <c r="Q492" s="114" t="n"/>
      <c r="R492" s="114" t="n"/>
      <c r="S492" s="114" t="n"/>
      <c r="T492" s="111" t="n">
        <v>41979.4</v>
      </c>
    </row>
    <row customFormat="true" ht="15" outlineLevel="0" r="493" s="1">
      <c r="A493" s="116" t="n">
        <f aca="false" ca="false" dt2D="false" dtr="false" t="normal">+A492+1</f>
        <v>471</v>
      </c>
      <c r="B493" s="117" t="n">
        <f aca="false" ca="false" dt2D="false" dtr="false" t="normal">+B492+1</f>
        <v>12</v>
      </c>
      <c r="C493" s="104" t="s">
        <v>75</v>
      </c>
      <c r="D493" s="117" t="s">
        <v>4</v>
      </c>
      <c r="E493" s="113" t="n">
        <f aca="false" ca="true" dt2D="false" dtr="false" t="normal">SUBTOTAL(9, F493:T493)</f>
        <v>27280611.12</v>
      </c>
      <c r="F493" s="106" t="n">
        <v>15445175.69</v>
      </c>
      <c r="G493" s="114" t="n">
        <v>7440447.22</v>
      </c>
      <c r="H493" s="114" t="n"/>
      <c r="I493" s="114" t="n">
        <v>4394988.21</v>
      </c>
      <c r="J493" s="114" t="n">
        <v>0</v>
      </c>
      <c r="K493" s="114" t="n"/>
      <c r="L493" s="106" t="n"/>
      <c r="M493" s="114" t="n">
        <v>0</v>
      </c>
      <c r="N493" s="114" t="n">
        <v>0</v>
      </c>
      <c r="O493" s="114" t="n">
        <v>0</v>
      </c>
      <c r="P493" s="114" t="n">
        <v>0</v>
      </c>
      <c r="Q493" s="114" t="n"/>
      <c r="R493" s="114" t="n"/>
      <c r="S493" s="114" t="n"/>
      <c r="T493" s="303" t="n"/>
    </row>
    <row customFormat="true" hidden="false" ht="15" outlineLevel="0" r="494" s="1">
      <c r="A494" s="116" t="n">
        <f aca="false" ca="false" dt2D="false" dtr="false" t="normal">+A493+1</f>
        <v>472</v>
      </c>
      <c r="B494" s="117" t="n">
        <f aca="false" ca="false" dt2D="false" dtr="false" t="normal">+B493+1</f>
        <v>13</v>
      </c>
      <c r="C494" s="104" t="s">
        <v>75</v>
      </c>
      <c r="D494" s="117" t="s">
        <v>465</v>
      </c>
      <c r="E494" s="113" t="n">
        <f aca="false" ca="true" dt2D="false" dtr="false" t="normal">SUBTOTAL(9, F494:T494)</f>
        <v>7813679.5200000005</v>
      </c>
      <c r="F494" s="106" t="n">
        <v>4737532.46</v>
      </c>
      <c r="G494" s="114" t="n"/>
      <c r="H494" s="114" t="n">
        <v>3025139.7</v>
      </c>
      <c r="I494" s="114" t="n"/>
      <c r="J494" s="114" t="n">
        <v>0</v>
      </c>
      <c r="K494" s="114" t="n"/>
      <c r="L494" s="106" t="n"/>
      <c r="M494" s="114" t="n">
        <v>0</v>
      </c>
      <c r="N494" s="114" t="n">
        <v>0</v>
      </c>
      <c r="O494" s="114" t="n">
        <v>0</v>
      </c>
      <c r="P494" s="114" t="n">
        <v>0</v>
      </c>
      <c r="Q494" s="114" t="n">
        <v>0</v>
      </c>
      <c r="R494" s="114" t="n"/>
      <c r="S494" s="114" t="n"/>
      <c r="T494" s="115" t="n">
        <v>51007.36</v>
      </c>
    </row>
    <row customFormat="true" hidden="false" ht="15" outlineLevel="0" r="495" s="1">
      <c r="A495" s="116" t="n">
        <f aca="false" ca="false" dt2D="false" dtr="false" t="normal">+A494+1</f>
        <v>473</v>
      </c>
      <c r="B495" s="117" t="n">
        <f aca="false" ca="false" dt2D="false" dtr="false" t="normal">+B494+1</f>
        <v>14</v>
      </c>
      <c r="C495" s="104" t="s">
        <v>524</v>
      </c>
      <c r="D495" s="117" t="s">
        <v>525</v>
      </c>
      <c r="E495" s="113" t="n">
        <f aca="false" ca="true" dt2D="false" dtr="false" t="normal">SUBTOTAL(9, F495:T495)</f>
        <v>25883294.730000004</v>
      </c>
      <c r="F495" s="106" t="n">
        <v>14432823.3</v>
      </c>
      <c r="G495" s="114" t="n">
        <v>7108989.15</v>
      </c>
      <c r="H495" s="114" t="n">
        <v>4341482.28</v>
      </c>
      <c r="I495" s="114" t="n">
        <v>0</v>
      </c>
      <c r="J495" s="114" t="n">
        <v>0</v>
      </c>
      <c r="K495" s="114" t="n">
        <v>0</v>
      </c>
      <c r="L495" s="106" t="n"/>
      <c r="M495" s="114" t="n">
        <v>0</v>
      </c>
      <c r="N495" s="114" t="n">
        <v>0</v>
      </c>
      <c r="O495" s="114" t="n">
        <v>0</v>
      </c>
      <c r="P495" s="114" t="n">
        <v>0</v>
      </c>
      <c r="Q495" s="114" t="n">
        <v>0</v>
      </c>
      <c r="R495" s="114" t="n"/>
      <c r="S495" s="114" t="n"/>
      <c r="T495" s="303" t="n"/>
    </row>
    <row customFormat="true" hidden="false" ht="15" outlineLevel="0" r="496" s="1">
      <c r="A496" s="116" t="n">
        <f aca="false" ca="false" dt2D="false" dtr="false" t="normal">+A495+1</f>
        <v>474</v>
      </c>
      <c r="B496" s="117" t="n">
        <f aca="false" ca="false" dt2D="false" dtr="false" t="normal">+B495+1</f>
        <v>15</v>
      </c>
      <c r="C496" s="104" t="s">
        <v>528</v>
      </c>
      <c r="D496" s="117" t="s">
        <v>527</v>
      </c>
      <c r="E496" s="113" t="n">
        <f aca="false" ca="true" dt2D="false" dtr="false" t="normal">SUBTOTAL(9, F496:T496)</f>
        <v>33055292.520000003</v>
      </c>
      <c r="F496" s="106" t="n"/>
      <c r="G496" s="114" t="n"/>
      <c r="H496" s="114" t="n"/>
      <c r="I496" s="114" t="n"/>
      <c r="J496" s="114" t="n"/>
      <c r="K496" s="114" t="n"/>
      <c r="L496" s="106" t="n"/>
      <c r="M496" s="114" t="n"/>
      <c r="N496" s="114" t="n">
        <v>13204189.22</v>
      </c>
      <c r="O496" s="114" t="n"/>
      <c r="P496" s="114" t="n">
        <v>19851103.3</v>
      </c>
      <c r="Q496" s="114" t="n">
        <v>0</v>
      </c>
      <c r="R496" s="304" t="n"/>
      <c r="S496" s="304" t="n"/>
      <c r="T496" s="303" t="n"/>
    </row>
    <row customFormat="true" hidden="false" ht="15" outlineLevel="0" r="497" s="1">
      <c r="A497" s="116" t="n">
        <f aca="false" ca="false" dt2D="false" dtr="false" t="normal">+A496+1</f>
        <v>475</v>
      </c>
      <c r="B497" s="117" t="n">
        <f aca="false" ca="false" dt2D="false" dtr="false" t="normal">+B496+1</f>
        <v>16</v>
      </c>
      <c r="C497" s="104" t="s">
        <v>528</v>
      </c>
      <c r="D497" s="117" t="s">
        <v>529</v>
      </c>
      <c r="E497" s="113" t="n">
        <f aca="false" ca="true" dt2D="false" dtr="false" t="normal">SUBTOTAL(9, F497:T497)</f>
        <v>38180923.56</v>
      </c>
      <c r="F497" s="106" t="n"/>
      <c r="G497" s="114" t="n"/>
      <c r="H497" s="114" t="n"/>
      <c r="I497" s="114" t="n"/>
      <c r="J497" s="114" t="n"/>
      <c r="K497" s="114" t="n"/>
      <c r="L497" s="106" t="n"/>
      <c r="M497" s="114" t="n"/>
      <c r="N497" s="114" t="n">
        <v>14729101.2</v>
      </c>
      <c r="O497" s="114" t="n"/>
      <c r="P497" s="114" t="n">
        <v>23451822.36</v>
      </c>
      <c r="Q497" s="114" t="n">
        <v>0</v>
      </c>
      <c r="R497" s="304" t="n"/>
      <c r="S497" s="304" t="n"/>
      <c r="T497" s="303" t="n"/>
    </row>
    <row customFormat="true" hidden="false" ht="15" outlineLevel="0" r="498" s="1">
      <c r="A498" s="116" t="n">
        <f aca="false" ca="false" dt2D="false" dtr="false" t="normal">+A497+1</f>
        <v>476</v>
      </c>
      <c r="B498" s="117" t="n">
        <f aca="false" ca="false" dt2D="false" dtr="false" t="normal">+B497+1</f>
        <v>17</v>
      </c>
      <c r="C498" s="104" t="s">
        <v>528</v>
      </c>
      <c r="D498" s="117" t="s">
        <v>530</v>
      </c>
      <c r="E498" s="113" t="n">
        <f aca="false" ca="true" dt2D="false" dtr="false" t="normal">SUBTOTAL(9, F498:T498)</f>
        <v>31088512.76</v>
      </c>
      <c r="F498" s="106" t="n"/>
      <c r="G498" s="114" t="n"/>
      <c r="H498" s="114" t="n"/>
      <c r="I498" s="114" t="n"/>
      <c r="J498" s="114" t="n"/>
      <c r="K498" s="114" t="n"/>
      <c r="L498" s="106" t="n"/>
      <c r="M498" s="114" t="n"/>
      <c r="N498" s="114" t="n">
        <v>11006754</v>
      </c>
      <c r="O498" s="114" t="n"/>
      <c r="P498" s="114" t="n">
        <v>20081758.76</v>
      </c>
      <c r="Q498" s="114" t="n">
        <v>0</v>
      </c>
      <c r="R498" s="304" t="n"/>
      <c r="S498" s="304" t="n"/>
      <c r="T498" s="303" t="n"/>
    </row>
    <row customFormat="true" hidden="false" ht="15" outlineLevel="0" r="499" s="1">
      <c r="A499" s="116" t="n">
        <f aca="false" ca="false" dt2D="false" dtr="false" t="normal">+A498+1</f>
        <v>477</v>
      </c>
      <c r="B499" s="117" t="n">
        <f aca="false" ca="false" dt2D="false" dtr="false" t="normal">+B498+1</f>
        <v>18</v>
      </c>
      <c r="C499" s="104" t="s">
        <v>528</v>
      </c>
      <c r="D499" s="117" t="s">
        <v>531</v>
      </c>
      <c r="E499" s="113" t="n">
        <f aca="false" ca="true" dt2D="false" dtr="false" t="normal">SUBTOTAL(9, F499:T499)</f>
        <v>33410067.78</v>
      </c>
      <c r="F499" s="106" t="n"/>
      <c r="G499" s="114" t="n"/>
      <c r="H499" s="114" t="n"/>
      <c r="I499" s="114" t="n"/>
      <c r="J499" s="114" t="n"/>
      <c r="K499" s="114" t="n"/>
      <c r="L499" s="106" t="n"/>
      <c r="M499" s="114" t="n"/>
      <c r="N499" s="114" t="n">
        <v>13388581.51</v>
      </c>
      <c r="O499" s="114" t="n"/>
      <c r="P499" s="114" t="n">
        <v>20021486.27</v>
      </c>
      <c r="Q499" s="114" t="n">
        <v>0</v>
      </c>
      <c r="R499" s="304" t="n"/>
      <c r="S499" s="304" t="n"/>
      <c r="T499" s="303" t="n"/>
    </row>
    <row customFormat="true" hidden="false" ht="15" outlineLevel="0" r="500" s="1">
      <c r="A500" s="116" t="n">
        <f aca="false" ca="false" dt2D="false" dtr="false" t="normal">+A499+1</f>
        <v>478</v>
      </c>
      <c r="B500" s="117" t="n">
        <f aca="false" ca="false" dt2D="false" dtr="false" t="normal">+B499+1</f>
        <v>19</v>
      </c>
      <c r="C500" s="104" t="s">
        <v>528</v>
      </c>
      <c r="D500" s="117" t="s">
        <v>532</v>
      </c>
      <c r="E500" s="113" t="n">
        <f aca="false" ca="true" dt2D="false" dtr="false" t="normal">SUBTOTAL(9, F500:T500)</f>
        <v>33812245.07</v>
      </c>
      <c r="F500" s="106" t="n"/>
      <c r="G500" s="114" t="n"/>
      <c r="H500" s="114" t="n"/>
      <c r="I500" s="114" t="n"/>
      <c r="J500" s="114" t="n"/>
      <c r="K500" s="114" t="n"/>
      <c r="L500" s="106" t="n"/>
      <c r="M500" s="114" t="n"/>
      <c r="N500" s="114" t="n">
        <v>13099629.42</v>
      </c>
      <c r="O500" s="114" t="n"/>
      <c r="P500" s="114" t="n">
        <v>20080779.62</v>
      </c>
      <c r="Q500" s="114" t="n">
        <v>0</v>
      </c>
      <c r="R500" s="106" t="n">
        <v>631836.03</v>
      </c>
      <c r="S500" s="304" t="n"/>
      <c r="T500" s="303" t="n"/>
    </row>
    <row customFormat="true" hidden="false" ht="15" outlineLevel="0" r="501" s="1">
      <c r="A501" s="116" t="n">
        <f aca="false" ca="false" dt2D="false" dtr="false" t="normal">+A500+1</f>
        <v>479</v>
      </c>
      <c r="B501" s="117" t="n">
        <f aca="false" ca="false" dt2D="false" dtr="false" t="normal">+B500+1</f>
        <v>20</v>
      </c>
      <c r="C501" s="104" t="s">
        <v>528</v>
      </c>
      <c r="D501" s="117" t="s">
        <v>533</v>
      </c>
      <c r="E501" s="113" t="n">
        <f aca="false" ca="true" dt2D="false" dtr="false" t="normal">SUBTOTAL(9, F501:T501)</f>
        <v>21032987.73</v>
      </c>
      <c r="F501" s="106" t="n"/>
      <c r="G501" s="114" t="n"/>
      <c r="H501" s="114" t="n"/>
      <c r="I501" s="114" t="n"/>
      <c r="J501" s="114" t="n"/>
      <c r="K501" s="114" t="n"/>
      <c r="L501" s="106" t="n"/>
      <c r="M501" s="114" t="n"/>
      <c r="N501" s="114" t="n">
        <v>8451044.93</v>
      </c>
      <c r="O501" s="114" t="n"/>
      <c r="P501" s="114" t="n">
        <v>12581942.8</v>
      </c>
      <c r="Q501" s="114" t="n">
        <v>0</v>
      </c>
      <c r="R501" s="304" t="n"/>
      <c r="S501" s="304" t="n"/>
      <c r="T501" s="303" t="n"/>
    </row>
    <row customFormat="true" hidden="false" ht="15" outlineLevel="0" r="502" s="1">
      <c r="A502" s="116" t="n">
        <f aca="false" ca="false" dt2D="false" dtr="false" t="normal">+A501+1</f>
        <v>480</v>
      </c>
      <c r="B502" s="117" t="n">
        <f aca="false" ca="false" dt2D="false" dtr="false" t="normal">+B501+1</f>
        <v>21</v>
      </c>
      <c r="C502" s="104" t="s">
        <v>78</v>
      </c>
      <c r="D502" s="117" t="s">
        <v>80</v>
      </c>
      <c r="E502" s="113" t="n">
        <f aca="false" ca="true" dt2D="false" dtr="false" t="normal">SUBTOTAL(9, F502:T502)</f>
        <v>6744174.369999999</v>
      </c>
      <c r="F502" s="106" t="n"/>
      <c r="G502" s="114" t="n"/>
      <c r="H502" s="114" t="n">
        <v>3532642.51</v>
      </c>
      <c r="I502" s="114" t="n"/>
      <c r="J502" s="114" t="n">
        <v>0</v>
      </c>
      <c r="K502" s="114" t="n"/>
      <c r="L502" s="106" t="n"/>
      <c r="M502" s="114" t="n">
        <v>2829176.44</v>
      </c>
      <c r="N502" s="114" t="n"/>
      <c r="O502" s="114" t="n">
        <v>0</v>
      </c>
      <c r="P502" s="114" t="n">
        <v>0</v>
      </c>
      <c r="Q502" s="114" t="n">
        <v>0</v>
      </c>
      <c r="R502" s="114" t="n">
        <v>256263</v>
      </c>
      <c r="S502" s="114" t="n">
        <v>85421</v>
      </c>
      <c r="T502" s="114" t="n">
        <v>40671.42</v>
      </c>
    </row>
    <row customFormat="true" hidden="false" ht="15" outlineLevel="0" r="503" s="1">
      <c r="A503" s="116" t="n">
        <f aca="false" ca="false" dt2D="false" dtr="false" t="normal">+A502+1</f>
        <v>481</v>
      </c>
      <c r="B503" s="117" t="n">
        <f aca="false" ca="false" dt2D="false" dtr="false" t="normal">+B502+1</f>
        <v>22</v>
      </c>
      <c r="C503" s="104" t="s">
        <v>78</v>
      </c>
      <c r="D503" s="117" t="s">
        <v>535</v>
      </c>
      <c r="E503" s="113" t="n">
        <f aca="false" ca="true" dt2D="false" dtr="false" t="normal">SUBTOTAL(9, F503:T503)</f>
        <v>2736520.0999999996</v>
      </c>
      <c r="F503" s="106" t="n">
        <v>0</v>
      </c>
      <c r="G503" s="114" t="n">
        <v>0</v>
      </c>
      <c r="H503" s="114" t="n">
        <v>2714815.32</v>
      </c>
      <c r="I503" s="114" t="n">
        <v>0</v>
      </c>
      <c r="J503" s="114" t="n">
        <v>0</v>
      </c>
      <c r="K503" s="114" t="n"/>
      <c r="L503" s="106" t="n"/>
      <c r="M503" s="114" t="n">
        <v>0</v>
      </c>
      <c r="N503" s="114" t="n">
        <v>0</v>
      </c>
      <c r="O503" s="114" t="n">
        <v>0</v>
      </c>
      <c r="P503" s="114" t="n">
        <v>0</v>
      </c>
      <c r="Q503" s="114" t="n">
        <v>0</v>
      </c>
      <c r="R503" s="114" t="n"/>
      <c r="S503" s="114" t="n"/>
      <c r="T503" s="115" t="n">
        <v>21704.78</v>
      </c>
    </row>
    <row customFormat="true" hidden="false" ht="15" outlineLevel="0" r="504" s="1">
      <c r="A504" s="116" t="n">
        <f aca="false" ca="false" dt2D="false" dtr="false" t="normal">+A503+1</f>
        <v>482</v>
      </c>
      <c r="B504" s="117" t="n">
        <f aca="false" ca="false" dt2D="false" dtr="false" t="normal">+B503+1</f>
        <v>23</v>
      </c>
      <c r="C504" s="104" t="s">
        <v>78</v>
      </c>
      <c r="D504" s="117" t="s">
        <v>536</v>
      </c>
      <c r="E504" s="113" t="n">
        <f aca="false" ca="true" dt2D="false" dtr="false" t="normal">SUBTOTAL(9, F504:T504)</f>
        <v>31218003.720000003</v>
      </c>
      <c r="F504" s="106" t="n">
        <v>7654861.85</v>
      </c>
      <c r="G504" s="114" t="n">
        <v>0</v>
      </c>
      <c r="H504" s="114" t="n">
        <v>1903165.26</v>
      </c>
      <c r="I504" s="114" t="n">
        <v>0</v>
      </c>
      <c r="J504" s="114" t="n">
        <v>0</v>
      </c>
      <c r="K504" s="114" t="n"/>
      <c r="L504" s="106" t="n"/>
      <c r="M504" s="114" t="n">
        <v>0</v>
      </c>
      <c r="N504" s="114" t="n"/>
      <c r="O504" s="114" t="n">
        <v>0</v>
      </c>
      <c r="P504" s="114" t="n">
        <v>21362887.94</v>
      </c>
      <c r="Q504" s="114" t="n">
        <v>0</v>
      </c>
      <c r="R504" s="114" t="n"/>
      <c r="S504" s="114" t="n"/>
      <c r="T504" s="115" t="n">
        <v>297088.67</v>
      </c>
    </row>
    <row customFormat="true" hidden="false" ht="15" outlineLevel="0" r="505" s="1">
      <c r="A505" s="116" t="n">
        <f aca="false" ca="false" dt2D="false" dtr="false" t="normal">+A504+1</f>
        <v>483</v>
      </c>
      <c r="B505" s="117" t="n">
        <f aca="false" ca="false" dt2D="false" dtr="false" t="normal">+B504+1</f>
        <v>24</v>
      </c>
      <c r="C505" s="104" t="s">
        <v>78</v>
      </c>
      <c r="D505" s="117" t="s">
        <v>537</v>
      </c>
      <c r="E505" s="113" t="n">
        <f aca="false" ca="true" dt2D="false" dtr="false" t="normal">SUBTOTAL(9, F505:T505)</f>
        <v>3029314.69</v>
      </c>
      <c r="F505" s="106" t="n">
        <v>0</v>
      </c>
      <c r="G505" s="114" t="n">
        <v>0</v>
      </c>
      <c r="H505" s="114" t="n">
        <v>2991277.86</v>
      </c>
      <c r="I505" s="114" t="n">
        <v>0</v>
      </c>
      <c r="J505" s="114" t="n">
        <v>0</v>
      </c>
      <c r="K505" s="114" t="n"/>
      <c r="L505" s="106" t="n"/>
      <c r="M505" s="114" t="n">
        <v>0</v>
      </c>
      <c r="N505" s="114" t="n">
        <v>0</v>
      </c>
      <c r="O505" s="114" t="n">
        <v>0</v>
      </c>
      <c r="P505" s="114" t="n">
        <v>0</v>
      </c>
      <c r="Q505" s="114" t="n">
        <v>0</v>
      </c>
      <c r="R505" s="114" t="n"/>
      <c r="S505" s="114" t="n"/>
      <c r="T505" s="115" t="n">
        <v>38036.83</v>
      </c>
    </row>
    <row customFormat="true" hidden="false" ht="15" outlineLevel="0" r="506" s="1">
      <c r="A506" s="116" t="n">
        <f aca="false" ca="false" dt2D="false" dtr="false" t="normal">+A505+1</f>
        <v>484</v>
      </c>
      <c r="B506" s="117" t="n">
        <f aca="false" ca="false" dt2D="false" dtr="false" t="normal">+B505+1</f>
        <v>25</v>
      </c>
      <c r="C506" s="104" t="s">
        <v>78</v>
      </c>
      <c r="D506" s="117" t="s">
        <v>538</v>
      </c>
      <c r="E506" s="113" t="n">
        <f aca="false" ca="true" dt2D="false" dtr="false" t="normal">SUBTOTAL(9, F506:T506)</f>
        <v>15466945.7</v>
      </c>
      <c r="F506" s="106" t="n">
        <v>0</v>
      </c>
      <c r="G506" s="114" t="n">
        <v>0</v>
      </c>
      <c r="H506" s="114" t="n">
        <v>0</v>
      </c>
      <c r="I506" s="114" t="n">
        <v>0</v>
      </c>
      <c r="J506" s="114" t="n">
        <v>0</v>
      </c>
      <c r="K506" s="114" t="n"/>
      <c r="L506" s="106" t="n"/>
      <c r="M506" s="114" t="n">
        <v>0</v>
      </c>
      <c r="N506" s="114" t="n">
        <v>15466945.7</v>
      </c>
      <c r="O506" s="114" t="n">
        <v>0</v>
      </c>
      <c r="P506" s="114" t="n"/>
      <c r="Q506" s="114" t="n">
        <v>0</v>
      </c>
      <c r="R506" s="114" t="n"/>
      <c r="S506" s="114" t="n"/>
      <c r="T506" s="303" t="n"/>
    </row>
    <row customFormat="true" hidden="false" ht="15" outlineLevel="0" r="507" s="1">
      <c r="A507" s="116" t="n">
        <f aca="false" ca="false" dt2D="false" dtr="false" t="normal">+A506+1</f>
        <v>485</v>
      </c>
      <c r="B507" s="117" t="n">
        <f aca="false" ca="false" dt2D="false" dtr="false" t="normal">+B506+1</f>
        <v>26</v>
      </c>
      <c r="C507" s="104" t="s">
        <v>78</v>
      </c>
      <c r="D507" s="117" t="s">
        <v>539</v>
      </c>
      <c r="E507" s="113" t="n">
        <f aca="false" ca="true" dt2D="false" dtr="false" t="normal">SUBTOTAL(9, F507:T507)</f>
        <v>4096150.81</v>
      </c>
      <c r="F507" s="106" t="n"/>
      <c r="G507" s="114" t="n"/>
      <c r="H507" s="114" t="n">
        <v>4048212.59</v>
      </c>
      <c r="I507" s="114" t="n"/>
      <c r="J507" s="114" t="n">
        <v>0</v>
      </c>
      <c r="K507" s="114" t="n"/>
      <c r="L507" s="106" t="n"/>
      <c r="M507" s="114" t="n">
        <v>0</v>
      </c>
      <c r="N507" s="114" t="n">
        <v>0</v>
      </c>
      <c r="O507" s="114" t="n">
        <v>0</v>
      </c>
      <c r="P507" s="114" t="n">
        <v>0</v>
      </c>
      <c r="Q507" s="114" t="n">
        <v>0</v>
      </c>
      <c r="R507" s="114" t="n"/>
      <c r="S507" s="114" t="n"/>
      <c r="T507" s="115" t="n">
        <v>47938.22</v>
      </c>
    </row>
    <row customFormat="true" hidden="false" ht="15" outlineLevel="0" r="508" s="1">
      <c r="A508" s="116" t="n">
        <f aca="false" ca="false" dt2D="false" dtr="false" t="normal">+A507+1</f>
        <v>486</v>
      </c>
      <c r="B508" s="117" t="n">
        <f aca="false" ca="false" dt2D="false" dtr="false" t="normal">+B507+1</f>
        <v>27</v>
      </c>
      <c r="C508" s="104" t="s">
        <v>78</v>
      </c>
      <c r="D508" s="117" t="s">
        <v>466</v>
      </c>
      <c r="E508" s="113" t="n">
        <f aca="false" ca="true" dt2D="false" dtr="false" t="normal">SUBTOTAL(9, F508:T508)</f>
        <v>7701571.029999999</v>
      </c>
      <c r="F508" s="106" t="n"/>
      <c r="G508" s="114" t="n">
        <v>0</v>
      </c>
      <c r="H508" s="114" t="n">
        <v>7688281.39</v>
      </c>
      <c r="I508" s="114" t="n">
        <v>0</v>
      </c>
      <c r="J508" s="114" t="n">
        <v>0</v>
      </c>
      <c r="K508" s="114" t="n"/>
      <c r="L508" s="106" t="n"/>
      <c r="M508" s="114" t="n">
        <v>0</v>
      </c>
      <c r="N508" s="114" t="n">
        <v>0</v>
      </c>
      <c r="O508" s="114" t="n">
        <v>0</v>
      </c>
      <c r="P508" s="114" t="n">
        <v>0</v>
      </c>
      <c r="Q508" s="114" t="n">
        <v>0</v>
      </c>
      <c r="R508" s="114" t="n"/>
      <c r="S508" s="114" t="n"/>
      <c r="T508" s="115" t="n">
        <v>13289.64</v>
      </c>
    </row>
    <row customFormat="true" hidden="false" ht="15" outlineLevel="0" r="509" s="1">
      <c r="A509" s="116" t="n">
        <f aca="false" ca="false" dt2D="false" dtr="false" t="normal">+A508+1</f>
        <v>487</v>
      </c>
      <c r="B509" s="117" t="n">
        <f aca="false" ca="false" dt2D="false" dtr="false" t="normal">+B508+1</f>
        <v>28</v>
      </c>
      <c r="C509" s="104" t="s">
        <v>78</v>
      </c>
      <c r="D509" s="117" t="s">
        <v>540</v>
      </c>
      <c r="E509" s="113" t="n">
        <f aca="false" ca="true" dt2D="false" dtr="false" t="normal">SUBTOTAL(9, F509:T509)</f>
        <v>3000018.45</v>
      </c>
      <c r="F509" s="106" t="n">
        <v>0</v>
      </c>
      <c r="G509" s="114" t="n">
        <v>0</v>
      </c>
      <c r="H509" s="114" t="n">
        <v>0</v>
      </c>
      <c r="I509" s="114" t="n">
        <v>0</v>
      </c>
      <c r="J509" s="114" t="n">
        <v>0</v>
      </c>
      <c r="K509" s="114" t="n"/>
      <c r="L509" s="106" t="n">
        <v>0</v>
      </c>
      <c r="M509" s="114" t="n">
        <v>2829176.45</v>
      </c>
      <c r="N509" s="114" t="n"/>
      <c r="O509" s="114" t="n">
        <v>0</v>
      </c>
      <c r="P509" s="114" t="n">
        <v>0</v>
      </c>
      <c r="Q509" s="114" t="n">
        <v>0</v>
      </c>
      <c r="R509" s="114" t="n">
        <v>128131.5</v>
      </c>
      <c r="S509" s="114" t="n">
        <v>42710.5</v>
      </c>
      <c r="T509" s="303" t="n"/>
    </row>
    <row customFormat="true" hidden="false" ht="15" outlineLevel="0" r="510" s="1">
      <c r="A510" s="116" t="n">
        <f aca="false" ca="false" dt2D="false" dtr="false" t="normal">+A509+1</f>
        <v>488</v>
      </c>
      <c r="B510" s="117" t="n">
        <f aca="false" ca="false" dt2D="false" dtr="false" t="normal">+B509+1</f>
        <v>29</v>
      </c>
      <c r="C510" s="104" t="s">
        <v>78</v>
      </c>
      <c r="D510" s="117" t="s">
        <v>541</v>
      </c>
      <c r="E510" s="113" t="n">
        <f aca="false" ca="true" dt2D="false" dtr="false" t="normal">SUBTOTAL(9, F510:T510)</f>
        <v>9000055.31</v>
      </c>
      <c r="F510" s="106" t="n"/>
      <c r="G510" s="114" t="n"/>
      <c r="H510" s="114" t="n"/>
      <c r="I510" s="114" t="n"/>
      <c r="J510" s="114" t="n"/>
      <c r="K510" s="114" t="n"/>
      <c r="L510" s="106" t="n"/>
      <c r="M510" s="114" t="n">
        <v>8487529.31</v>
      </c>
      <c r="N510" s="114" t="n"/>
      <c r="O510" s="114" t="n"/>
      <c r="P510" s="114" t="n"/>
      <c r="Q510" s="114" t="n"/>
      <c r="R510" s="114" t="n">
        <v>384394.5</v>
      </c>
      <c r="S510" s="114" t="n">
        <v>128131.5</v>
      </c>
      <c r="T510" s="303" t="n"/>
    </row>
    <row customFormat="true" hidden="false" ht="15" outlineLevel="0" r="511" s="1">
      <c r="A511" s="116" t="n">
        <f aca="false" ca="false" dt2D="false" dtr="false" t="normal">+A510+1</f>
        <v>489</v>
      </c>
      <c r="B511" s="117" t="n">
        <f aca="false" ca="false" dt2D="false" dtr="false" t="normal">+B510+1</f>
        <v>30</v>
      </c>
      <c r="C511" s="104" t="s">
        <v>78</v>
      </c>
      <c r="D511" s="117" t="s">
        <v>542</v>
      </c>
      <c r="E511" s="113" t="n">
        <f aca="false" ca="true" dt2D="false" dtr="false" t="normal">SUBTOTAL(9, F511:T511)</f>
        <v>3000018.45</v>
      </c>
      <c r="F511" s="106" t="n"/>
      <c r="G511" s="114" t="n"/>
      <c r="H511" s="114" t="n"/>
      <c r="I511" s="114" t="n"/>
      <c r="J511" s="114" t="n"/>
      <c r="K511" s="114" t="n"/>
      <c r="L511" s="106" t="n"/>
      <c r="M511" s="114" t="n">
        <v>2829176.45</v>
      </c>
      <c r="N511" s="114" t="n"/>
      <c r="O511" s="114" t="n"/>
      <c r="P511" s="114" t="n"/>
      <c r="Q511" s="114" t="n"/>
      <c r="R511" s="114" t="n">
        <v>128131.5</v>
      </c>
      <c r="S511" s="114" t="n">
        <v>42710.5</v>
      </c>
      <c r="T511" s="303" t="n"/>
    </row>
    <row customFormat="true" hidden="false" ht="15" outlineLevel="0" r="512" s="1">
      <c r="A512" s="116" t="n">
        <f aca="false" ca="false" dt2D="false" dtr="false" t="normal">+A511+1</f>
        <v>490</v>
      </c>
      <c r="B512" s="117" t="n">
        <f aca="false" ca="false" dt2D="false" dtr="false" t="normal">+B511+1</f>
        <v>31</v>
      </c>
      <c r="C512" s="104" t="s">
        <v>78</v>
      </c>
      <c r="D512" s="117" t="s">
        <v>543</v>
      </c>
      <c r="E512" s="113" t="n">
        <f aca="false" ca="true" dt2D="false" dtr="false" t="normal">SUBTOTAL(9, F512:T512)</f>
        <v>6000036.88</v>
      </c>
      <c r="F512" s="106" t="n"/>
      <c r="G512" s="114" t="n"/>
      <c r="H512" s="114" t="n"/>
      <c r="I512" s="114" t="n"/>
      <c r="J512" s="114" t="n"/>
      <c r="K512" s="114" t="n"/>
      <c r="L512" s="106" t="n"/>
      <c r="M512" s="114" t="n">
        <v>5658352.88</v>
      </c>
      <c r="N512" s="114" t="n"/>
      <c r="O512" s="114" t="n"/>
      <c r="P512" s="114" t="n"/>
      <c r="Q512" s="114" t="n"/>
      <c r="R512" s="114" t="n">
        <v>256263</v>
      </c>
      <c r="S512" s="114" t="n">
        <v>85421</v>
      </c>
      <c r="T512" s="303" t="n"/>
    </row>
    <row customFormat="true" hidden="false" ht="15" outlineLevel="0" r="513" s="1">
      <c r="A513" s="116" t="n">
        <f aca="false" ca="false" dt2D="false" dtr="false" t="normal">+A512+1</f>
        <v>491</v>
      </c>
      <c r="B513" s="117" t="n">
        <f aca="false" ca="false" dt2D="false" dtr="false" t="normal">+B512+1</f>
        <v>32</v>
      </c>
      <c r="C513" s="104" t="s">
        <v>78</v>
      </c>
      <c r="D513" s="117" t="s">
        <v>544</v>
      </c>
      <c r="E513" s="113" t="n">
        <f aca="false" ca="true" dt2D="false" dtr="false" t="normal">SUBTOTAL(9, F513:T513)</f>
        <v>3000018.43</v>
      </c>
      <c r="F513" s="106" t="n"/>
      <c r="G513" s="114" t="n"/>
      <c r="H513" s="114" t="n"/>
      <c r="I513" s="114" t="n"/>
      <c r="J513" s="114" t="n"/>
      <c r="K513" s="114" t="n"/>
      <c r="L513" s="106" t="n"/>
      <c r="M513" s="114" t="n">
        <v>2829176.43</v>
      </c>
      <c r="N513" s="114" t="n"/>
      <c r="O513" s="114" t="n"/>
      <c r="P513" s="114" t="n"/>
      <c r="Q513" s="114" t="n"/>
      <c r="R513" s="114" t="n">
        <v>128131.5</v>
      </c>
      <c r="S513" s="114" t="n">
        <v>42710.5</v>
      </c>
      <c r="T513" s="303" t="n"/>
    </row>
    <row customFormat="true" hidden="false" ht="15" outlineLevel="0" r="514" s="1">
      <c r="A514" s="116" t="n">
        <f aca="false" ca="false" dt2D="false" dtr="false" t="normal">+A513+1</f>
        <v>492</v>
      </c>
      <c r="B514" s="117" t="n">
        <f aca="false" ca="false" dt2D="false" dtr="false" t="normal">+B513+1</f>
        <v>33</v>
      </c>
      <c r="C514" s="104" t="s">
        <v>78</v>
      </c>
      <c r="D514" s="117" t="s">
        <v>83</v>
      </c>
      <c r="E514" s="113" t="n">
        <f aca="false" ca="true" dt2D="false" dtr="false" t="normal">SUBTOTAL(9, F514:T514)</f>
        <v>5868814.88</v>
      </c>
      <c r="F514" s="106" t="n"/>
      <c r="G514" s="114" t="n"/>
      <c r="H514" s="114" t="n">
        <v>5868814.88</v>
      </c>
      <c r="I514" s="114" t="n"/>
      <c r="J514" s="114" t="n"/>
      <c r="K514" s="114" t="n"/>
      <c r="L514" s="106" t="n"/>
      <c r="M514" s="114" t="n">
        <v>0</v>
      </c>
      <c r="N514" s="114" t="n">
        <v>0</v>
      </c>
      <c r="O514" s="114" t="n">
        <v>0</v>
      </c>
      <c r="P514" s="114" t="n">
        <v>0</v>
      </c>
      <c r="Q514" s="114" t="n">
        <v>0</v>
      </c>
      <c r="R514" s="114" t="n"/>
      <c r="S514" s="114" t="n"/>
      <c r="T514" s="303" t="n"/>
    </row>
    <row customFormat="true" hidden="false" ht="15" outlineLevel="0" r="515" s="1">
      <c r="A515" s="116" t="n">
        <f aca="false" ca="false" dt2D="false" dtr="false" t="normal">+A514+1</f>
        <v>493</v>
      </c>
      <c r="B515" s="117" t="n">
        <f aca="false" ca="false" dt2D="false" dtr="false" t="normal">+B514+1</f>
        <v>34</v>
      </c>
      <c r="C515" s="104" t="s">
        <v>78</v>
      </c>
      <c r="D515" s="117" t="s">
        <v>545</v>
      </c>
      <c r="E515" s="113" t="n">
        <f aca="false" ca="true" dt2D="false" dtr="false" t="normal">SUBTOTAL(9, F515:T515)</f>
        <v>9000055.33</v>
      </c>
      <c r="F515" s="106" t="n"/>
      <c r="G515" s="114" t="n"/>
      <c r="H515" s="114" t="n"/>
      <c r="I515" s="114" t="n"/>
      <c r="J515" s="114" t="n"/>
      <c r="K515" s="114" t="n"/>
      <c r="L515" s="106" t="n"/>
      <c r="M515" s="114" t="n">
        <v>8487529.33</v>
      </c>
      <c r="N515" s="114" t="n"/>
      <c r="O515" s="114" t="n"/>
      <c r="P515" s="114" t="n"/>
      <c r="Q515" s="114" t="n"/>
      <c r="R515" s="114" t="n">
        <v>384394.5</v>
      </c>
      <c r="S515" s="114" t="n">
        <v>128131.5</v>
      </c>
      <c r="T515" s="303" t="n"/>
    </row>
    <row customFormat="true" hidden="false" ht="15" outlineLevel="0" r="516" s="1">
      <c r="A516" s="116" t="n">
        <f aca="false" ca="false" dt2D="false" dtr="false" t="normal">+A515+1</f>
        <v>494</v>
      </c>
      <c r="B516" s="117" t="n">
        <f aca="false" ca="false" dt2D="false" dtr="false" t="normal">+B515+1</f>
        <v>35</v>
      </c>
      <c r="C516" s="104" t="s">
        <v>78</v>
      </c>
      <c r="D516" s="117" t="s">
        <v>84</v>
      </c>
      <c r="E516" s="113" t="n">
        <f aca="false" ca="true" dt2D="false" dtr="false" t="normal">SUBTOTAL(9, F516:T516)</f>
        <v>6606168.29</v>
      </c>
      <c r="F516" s="106" t="n"/>
      <c r="G516" s="114" t="n"/>
      <c r="H516" s="114" t="n">
        <v>6582856.32</v>
      </c>
      <c r="I516" s="114" t="n"/>
      <c r="J516" s="114" t="n"/>
      <c r="K516" s="114" t="n"/>
      <c r="L516" s="106" t="n"/>
      <c r="M516" s="114" t="n">
        <v>0</v>
      </c>
      <c r="N516" s="114" t="n">
        <v>0</v>
      </c>
      <c r="O516" s="114" t="n"/>
      <c r="P516" s="114" t="n">
        <v>0</v>
      </c>
      <c r="Q516" s="114" t="n">
        <v>0</v>
      </c>
      <c r="R516" s="114" t="n"/>
      <c r="S516" s="114" t="n"/>
      <c r="T516" s="115" t="n">
        <v>23311.97</v>
      </c>
    </row>
    <row customFormat="true" hidden="false" ht="15" outlineLevel="0" r="517" s="1">
      <c r="A517" s="116" t="n">
        <f aca="false" ca="false" dt2D="false" dtr="false" t="normal">+A516+1</f>
        <v>495</v>
      </c>
      <c r="B517" s="117" t="n">
        <f aca="false" ca="false" dt2D="false" dtr="false" t="normal">+B516+1</f>
        <v>36</v>
      </c>
      <c r="C517" s="104" t="s">
        <v>78</v>
      </c>
      <c r="D517" s="117" t="s">
        <v>546</v>
      </c>
      <c r="E517" s="113" t="n">
        <f aca="false" ca="true" dt2D="false" dtr="false" t="normal">SUBTOTAL(9, F517:T517)</f>
        <v>3000018.45</v>
      </c>
      <c r="F517" s="106" t="n"/>
      <c r="G517" s="114" t="n"/>
      <c r="H517" s="114" t="n"/>
      <c r="I517" s="114" t="n"/>
      <c r="J517" s="114" t="n"/>
      <c r="K517" s="114" t="n"/>
      <c r="L517" s="106" t="n"/>
      <c r="M517" s="114" t="n">
        <v>2829176.45</v>
      </c>
      <c r="N517" s="114" t="n"/>
      <c r="O517" s="114" t="n"/>
      <c r="P517" s="114" t="n"/>
      <c r="Q517" s="114" t="n"/>
      <c r="R517" s="114" t="n">
        <v>128131.5</v>
      </c>
      <c r="S517" s="114" t="n">
        <v>42710.5</v>
      </c>
      <c r="T517" s="303" t="n"/>
    </row>
    <row customFormat="true" hidden="false" ht="15" outlineLevel="0" r="518" s="1">
      <c r="A518" s="116" t="n">
        <f aca="false" ca="false" dt2D="false" dtr="false" t="normal">+A517+1</f>
        <v>496</v>
      </c>
      <c r="B518" s="117" t="n">
        <f aca="false" ca="false" dt2D="false" dtr="false" t="normal">+B517+1</f>
        <v>37</v>
      </c>
      <c r="C518" s="104" t="s">
        <v>78</v>
      </c>
      <c r="D518" s="117" t="s">
        <v>547</v>
      </c>
      <c r="E518" s="113" t="n">
        <f aca="false" ca="true" dt2D="false" dtr="false" t="normal">SUBTOTAL(9, F518:T518)</f>
        <v>4684736.84</v>
      </c>
      <c r="F518" s="106" t="n">
        <v>0</v>
      </c>
      <c r="G518" s="114" t="n">
        <v>0</v>
      </c>
      <c r="H518" s="114" t="n">
        <v>0</v>
      </c>
      <c r="I518" s="114" t="n">
        <v>0</v>
      </c>
      <c r="J518" s="114" t="n">
        <v>0</v>
      </c>
      <c r="K518" s="114" t="n"/>
      <c r="L518" s="106" t="n"/>
      <c r="M518" s="114" t="n">
        <v>0</v>
      </c>
      <c r="N518" s="114" t="n">
        <v>0</v>
      </c>
      <c r="O518" s="114" t="n">
        <v>0</v>
      </c>
      <c r="P518" s="114" t="n">
        <v>4644971.1</v>
      </c>
      <c r="Q518" s="114" t="n">
        <v>0</v>
      </c>
      <c r="R518" s="114" t="n"/>
      <c r="S518" s="114" t="n"/>
      <c r="T518" s="115" t="n">
        <v>39765.74</v>
      </c>
    </row>
    <row customFormat="true" hidden="false" ht="15" outlineLevel="0" r="519" s="1">
      <c r="A519" s="116" t="n">
        <f aca="false" ca="false" dt2D="false" dtr="false" t="normal">+A518+1</f>
        <v>497</v>
      </c>
      <c r="B519" s="117" t="n">
        <f aca="false" ca="false" dt2D="false" dtr="false" t="normal">+B518+1</f>
        <v>38</v>
      </c>
      <c r="C519" s="104" t="s">
        <v>78</v>
      </c>
      <c r="D519" s="117" t="s">
        <v>548</v>
      </c>
      <c r="E519" s="113" t="n">
        <f aca="false" ca="true" dt2D="false" dtr="false" t="normal">SUBTOTAL(9, F519:T519)</f>
        <v>15012592.61</v>
      </c>
      <c r="F519" s="106" t="n">
        <v>10667268.66</v>
      </c>
      <c r="G519" s="114" t="n">
        <v>0</v>
      </c>
      <c r="H519" s="114" t="n">
        <v>0</v>
      </c>
      <c r="I519" s="114" t="n">
        <v>4345323.95</v>
      </c>
      <c r="J519" s="114" t="n">
        <v>0</v>
      </c>
      <c r="K519" s="114" t="n"/>
      <c r="L519" s="106" t="n"/>
      <c r="M519" s="114" t="n">
        <v>0</v>
      </c>
      <c r="N519" s="114" t="n">
        <v>0</v>
      </c>
      <c r="O519" s="114" t="n">
        <v>0</v>
      </c>
      <c r="P519" s="114" t="n">
        <v>0</v>
      </c>
      <c r="Q519" s="114" t="n">
        <v>0</v>
      </c>
      <c r="R519" s="114" t="n"/>
      <c r="S519" s="114" t="n"/>
      <c r="T519" s="303" t="n"/>
    </row>
    <row customFormat="true" hidden="false" ht="15" outlineLevel="0" r="520" s="1">
      <c r="A520" s="116" t="n">
        <f aca="false" ca="false" dt2D="false" dtr="false" t="normal">+A519+1</f>
        <v>498</v>
      </c>
      <c r="B520" s="117" t="n">
        <f aca="false" ca="false" dt2D="false" dtr="false" t="normal">+B519+1</f>
        <v>39</v>
      </c>
      <c r="C520" s="104" t="s">
        <v>78</v>
      </c>
      <c r="D520" s="117" t="s">
        <v>549</v>
      </c>
      <c r="E520" s="113" t="n">
        <f aca="false" ca="true" dt2D="false" dtr="false" t="normal">SUBTOTAL(9, F520:T520)</f>
        <v>20737032.79</v>
      </c>
      <c r="F520" s="106" t="n">
        <v>0</v>
      </c>
      <c r="G520" s="114" t="n">
        <v>0</v>
      </c>
      <c r="H520" s="114" t="n">
        <v>0</v>
      </c>
      <c r="I520" s="114" t="n">
        <v>0</v>
      </c>
      <c r="J520" s="114" t="n">
        <v>0</v>
      </c>
      <c r="K520" s="114" t="n"/>
      <c r="L520" s="106" t="n"/>
      <c r="M520" s="114" t="n">
        <v>0</v>
      </c>
      <c r="N520" s="114" t="n">
        <v>0</v>
      </c>
      <c r="O520" s="114" t="n">
        <v>0</v>
      </c>
      <c r="P520" s="114" t="n">
        <v>20737032.79</v>
      </c>
      <c r="Q520" s="114" t="n">
        <v>0</v>
      </c>
      <c r="R520" s="114" t="n"/>
      <c r="S520" s="114" t="n"/>
      <c r="T520" s="303" t="n"/>
    </row>
    <row customFormat="true" hidden="false" ht="15" outlineLevel="0" r="521" s="1">
      <c r="A521" s="116" t="n">
        <f aca="false" ca="false" dt2D="false" dtr="false" t="normal">+A520+1</f>
        <v>499</v>
      </c>
      <c r="B521" s="117" t="n">
        <f aca="false" ca="false" dt2D="false" dtr="false" t="normal">+B520+1</f>
        <v>40</v>
      </c>
      <c r="C521" s="104" t="s">
        <v>78</v>
      </c>
      <c r="D521" s="117" t="s">
        <v>550</v>
      </c>
      <c r="E521" s="113" t="n">
        <f aca="false" ca="true" dt2D="false" dtr="false" t="normal">SUBTOTAL(9, F521:T521)</f>
        <v>4036749.95</v>
      </c>
      <c r="F521" s="106" t="n"/>
      <c r="G521" s="114" t="n">
        <v>0</v>
      </c>
      <c r="H521" s="114" t="n">
        <v>0</v>
      </c>
      <c r="I521" s="114" t="n">
        <v>0</v>
      </c>
      <c r="J521" s="114" t="n">
        <v>0</v>
      </c>
      <c r="K521" s="114" t="n"/>
      <c r="L521" s="106" t="n"/>
      <c r="M521" s="114" t="n"/>
      <c r="N521" s="114" t="n"/>
      <c r="O521" s="114" t="n"/>
      <c r="P521" s="114" t="n">
        <v>3991525.06</v>
      </c>
      <c r="Q521" s="114" t="n">
        <v>0</v>
      </c>
      <c r="R521" s="114" t="n"/>
      <c r="S521" s="114" t="n"/>
      <c r="T521" s="115" t="n">
        <v>45224.89</v>
      </c>
      <c r="U521" s="0" t="n"/>
      <c r="V521" s="0" t="n"/>
      <c r="W521" s="0" t="n"/>
      <c r="X521" s="0" t="n"/>
      <c r="Y521" s="0" t="n"/>
      <c r="Z521" s="0" t="n"/>
      <c r="AA521" s="0" t="n"/>
      <c r="AB521" s="0" t="n"/>
      <c r="AC521" s="0" t="n"/>
      <c r="AD521" s="0" t="n"/>
      <c r="AE521" s="0" t="n"/>
      <c r="AF521" s="0" t="n"/>
      <c r="AG521" s="0" t="n"/>
      <c r="AH521" s="0" t="n"/>
      <c r="AI521" s="0" t="n"/>
      <c r="AJ521" s="0" t="n"/>
      <c r="AK521" s="0" t="n"/>
      <c r="AL521" s="0" t="n"/>
      <c r="AM521" s="0" t="n"/>
      <c r="AN521" s="0" t="n"/>
      <c r="AO521" s="0" t="n"/>
      <c r="AP521" s="0" t="n"/>
      <c r="AQ521" s="0" t="n"/>
      <c r="AR521" s="0" t="n"/>
      <c r="AS521" s="0" t="n"/>
      <c r="AT521" s="0" t="n"/>
      <c r="AU521" s="0" t="n"/>
      <c r="AV521" s="0" t="n"/>
      <c r="AW521" s="0" t="n"/>
      <c r="AX521" s="0" t="n"/>
      <c r="AY521" s="0" t="n"/>
      <c r="AZ521" s="0" t="n"/>
      <c r="BA521" s="0" t="n"/>
      <c r="BB521" s="0" t="n"/>
      <c r="BC521" s="0" t="n"/>
      <c r="BD521" s="0" t="n"/>
      <c r="BE521" s="0" t="n"/>
      <c r="BF521" s="0" t="n"/>
      <c r="BG521" s="0" t="n"/>
      <c r="BH521" s="0" t="n"/>
      <c r="BI521" s="0" t="n"/>
      <c r="BJ521" s="0" t="n"/>
      <c r="BK521" s="0" t="n"/>
      <c r="BL521" s="0" t="n"/>
      <c r="BM521" s="0" t="n"/>
      <c r="BN521" s="0" t="n"/>
      <c r="BO521" s="0" t="n"/>
      <c r="BP521" s="0" t="n"/>
    </row>
    <row customFormat="true" hidden="false" ht="15" outlineLevel="0" r="522" s="1">
      <c r="A522" s="116" t="n">
        <f aca="false" ca="false" dt2D="false" dtr="false" t="normal">+A521+1</f>
        <v>500</v>
      </c>
      <c r="B522" s="117" t="n">
        <f aca="false" ca="false" dt2D="false" dtr="false" t="normal">+B521+1</f>
        <v>41</v>
      </c>
      <c r="C522" s="104" t="s">
        <v>78</v>
      </c>
      <c r="D522" s="117" t="s">
        <v>551</v>
      </c>
      <c r="E522" s="113" t="n">
        <f aca="false" ca="true" dt2D="false" dtr="false" t="normal">SUBTOTAL(9, F522:T522)</f>
        <v>3888213.41</v>
      </c>
      <c r="F522" s="106" t="n">
        <v>0</v>
      </c>
      <c r="G522" s="114" t="n">
        <v>0</v>
      </c>
      <c r="H522" s="114" t="n">
        <v>3841262.66</v>
      </c>
      <c r="I522" s="114" t="n">
        <v>0</v>
      </c>
      <c r="J522" s="114" t="n">
        <v>0</v>
      </c>
      <c r="K522" s="114" t="n"/>
      <c r="L522" s="106" t="n"/>
      <c r="M522" s="114" t="n">
        <v>0</v>
      </c>
      <c r="N522" s="114" t="n">
        <v>0</v>
      </c>
      <c r="O522" s="114" t="n">
        <v>0</v>
      </c>
      <c r="P522" s="114" t="n">
        <v>0</v>
      </c>
      <c r="Q522" s="114" t="n">
        <v>0</v>
      </c>
      <c r="R522" s="114" t="n"/>
      <c r="S522" s="114" t="n"/>
      <c r="T522" s="115" t="n">
        <v>46950.75</v>
      </c>
    </row>
    <row customFormat="true" hidden="false" ht="15" outlineLevel="0" r="523" s="1">
      <c r="A523" s="116" t="n">
        <f aca="false" ca="false" dt2D="false" dtr="false" t="normal">+A522+1</f>
        <v>501</v>
      </c>
      <c r="B523" s="117" t="n">
        <f aca="false" ca="false" dt2D="false" dtr="false" t="normal">+B522+1</f>
        <v>42</v>
      </c>
      <c r="C523" s="104" t="s">
        <v>78</v>
      </c>
      <c r="D523" s="117" t="s">
        <v>87</v>
      </c>
      <c r="E523" s="113" t="n">
        <f aca="false" ca="true" dt2D="false" dtr="false" t="normal">SUBTOTAL(9, F523:T523)</f>
        <v>2476321.54</v>
      </c>
      <c r="F523" s="106" t="n"/>
      <c r="G523" s="114" t="n"/>
      <c r="H523" s="114" t="n">
        <v>2476321.54</v>
      </c>
      <c r="I523" s="114" t="n">
        <v>0</v>
      </c>
      <c r="J523" s="114" t="n"/>
      <c r="K523" s="114" t="n"/>
      <c r="L523" s="106" t="n"/>
      <c r="M523" s="114" t="n"/>
      <c r="N523" s="114" t="n"/>
      <c r="O523" s="114" t="n">
        <v>0</v>
      </c>
      <c r="P523" s="114" t="n">
        <v>0</v>
      </c>
      <c r="Q523" s="114" t="n">
        <v>0</v>
      </c>
      <c r="R523" s="114" t="n"/>
      <c r="S523" s="114" t="n"/>
      <c r="T523" s="303" t="n"/>
    </row>
    <row customFormat="true" hidden="false" ht="15" outlineLevel="0" r="524" s="1">
      <c r="A524" s="116" t="n">
        <f aca="false" ca="false" dt2D="false" dtr="false" t="normal">+A523+1</f>
        <v>502</v>
      </c>
      <c r="B524" s="117" t="n">
        <f aca="false" ca="false" dt2D="false" dtr="false" t="normal">+B523+1</f>
        <v>43</v>
      </c>
      <c r="C524" s="104" t="s">
        <v>78</v>
      </c>
      <c r="D524" s="117" t="s">
        <v>552</v>
      </c>
      <c r="E524" s="113" t="n">
        <f aca="false" ca="true" dt2D="false" dtr="false" t="normal">SUBTOTAL(9, F524:T524)</f>
        <v>7116553.68</v>
      </c>
      <c r="F524" s="106" t="n">
        <v>7116553.68</v>
      </c>
      <c r="G524" s="114" t="n">
        <v>0</v>
      </c>
      <c r="H524" s="114" t="n">
        <v>0</v>
      </c>
      <c r="I524" s="114" t="n">
        <v>0</v>
      </c>
      <c r="J524" s="114" t="n">
        <v>0</v>
      </c>
      <c r="K524" s="114" t="n"/>
      <c r="L524" s="106" t="n"/>
      <c r="M524" s="114" t="n">
        <v>0</v>
      </c>
      <c r="N524" s="114" t="n">
        <v>0</v>
      </c>
      <c r="O524" s="114" t="n">
        <v>0</v>
      </c>
      <c r="P524" s="114" t="n">
        <v>0</v>
      </c>
      <c r="Q524" s="114" t="n">
        <v>0</v>
      </c>
      <c r="R524" s="114" t="n"/>
      <c r="S524" s="114" t="n"/>
      <c r="T524" s="303" t="n"/>
    </row>
    <row customFormat="true" hidden="false" ht="15" outlineLevel="0" r="525" s="1">
      <c r="A525" s="116" t="n">
        <f aca="false" ca="false" dt2D="false" dtr="false" t="normal">+A524+1</f>
        <v>503</v>
      </c>
      <c r="B525" s="117" t="n">
        <f aca="false" ca="false" dt2D="false" dtr="false" t="normal">+B524+1</f>
        <v>44</v>
      </c>
      <c r="C525" s="104" t="s">
        <v>78</v>
      </c>
      <c r="D525" s="117" t="s">
        <v>553</v>
      </c>
      <c r="E525" s="113" t="n">
        <f aca="false" ca="true" dt2D="false" dtr="false" t="normal">SUBTOTAL(9, F525:T525)</f>
        <v>1917497.53</v>
      </c>
      <c r="F525" s="106" t="n"/>
      <c r="G525" s="114" t="n">
        <v>0</v>
      </c>
      <c r="H525" s="114" t="n">
        <v>1897284.44</v>
      </c>
      <c r="I525" s="114" t="n">
        <v>0</v>
      </c>
      <c r="J525" s="114" t="n">
        <v>0</v>
      </c>
      <c r="K525" s="114" t="n"/>
      <c r="L525" s="106" t="n"/>
      <c r="M525" s="114" t="n">
        <v>0</v>
      </c>
      <c r="N525" s="114" t="n">
        <v>0</v>
      </c>
      <c r="O525" s="114" t="n">
        <v>0</v>
      </c>
      <c r="P525" s="114" t="n">
        <v>0</v>
      </c>
      <c r="Q525" s="114" t="n">
        <v>0</v>
      </c>
      <c r="R525" s="114" t="n"/>
      <c r="S525" s="114" t="n"/>
      <c r="T525" s="115" t="n">
        <v>20213.09</v>
      </c>
    </row>
    <row customFormat="true" hidden="false" ht="15" outlineLevel="0" r="526" s="1">
      <c r="A526" s="116" t="n">
        <f aca="false" ca="false" dt2D="false" dtr="false" t="normal">+A525+1</f>
        <v>504</v>
      </c>
      <c r="B526" s="117" t="n">
        <f aca="false" ca="false" dt2D="false" dtr="false" t="normal">+B525+1</f>
        <v>45</v>
      </c>
      <c r="C526" s="104" t="s">
        <v>78</v>
      </c>
      <c r="D526" s="117" t="s">
        <v>554</v>
      </c>
      <c r="E526" s="113" t="n">
        <f aca="false" ca="true" dt2D="false" dtr="false" t="normal">SUBTOTAL(9, F526:T526)</f>
        <v>17911649.14</v>
      </c>
      <c r="F526" s="106" t="n">
        <v>0</v>
      </c>
      <c r="G526" s="114" t="n">
        <v>0</v>
      </c>
      <c r="H526" s="114" t="n">
        <v>0</v>
      </c>
      <c r="I526" s="114" t="n">
        <v>0</v>
      </c>
      <c r="J526" s="114" t="n">
        <v>0</v>
      </c>
      <c r="K526" s="114" t="n"/>
      <c r="L526" s="106" t="n"/>
      <c r="M526" s="114" t="n">
        <v>0</v>
      </c>
      <c r="N526" s="114" t="n">
        <v>0</v>
      </c>
      <c r="O526" s="114" t="n">
        <v>9755981.03</v>
      </c>
      <c r="P526" s="114" t="n">
        <v>8155668.11</v>
      </c>
      <c r="Q526" s="114" t="n">
        <v>0</v>
      </c>
      <c r="R526" s="114" t="n"/>
      <c r="S526" s="114" t="n"/>
      <c r="T526" s="303" t="n"/>
    </row>
    <row customFormat="true" hidden="false" ht="15" outlineLevel="0" r="527" s="1">
      <c r="A527" s="116" t="n">
        <f aca="false" ca="false" dt2D="false" dtr="false" t="normal">+A526+1</f>
        <v>505</v>
      </c>
      <c r="B527" s="117" t="n">
        <f aca="false" ca="false" dt2D="false" dtr="false" t="normal">+B526+1</f>
        <v>46</v>
      </c>
      <c r="C527" s="104" t="s">
        <v>81</v>
      </c>
      <c r="D527" s="117" t="s">
        <v>555</v>
      </c>
      <c r="E527" s="113" t="n">
        <f aca="false" ca="true" dt2D="false" dtr="false" t="normal">SUBTOTAL(9, F527:T527)</f>
        <v>17956800</v>
      </c>
      <c r="F527" s="106" t="n"/>
      <c r="G527" s="114" t="n"/>
      <c r="H527" s="114" t="n"/>
      <c r="I527" s="114" t="n"/>
      <c r="J527" s="114" t="n"/>
      <c r="K527" s="114" t="n"/>
      <c r="L527" s="106" t="n"/>
      <c r="M527" s="114" t="n">
        <v>17956800</v>
      </c>
      <c r="N527" s="114" t="n"/>
      <c r="O527" s="114" t="n"/>
      <c r="P527" s="114" t="n"/>
      <c r="Q527" s="114" t="n"/>
      <c r="R527" s="114" t="n"/>
      <c r="S527" s="114" t="n"/>
      <c r="T527" s="115" t="n"/>
    </row>
    <row customFormat="true" hidden="false" ht="15" outlineLevel="0" r="528" s="1">
      <c r="A528" s="116" t="n">
        <f aca="false" ca="false" dt2D="false" dtr="false" t="normal">+A527+1</f>
        <v>506</v>
      </c>
      <c r="B528" s="117" t="n">
        <f aca="false" ca="false" dt2D="false" dtr="false" t="normal">+B527+1</f>
        <v>47</v>
      </c>
      <c r="C528" s="104" t="s">
        <v>81</v>
      </c>
      <c r="D528" s="117" t="s">
        <v>556</v>
      </c>
      <c r="E528" s="113" t="n">
        <f aca="false" ca="true" dt2D="false" dtr="false" t="normal">SUBTOTAL(9, F528:T528)</f>
        <v>17956800</v>
      </c>
      <c r="F528" s="106" t="n"/>
      <c r="G528" s="114" t="n"/>
      <c r="H528" s="114" t="n"/>
      <c r="I528" s="114" t="n"/>
      <c r="J528" s="114" t="n"/>
      <c r="K528" s="114" t="n"/>
      <c r="L528" s="106" t="n"/>
      <c r="M528" s="114" t="n">
        <v>17956800</v>
      </c>
      <c r="N528" s="114" t="n"/>
      <c r="O528" s="114" t="n"/>
      <c r="P528" s="114" t="n"/>
      <c r="Q528" s="114" t="n"/>
      <c r="R528" s="114" t="n"/>
      <c r="S528" s="114" t="n"/>
      <c r="T528" s="115" t="n"/>
    </row>
    <row customFormat="true" hidden="false" ht="15" outlineLevel="0" r="529" s="1">
      <c r="A529" s="116" t="n">
        <f aca="false" ca="false" dt2D="false" dtr="false" t="normal">+A528+1</f>
        <v>507</v>
      </c>
      <c r="B529" s="117" t="n">
        <f aca="false" ca="false" dt2D="false" dtr="false" t="normal">+B528+1</f>
        <v>48</v>
      </c>
      <c r="C529" s="104" t="s">
        <v>78</v>
      </c>
      <c r="D529" s="117" t="s">
        <v>557</v>
      </c>
      <c r="E529" s="113" t="n">
        <f aca="false" ca="true" dt2D="false" dtr="false" t="normal">SUBTOTAL(9, F529:T529)</f>
        <v>3174109.11</v>
      </c>
      <c r="F529" s="106" t="n">
        <v>0</v>
      </c>
      <c r="G529" s="114" t="n">
        <v>0</v>
      </c>
      <c r="H529" s="114" t="n">
        <v>0</v>
      </c>
      <c r="I529" s="114" t="n">
        <v>0</v>
      </c>
      <c r="J529" s="114" t="n">
        <v>0</v>
      </c>
      <c r="K529" s="114" t="n"/>
      <c r="L529" s="106" t="n"/>
      <c r="M529" s="114" t="n">
        <v>0</v>
      </c>
      <c r="N529" s="114" t="n">
        <v>3174109.11</v>
      </c>
      <c r="O529" s="114" t="n">
        <v>0</v>
      </c>
      <c r="P529" s="114" t="n">
        <v>0</v>
      </c>
      <c r="Q529" s="114" t="n">
        <v>0</v>
      </c>
      <c r="R529" s="304" t="n"/>
      <c r="S529" s="304" t="n"/>
      <c r="T529" s="303" t="n"/>
    </row>
    <row customFormat="true" hidden="false" ht="15" outlineLevel="0" r="530" s="1">
      <c r="A530" s="116" t="n">
        <f aca="false" ca="false" dt2D="false" dtr="false" t="normal">+A529+1</f>
        <v>508</v>
      </c>
      <c r="B530" s="117" t="n">
        <f aca="false" ca="false" dt2D="false" dtr="false" t="normal">+B529+1</f>
        <v>49</v>
      </c>
      <c r="C530" s="104" t="s">
        <v>78</v>
      </c>
      <c r="D530" s="117" t="s">
        <v>558</v>
      </c>
      <c r="E530" s="113" t="n">
        <f aca="false" ca="true" dt2D="false" dtr="false" t="normal">SUBTOTAL(9, F530:T530)</f>
        <v>13048152.29</v>
      </c>
      <c r="F530" s="106" t="n"/>
      <c r="G530" s="114" t="n">
        <v>3497984.64</v>
      </c>
      <c r="H530" s="114" t="n">
        <v>0</v>
      </c>
      <c r="I530" s="114" t="n">
        <v>0</v>
      </c>
      <c r="J530" s="114" t="n">
        <v>0</v>
      </c>
      <c r="K530" s="114" t="n"/>
      <c r="L530" s="106" t="n">
        <v>0</v>
      </c>
      <c r="M530" s="114" t="n"/>
      <c r="N530" s="114" t="n">
        <v>3471145.39</v>
      </c>
      <c r="O530" s="114" t="n">
        <v>6079022.26</v>
      </c>
      <c r="P530" s="114" t="n">
        <v>0</v>
      </c>
      <c r="Q530" s="114" t="n">
        <v>0</v>
      </c>
      <c r="R530" s="304" t="n"/>
      <c r="S530" s="304" t="n"/>
      <c r="T530" s="303" t="n"/>
    </row>
    <row customFormat="true" hidden="false" ht="15" outlineLevel="0" r="531" s="1">
      <c r="A531" s="116" t="n">
        <f aca="false" ca="false" dt2D="false" dtr="false" t="normal">+A530+1</f>
        <v>509</v>
      </c>
      <c r="B531" s="117" t="n">
        <f aca="false" ca="false" dt2D="false" dtr="false" t="normal">+B530+1</f>
        <v>50</v>
      </c>
      <c r="C531" s="104" t="s">
        <v>78</v>
      </c>
      <c r="D531" s="117" t="s">
        <v>88</v>
      </c>
      <c r="E531" s="113" t="n">
        <f aca="false" ca="true" dt2D="false" dtr="false" t="normal">SUBTOTAL(9, F531:T531)</f>
        <v>5896514.18</v>
      </c>
      <c r="F531" s="106" t="n"/>
      <c r="G531" s="114" t="n"/>
      <c r="H531" s="114" t="n">
        <v>5837297.16</v>
      </c>
      <c r="I531" s="114" t="n"/>
      <c r="J531" s="114" t="n"/>
      <c r="K531" s="114" t="n"/>
      <c r="L531" s="106" t="n"/>
      <c r="M531" s="114" t="n"/>
      <c r="N531" s="114" t="n"/>
      <c r="O531" s="114" t="n"/>
      <c r="P531" s="114" t="n">
        <v>0</v>
      </c>
      <c r="Q531" s="114" t="n">
        <v>0</v>
      </c>
      <c r="R531" s="114" t="n"/>
      <c r="S531" s="114" t="n"/>
      <c r="T531" s="115" t="n">
        <v>59217.02</v>
      </c>
    </row>
    <row customFormat="true" hidden="false" ht="15" outlineLevel="0" r="532" s="1">
      <c r="A532" s="116" t="n">
        <f aca="false" ca="false" dt2D="false" dtr="false" t="normal">+A531+1</f>
        <v>510</v>
      </c>
      <c r="B532" s="117" t="n">
        <f aca="false" ca="false" dt2D="false" dtr="false" t="normal">+B531+1</f>
        <v>51</v>
      </c>
      <c r="C532" s="104" t="s">
        <v>78</v>
      </c>
      <c r="D532" s="117" t="s">
        <v>89</v>
      </c>
      <c r="E532" s="113" t="n">
        <f aca="false" ca="true" dt2D="false" dtr="false" t="normal">SUBTOTAL(9, F532:T532)</f>
        <v>4030771.6300000004</v>
      </c>
      <c r="F532" s="106" t="n"/>
      <c r="G532" s="114" t="n"/>
      <c r="H532" s="114" t="n"/>
      <c r="I532" s="114" t="n"/>
      <c r="J532" s="114" t="n">
        <v>0</v>
      </c>
      <c r="K532" s="114" t="n"/>
      <c r="L532" s="106" t="n"/>
      <c r="M532" s="114" t="n">
        <v>0</v>
      </c>
      <c r="N532" s="114" t="n">
        <v>0</v>
      </c>
      <c r="O532" s="114" t="n">
        <v>3968655.74</v>
      </c>
      <c r="P532" s="114" t="n">
        <v>0</v>
      </c>
      <c r="Q532" s="114" t="n">
        <v>0</v>
      </c>
      <c r="R532" s="114" t="n"/>
      <c r="S532" s="114" t="n"/>
      <c r="T532" s="115" t="n">
        <v>62115.89</v>
      </c>
    </row>
    <row customFormat="true" hidden="false" ht="15" outlineLevel="0" r="533" s="1">
      <c r="A533" s="116" t="n">
        <f aca="false" ca="false" dt2D="false" dtr="false" t="normal">+A532+1</f>
        <v>511</v>
      </c>
      <c r="B533" s="117" t="n">
        <f aca="false" ca="false" dt2D="false" dtr="false" t="normal">+B532+1</f>
        <v>52</v>
      </c>
      <c r="C533" s="104" t="s">
        <v>78</v>
      </c>
      <c r="D533" s="117" t="s">
        <v>92</v>
      </c>
      <c r="E533" s="113" t="n">
        <f aca="false" ca="true" dt2D="false" dtr="false" t="normal">SUBTOTAL(9, F533:T533)</f>
        <v>2181504.77</v>
      </c>
      <c r="F533" s="106" t="n"/>
      <c r="G533" s="114" t="n"/>
      <c r="H533" s="114" t="n">
        <v>2157298.94</v>
      </c>
      <c r="I533" s="114" t="n"/>
      <c r="J533" s="114" t="n">
        <v>0</v>
      </c>
      <c r="K533" s="114" t="n"/>
      <c r="L533" s="106" t="n"/>
      <c r="M533" s="114" t="n">
        <v>0</v>
      </c>
      <c r="N533" s="114" t="n">
        <v>0</v>
      </c>
      <c r="O533" s="114" t="n"/>
      <c r="P533" s="114" t="n">
        <v>0</v>
      </c>
      <c r="Q533" s="114" t="n">
        <v>0</v>
      </c>
      <c r="R533" s="114" t="n"/>
      <c r="S533" s="114" t="n"/>
      <c r="T533" s="115" t="n">
        <v>24205.83</v>
      </c>
    </row>
    <row customFormat="true" hidden="false" ht="15" outlineLevel="0" r="534" s="1">
      <c r="A534" s="116" t="n">
        <f aca="false" ca="false" dt2D="false" dtr="false" t="normal">+A533+1</f>
        <v>512</v>
      </c>
      <c r="B534" s="117" t="n">
        <f aca="false" ca="false" dt2D="false" dtr="false" t="normal">+B533+1</f>
        <v>53</v>
      </c>
      <c r="C534" s="104" t="s">
        <v>78</v>
      </c>
      <c r="D534" s="117" t="s">
        <v>93</v>
      </c>
      <c r="E534" s="113" t="n">
        <f aca="false" ca="true" dt2D="false" dtr="false" t="normal">SUBTOTAL(9, F534:T534)</f>
        <v>1105696.12</v>
      </c>
      <c r="F534" s="106" t="n"/>
      <c r="G534" s="114" t="n"/>
      <c r="H534" s="114" t="n"/>
      <c r="I534" s="114" t="n"/>
      <c r="J534" s="114" t="n"/>
      <c r="K534" s="114" t="n"/>
      <c r="L534" s="106" t="n"/>
      <c r="M534" s="114" t="n">
        <v>0</v>
      </c>
      <c r="N534" s="114" t="n">
        <v>0</v>
      </c>
      <c r="O534" s="114" t="n">
        <v>1088656.87</v>
      </c>
      <c r="P534" s="114" t="n">
        <v>0</v>
      </c>
      <c r="Q534" s="114" t="n">
        <v>0</v>
      </c>
      <c r="R534" s="114" t="n"/>
      <c r="S534" s="114" t="n"/>
      <c r="T534" s="115" t="n">
        <v>17039.25</v>
      </c>
    </row>
    <row customFormat="true" hidden="false" ht="15" outlineLevel="0" r="535" s="1">
      <c r="A535" s="116" t="n">
        <f aca="false" ca="false" dt2D="false" dtr="false" t="normal">+A534+1</f>
        <v>513</v>
      </c>
      <c r="B535" s="117" t="n">
        <f aca="false" ca="false" dt2D="false" dtr="false" t="normal">+B534+1</f>
        <v>54</v>
      </c>
      <c r="C535" s="104" t="s">
        <v>78</v>
      </c>
      <c r="D535" s="117" t="s">
        <v>559</v>
      </c>
      <c r="E535" s="113" t="n">
        <f aca="false" ca="true" dt2D="false" dtr="false" t="normal">SUBTOTAL(9, F535:T535)</f>
        <v>1993214.7000000002</v>
      </c>
      <c r="F535" s="106" t="n"/>
      <c r="G535" s="114" t="n"/>
      <c r="H535" s="114" t="n">
        <v>1971493.37</v>
      </c>
      <c r="I535" s="114" t="n"/>
      <c r="J535" s="114" t="n">
        <v>0</v>
      </c>
      <c r="K535" s="114" t="n"/>
      <c r="L535" s="106" t="n"/>
      <c r="M535" s="114" t="n">
        <v>0</v>
      </c>
      <c r="N535" s="114" t="n">
        <v>0</v>
      </c>
      <c r="O535" s="114" t="n"/>
      <c r="P535" s="114" t="n">
        <v>0</v>
      </c>
      <c r="Q535" s="114" t="n">
        <v>0</v>
      </c>
      <c r="R535" s="114" t="n"/>
      <c r="S535" s="114" t="n"/>
      <c r="T535" s="115" t="n">
        <v>21721.33</v>
      </c>
    </row>
    <row customFormat="true" hidden="false" ht="15" outlineLevel="0" r="536" s="1">
      <c r="A536" s="116" t="n">
        <f aca="false" ca="false" dt2D="false" dtr="false" t="normal">+A535+1</f>
        <v>514</v>
      </c>
      <c r="B536" s="117" t="n">
        <f aca="false" ca="false" dt2D="false" dtr="false" t="normal">+B535+1</f>
        <v>55</v>
      </c>
      <c r="C536" s="104" t="s">
        <v>78</v>
      </c>
      <c r="D536" s="117" t="s">
        <v>560</v>
      </c>
      <c r="E536" s="113" t="n">
        <f aca="false" ca="true" dt2D="false" dtr="false" t="normal">SUBTOTAL(9, F536:T536)</f>
        <v>25328852.48</v>
      </c>
      <c r="F536" s="106" t="n">
        <v>0</v>
      </c>
      <c r="G536" s="114" t="n">
        <v>0</v>
      </c>
      <c r="H536" s="114" t="n">
        <v>0</v>
      </c>
      <c r="I536" s="114" t="n">
        <v>0</v>
      </c>
      <c r="J536" s="114" t="n">
        <v>0</v>
      </c>
      <c r="K536" s="114" t="n"/>
      <c r="L536" s="106" t="n"/>
      <c r="M536" s="114" t="n">
        <v>0</v>
      </c>
      <c r="N536" s="114" t="n">
        <v>0</v>
      </c>
      <c r="O536" s="114" t="n">
        <v>0</v>
      </c>
      <c r="P536" s="114" t="n">
        <v>25328852.48</v>
      </c>
      <c r="Q536" s="114" t="n">
        <v>0</v>
      </c>
      <c r="R536" s="114" t="n"/>
      <c r="S536" s="114" t="n"/>
      <c r="T536" s="303" t="n"/>
    </row>
    <row customFormat="true" hidden="false" ht="15" outlineLevel="0" r="537" s="1">
      <c r="A537" s="116" t="n">
        <f aca="false" ca="false" dt2D="false" dtr="false" t="normal">+A536+1</f>
        <v>515</v>
      </c>
      <c r="B537" s="117" t="n">
        <f aca="false" ca="false" dt2D="false" dtr="false" t="normal">+B536+1</f>
        <v>56</v>
      </c>
      <c r="C537" s="104" t="s">
        <v>78</v>
      </c>
      <c r="D537" s="117" t="s">
        <v>469</v>
      </c>
      <c r="E537" s="113" t="n">
        <f aca="false" ca="true" dt2D="false" dtr="false" t="normal">SUBTOTAL(9, F537:T537)</f>
        <v>12491452.99</v>
      </c>
      <c r="F537" s="106" t="n"/>
      <c r="G537" s="114" t="n">
        <v>7852851.42</v>
      </c>
      <c r="H537" s="114" t="n">
        <v>0</v>
      </c>
      <c r="I537" s="114" t="n">
        <v>4638601.57</v>
      </c>
      <c r="J537" s="114" t="n">
        <v>0</v>
      </c>
      <c r="K537" s="114" t="n"/>
      <c r="L537" s="106" t="n"/>
      <c r="M537" s="114" t="n">
        <v>0</v>
      </c>
      <c r="N537" s="114" t="n">
        <v>0</v>
      </c>
      <c r="O537" s="114" t="n">
        <v>0</v>
      </c>
      <c r="P537" s="114" t="n">
        <v>0</v>
      </c>
      <c r="Q537" s="114" t="n">
        <v>0</v>
      </c>
      <c r="R537" s="114" t="n"/>
      <c r="S537" s="114" t="n"/>
      <c r="T537" s="303" t="n"/>
    </row>
    <row customFormat="true" hidden="false" ht="15" outlineLevel="0" r="538" s="1">
      <c r="A538" s="116" t="n">
        <f aca="false" ca="false" dt2D="false" dtr="false" t="normal">+A537+1</f>
        <v>516</v>
      </c>
      <c r="B538" s="117" t="n">
        <f aca="false" ca="false" dt2D="false" dtr="false" t="normal">+B537+1</f>
        <v>57</v>
      </c>
      <c r="C538" s="104" t="s">
        <v>81</v>
      </c>
      <c r="D538" s="117" t="s">
        <v>562</v>
      </c>
      <c r="E538" s="113" t="n">
        <f aca="false" ca="true" dt2D="false" dtr="false" t="normal">SUBTOTAL(9, F538:T538)</f>
        <v>2829176.43</v>
      </c>
      <c r="F538" s="106" t="n"/>
      <c r="G538" s="114" t="n"/>
      <c r="H538" s="114" t="n"/>
      <c r="I538" s="114" t="n"/>
      <c r="J538" s="114" t="n"/>
      <c r="K538" s="114" t="n"/>
      <c r="L538" s="106" t="n"/>
      <c r="M538" s="113" t="n">
        <v>2704312.41</v>
      </c>
      <c r="N538" s="114" t="n"/>
      <c r="O538" s="114" t="n"/>
      <c r="P538" s="114" t="n"/>
      <c r="Q538" s="114" t="n"/>
      <c r="R538" s="113" t="n">
        <v>110716.57</v>
      </c>
      <c r="S538" s="113" t="n">
        <v>14147.45</v>
      </c>
      <c r="T538" s="303" t="n"/>
    </row>
    <row customFormat="true" hidden="false" ht="15" outlineLevel="0" r="539" s="1">
      <c r="A539" s="116" t="n">
        <f aca="false" ca="false" dt2D="false" dtr="false" t="normal">+A538+1</f>
        <v>517</v>
      </c>
      <c r="B539" s="117" t="n">
        <f aca="false" ca="false" dt2D="false" dtr="false" t="normal">+B538+1</f>
        <v>58</v>
      </c>
      <c r="C539" s="104" t="s">
        <v>78</v>
      </c>
      <c r="D539" s="117" t="s">
        <v>563</v>
      </c>
      <c r="E539" s="113" t="n">
        <f aca="false" ca="true" dt2D="false" dtr="false" t="normal">SUBTOTAL(9, F539:T539)</f>
        <v>19281360.68</v>
      </c>
      <c r="F539" s="106" t="n">
        <v>0</v>
      </c>
      <c r="G539" s="114" t="n">
        <v>0</v>
      </c>
      <c r="H539" s="114" t="n">
        <v>0</v>
      </c>
      <c r="I539" s="114" t="n">
        <v>0</v>
      </c>
      <c r="J539" s="114" t="n">
        <v>0</v>
      </c>
      <c r="K539" s="114" t="n"/>
      <c r="L539" s="106" t="n"/>
      <c r="M539" s="114" t="n">
        <v>0</v>
      </c>
      <c r="N539" s="114" t="n">
        <v>0</v>
      </c>
      <c r="O539" s="114" t="n">
        <v>0</v>
      </c>
      <c r="P539" s="114" t="n">
        <v>19281360.68</v>
      </c>
      <c r="Q539" s="114" t="n">
        <v>0</v>
      </c>
      <c r="R539" s="114" t="n"/>
      <c r="S539" s="114" t="n"/>
      <c r="T539" s="303" t="n"/>
    </row>
    <row customFormat="true" hidden="false" ht="15" outlineLevel="0" r="540" s="1">
      <c r="A540" s="116" t="n">
        <f aca="false" ca="false" dt2D="false" dtr="false" t="normal">+A539+1</f>
        <v>518</v>
      </c>
      <c r="B540" s="117" t="n">
        <f aca="false" ca="false" dt2D="false" dtr="false" t="normal">+B539+1</f>
        <v>59</v>
      </c>
      <c r="C540" s="104" t="s">
        <v>78</v>
      </c>
      <c r="D540" s="117" t="s">
        <v>564</v>
      </c>
      <c r="E540" s="113" t="n">
        <f aca="false" ca="true" dt2D="false" dtr="false" t="normal">SUBTOTAL(9, F540:T540)</f>
        <v>22242188.69</v>
      </c>
      <c r="F540" s="106" t="n">
        <v>3221801.59</v>
      </c>
      <c r="G540" s="114" t="n">
        <v>2994835.8</v>
      </c>
      <c r="H540" s="114" t="n">
        <v>1812454</v>
      </c>
      <c r="I540" s="114" t="n">
        <v>1563879.48</v>
      </c>
      <c r="J540" s="114" t="n">
        <v>0</v>
      </c>
      <c r="K540" s="114" t="n"/>
      <c r="L540" s="106" t="n"/>
      <c r="M540" s="114" t="n">
        <v>0</v>
      </c>
      <c r="N540" s="114" t="n">
        <v>0</v>
      </c>
      <c r="O540" s="114" t="n">
        <v>0</v>
      </c>
      <c r="P540" s="114" t="n">
        <v>12419855.66</v>
      </c>
      <c r="Q540" s="114" t="n">
        <v>0</v>
      </c>
      <c r="R540" s="114" t="n"/>
      <c r="S540" s="114" t="n"/>
      <c r="T540" s="115" t="n">
        <v>229362.16</v>
      </c>
    </row>
    <row customFormat="true" hidden="false" ht="15" outlineLevel="0" r="541" s="1">
      <c r="A541" s="116" t="n">
        <f aca="false" ca="false" dt2D="false" dtr="false" t="normal">+A540+1</f>
        <v>519</v>
      </c>
      <c r="B541" s="117" t="n">
        <f aca="false" ca="false" dt2D="false" dtr="false" t="normal">+B540+1</f>
        <v>60</v>
      </c>
      <c r="C541" s="104" t="s">
        <v>78</v>
      </c>
      <c r="D541" s="117" t="s">
        <v>565</v>
      </c>
      <c r="E541" s="113" t="n">
        <f aca="false" ca="true" dt2D="false" dtr="false" t="normal">SUBTOTAL(9, F541:T541)</f>
        <v>7922733.57</v>
      </c>
      <c r="F541" s="106" t="n">
        <v>7922733.57</v>
      </c>
      <c r="G541" s="114" t="n">
        <v>0</v>
      </c>
      <c r="H541" s="114" t="n">
        <v>0</v>
      </c>
      <c r="I541" s="114" t="n">
        <v>0</v>
      </c>
      <c r="J541" s="114" t="n">
        <v>0</v>
      </c>
      <c r="K541" s="114" t="n"/>
      <c r="L541" s="106" t="n"/>
      <c r="M541" s="114" t="n">
        <v>0</v>
      </c>
      <c r="N541" s="114" t="n">
        <v>0</v>
      </c>
      <c r="O541" s="114" t="n">
        <v>0</v>
      </c>
      <c r="P541" s="114" t="n">
        <v>0</v>
      </c>
      <c r="Q541" s="114" t="n">
        <v>0</v>
      </c>
      <c r="R541" s="114" t="n"/>
      <c r="S541" s="114" t="n"/>
      <c r="T541" s="303" t="n"/>
    </row>
    <row customFormat="true" hidden="false" ht="15" outlineLevel="0" r="542" s="1">
      <c r="A542" s="116" t="n">
        <f aca="false" ca="false" dt2D="false" dtr="false" t="normal">+A541+1</f>
        <v>520</v>
      </c>
      <c r="B542" s="117" t="n">
        <f aca="false" ca="false" dt2D="false" dtr="false" t="normal">+B541+1</f>
        <v>61</v>
      </c>
      <c r="C542" s="104" t="s">
        <v>78</v>
      </c>
      <c r="D542" s="117" t="s">
        <v>97</v>
      </c>
      <c r="E542" s="113" t="n">
        <f aca="false" ca="true" dt2D="false" dtr="false" t="normal">SUBTOTAL(9, F542:T542)</f>
        <v>1009279.69</v>
      </c>
      <c r="F542" s="106" t="n">
        <v>0</v>
      </c>
      <c r="G542" s="114" t="n">
        <v>0</v>
      </c>
      <c r="H542" s="114" t="n">
        <v>1009279.69</v>
      </c>
      <c r="I542" s="114" t="n">
        <v>0</v>
      </c>
      <c r="J542" s="114" t="n">
        <v>0</v>
      </c>
      <c r="K542" s="114" t="n"/>
      <c r="L542" s="106" t="n"/>
      <c r="M542" s="114" t="n">
        <v>0</v>
      </c>
      <c r="N542" s="114" t="n">
        <v>0</v>
      </c>
      <c r="O542" s="114" t="n">
        <v>0</v>
      </c>
      <c r="P542" s="114" t="n"/>
      <c r="Q542" s="114" t="n">
        <v>0</v>
      </c>
      <c r="R542" s="114" t="n"/>
      <c r="S542" s="114" t="n"/>
      <c r="T542" s="111" t="n"/>
    </row>
    <row customFormat="true" hidden="false" ht="15" outlineLevel="0" r="543" s="1">
      <c r="A543" s="116" t="n">
        <f aca="false" ca="false" dt2D="false" dtr="false" t="normal">+A542+1</f>
        <v>521</v>
      </c>
      <c r="B543" s="117" t="n">
        <f aca="false" ca="false" dt2D="false" dtr="false" t="normal">+B542+1</f>
        <v>62</v>
      </c>
      <c r="C543" s="104" t="s">
        <v>81</v>
      </c>
      <c r="D543" s="117" t="s">
        <v>566</v>
      </c>
      <c r="E543" s="113" t="n">
        <f aca="false" ca="true" dt2D="false" dtr="false" t="normal">SUBTOTAL(9, F543:T543)</f>
        <v>3517263.77</v>
      </c>
      <c r="F543" s="106" t="n"/>
      <c r="G543" s="114" t="n"/>
      <c r="H543" s="114" t="n"/>
      <c r="I543" s="114" t="n"/>
      <c r="J543" s="114" t="n"/>
      <c r="K543" s="114" t="n"/>
      <c r="L543" s="106" t="n"/>
      <c r="M543" s="114" t="n">
        <v>3388344.65</v>
      </c>
      <c r="N543" s="114" t="n"/>
      <c r="O543" s="114" t="n"/>
      <c r="P543" s="114" t="n"/>
      <c r="Q543" s="114" t="n"/>
      <c r="R543" s="114" t="n">
        <v>104919.12</v>
      </c>
      <c r="S543" s="114" t="n">
        <v>24000</v>
      </c>
      <c r="T543" s="303" t="n"/>
    </row>
    <row customFormat="true" hidden="false" ht="15" outlineLevel="0" r="544" s="1">
      <c r="A544" s="116" t="n">
        <f aca="false" ca="false" dt2D="false" dtr="false" t="normal">+A543+1</f>
        <v>522</v>
      </c>
      <c r="B544" s="117" t="n">
        <f aca="false" ca="false" dt2D="false" dtr="false" t="normal">+B543+1</f>
        <v>63</v>
      </c>
      <c r="C544" s="104" t="s">
        <v>78</v>
      </c>
      <c r="D544" s="117" t="s">
        <v>567</v>
      </c>
      <c r="E544" s="113" t="n">
        <f aca="false" ca="true" dt2D="false" dtr="false" t="normal">SUBTOTAL(9, F544:T544)</f>
        <v>5076863.41</v>
      </c>
      <c r="F544" s="106" t="n">
        <v>2801220.05</v>
      </c>
      <c r="G544" s="114" t="n">
        <v>2275643.36</v>
      </c>
      <c r="H544" s="114" t="n">
        <v>0</v>
      </c>
      <c r="I544" s="114" t="n">
        <v>0</v>
      </c>
      <c r="J544" s="114" t="n">
        <v>0</v>
      </c>
      <c r="K544" s="114" t="n"/>
      <c r="L544" s="106" t="n"/>
      <c r="M544" s="114" t="n">
        <v>0</v>
      </c>
      <c r="N544" s="114" t="n"/>
      <c r="O544" s="114" t="n"/>
      <c r="P544" s="114" t="n"/>
      <c r="Q544" s="114" t="n">
        <v>0</v>
      </c>
      <c r="R544" s="114" t="n"/>
      <c r="S544" s="114" t="n"/>
      <c r="T544" s="303" t="n"/>
    </row>
    <row customFormat="true" hidden="false" ht="15" outlineLevel="0" r="545" s="1">
      <c r="A545" s="116" t="n">
        <f aca="false" ca="false" dt2D="false" dtr="false" t="normal">+A544+1</f>
        <v>523</v>
      </c>
      <c r="B545" s="117" t="n">
        <f aca="false" ca="false" dt2D="false" dtr="false" t="normal">+B544+1</f>
        <v>64</v>
      </c>
      <c r="C545" s="104" t="s">
        <v>78</v>
      </c>
      <c r="D545" s="117" t="s">
        <v>568</v>
      </c>
      <c r="E545" s="113" t="n">
        <f aca="false" ca="true" dt2D="false" dtr="false" t="normal">SUBTOTAL(9, F545:T545)</f>
        <v>14253153.2</v>
      </c>
      <c r="F545" s="106" t="n">
        <v>5784328.08</v>
      </c>
      <c r="G545" s="114" t="n">
        <v>4925359.93</v>
      </c>
      <c r="H545" s="243" t="n">
        <v>3493989.1</v>
      </c>
      <c r="I545" s="114" t="n">
        <v>0</v>
      </c>
      <c r="J545" s="114" t="n">
        <v>0</v>
      </c>
      <c r="K545" s="114" t="n"/>
      <c r="L545" s="106" t="n"/>
      <c r="M545" s="114" t="n">
        <v>0</v>
      </c>
      <c r="N545" s="114" t="n">
        <v>0</v>
      </c>
      <c r="O545" s="114" t="n">
        <v>0</v>
      </c>
      <c r="P545" s="114" t="n">
        <v>0</v>
      </c>
      <c r="Q545" s="114" t="n">
        <v>0</v>
      </c>
      <c r="R545" s="114" t="n"/>
      <c r="S545" s="114" t="n"/>
      <c r="T545" s="115" t="n">
        <v>49476.09</v>
      </c>
    </row>
    <row customFormat="true" hidden="false" ht="15" outlineLevel="0" r="546" s="1">
      <c r="A546" s="116" t="n">
        <f aca="false" ca="false" dt2D="false" dtr="false" t="normal">+A545+1</f>
        <v>524</v>
      </c>
      <c r="B546" s="117" t="n">
        <f aca="false" ca="false" dt2D="false" dtr="false" t="normal">+B545+1</f>
        <v>65</v>
      </c>
      <c r="C546" s="104" t="s">
        <v>78</v>
      </c>
      <c r="D546" s="117" t="s">
        <v>569</v>
      </c>
      <c r="E546" s="113" t="n">
        <f aca="false" ca="true" dt2D="false" dtr="false" t="normal">SUBTOTAL(9, F546:T546)</f>
        <v>4765870.78</v>
      </c>
      <c r="F546" s="106" t="n">
        <v>0</v>
      </c>
      <c r="G546" s="114" t="n">
        <v>0</v>
      </c>
      <c r="H546" s="114" t="n">
        <v>4765870.78</v>
      </c>
      <c r="I546" s="114" t="n">
        <v>0</v>
      </c>
      <c r="J546" s="114" t="n">
        <v>0</v>
      </c>
      <c r="K546" s="114" t="n"/>
      <c r="L546" s="106" t="n"/>
      <c r="M546" s="114" t="n">
        <v>0</v>
      </c>
      <c r="N546" s="114" t="n">
        <v>0</v>
      </c>
      <c r="O546" s="114" t="n">
        <v>0</v>
      </c>
      <c r="P546" s="114" t="n">
        <v>0</v>
      </c>
      <c r="Q546" s="114" t="n">
        <v>0</v>
      </c>
      <c r="R546" s="114" t="n"/>
      <c r="S546" s="114" t="n"/>
      <c r="T546" s="303" t="n"/>
    </row>
    <row customFormat="true" hidden="false" ht="15" outlineLevel="0" r="547" s="1">
      <c r="A547" s="116" t="n">
        <f aca="false" ca="false" dt2D="false" dtr="false" t="normal">+A546+1</f>
        <v>525</v>
      </c>
      <c r="B547" s="117" t="n">
        <f aca="false" ca="false" dt2D="false" dtr="false" t="normal">+B546+1</f>
        <v>66</v>
      </c>
      <c r="C547" s="104" t="s">
        <v>78</v>
      </c>
      <c r="D547" s="117" t="s">
        <v>570</v>
      </c>
      <c r="E547" s="113" t="n">
        <f aca="false" ca="true" dt2D="false" dtr="false" t="normal">SUBTOTAL(9, F547:T547)</f>
        <v>7475531.77</v>
      </c>
      <c r="F547" s="106" t="n">
        <v>0</v>
      </c>
      <c r="G547" s="114" t="n">
        <v>0</v>
      </c>
      <c r="H547" s="114" t="n">
        <v>0</v>
      </c>
      <c r="I547" s="114" t="n">
        <v>0</v>
      </c>
      <c r="J547" s="114" t="n">
        <v>0</v>
      </c>
      <c r="K547" s="114" t="n"/>
      <c r="L547" s="106" t="n"/>
      <c r="M547" s="114" t="n">
        <v>0</v>
      </c>
      <c r="N547" s="114" t="n">
        <v>0</v>
      </c>
      <c r="O547" s="114" t="n">
        <v>7475531.77</v>
      </c>
      <c r="P547" s="114" t="n">
        <v>0</v>
      </c>
      <c r="Q547" s="114" t="n">
        <v>0</v>
      </c>
      <c r="R547" s="114" t="n"/>
      <c r="S547" s="114" t="n"/>
      <c r="T547" s="303" t="n"/>
    </row>
    <row customFormat="true" hidden="false" ht="15" outlineLevel="0" r="548" s="1">
      <c r="A548" s="116" t="n">
        <f aca="false" ca="false" dt2D="false" dtr="false" t="normal">+A547+1</f>
        <v>526</v>
      </c>
      <c r="B548" s="117" t="n">
        <f aca="false" ca="false" dt2D="false" dtr="false" t="normal">+B547+1</f>
        <v>67</v>
      </c>
      <c r="C548" s="104" t="s">
        <v>78</v>
      </c>
      <c r="D548" s="117" t="s">
        <v>571</v>
      </c>
      <c r="E548" s="113" t="n">
        <f aca="false" ca="true" dt2D="false" dtr="false" t="normal">SUBTOTAL(9, F548:T548)</f>
        <v>9246422.73</v>
      </c>
      <c r="F548" s="106" t="n">
        <v>0</v>
      </c>
      <c r="G548" s="114" t="n">
        <v>0</v>
      </c>
      <c r="H548" s="114" t="n">
        <v>0</v>
      </c>
      <c r="I548" s="114" t="n">
        <v>0</v>
      </c>
      <c r="J548" s="114" t="n">
        <v>0</v>
      </c>
      <c r="K548" s="114" t="n"/>
      <c r="L548" s="106" t="n"/>
      <c r="M548" s="114" t="n">
        <v>0</v>
      </c>
      <c r="N548" s="114" t="n">
        <v>0</v>
      </c>
      <c r="O548" s="114" t="n">
        <v>9246422.73</v>
      </c>
      <c r="P548" s="114" t="n">
        <v>0</v>
      </c>
      <c r="Q548" s="114" t="n">
        <v>0</v>
      </c>
      <c r="R548" s="114" t="n"/>
      <c r="S548" s="114" t="n"/>
      <c r="T548" s="303" t="n"/>
    </row>
    <row customFormat="true" hidden="false" ht="15" outlineLevel="0" r="549" s="1">
      <c r="A549" s="116" t="n">
        <f aca="false" ca="false" dt2D="false" dtr="false" t="normal">+A548+1</f>
        <v>527</v>
      </c>
      <c r="B549" s="117" t="n">
        <f aca="false" ca="false" dt2D="false" dtr="false" t="normal">+B548+1</f>
        <v>68</v>
      </c>
      <c r="C549" s="104" t="s">
        <v>78</v>
      </c>
      <c r="D549" s="117" t="s">
        <v>572</v>
      </c>
      <c r="E549" s="113" t="n">
        <f aca="false" ca="true" dt2D="false" dtr="false" t="normal">SUBTOTAL(9, F549:T549)</f>
        <v>8435024.63</v>
      </c>
      <c r="F549" s="106" t="n">
        <v>6588114.7</v>
      </c>
      <c r="G549" s="114" t="n">
        <v>0</v>
      </c>
      <c r="H549" s="114" t="n">
        <v>0</v>
      </c>
      <c r="I549" s="114" t="n">
        <v>1797689.29</v>
      </c>
      <c r="J549" s="114" t="n">
        <v>0</v>
      </c>
      <c r="K549" s="114" t="n"/>
      <c r="L549" s="106" t="n"/>
      <c r="M549" s="114" t="n">
        <v>0</v>
      </c>
      <c r="N549" s="114" t="n">
        <v>0</v>
      </c>
      <c r="O549" s="114" t="n"/>
      <c r="P549" s="114" t="n">
        <v>0</v>
      </c>
      <c r="Q549" s="114" t="n">
        <v>0</v>
      </c>
      <c r="R549" s="114" t="n"/>
      <c r="S549" s="114" t="n"/>
      <c r="T549" s="115" t="n">
        <v>49220.64</v>
      </c>
    </row>
    <row customFormat="true" hidden="false" ht="15" outlineLevel="0" r="550" s="1">
      <c r="A550" s="116" t="n">
        <f aca="false" ca="false" dt2D="false" dtr="false" t="normal">+A549+1</f>
        <v>528</v>
      </c>
      <c r="B550" s="117" t="n">
        <f aca="false" ca="false" dt2D="false" dtr="false" t="normal">+B549+1</f>
        <v>69</v>
      </c>
      <c r="C550" s="104" t="s">
        <v>78</v>
      </c>
      <c r="D550" s="117" t="s">
        <v>106</v>
      </c>
      <c r="E550" s="113" t="n">
        <f aca="false" ca="true" dt2D="false" dtr="false" t="normal">SUBTOTAL(9, F550:T550)</f>
        <v>3312551.38</v>
      </c>
      <c r="F550" s="106" t="n"/>
      <c r="G550" s="114" t="n"/>
      <c r="H550" s="114" t="n">
        <v>3275767.62</v>
      </c>
      <c r="I550" s="114" t="n"/>
      <c r="J550" s="114" t="n"/>
      <c r="K550" s="114" t="n"/>
      <c r="L550" s="106" t="n"/>
      <c r="M550" s="114" t="n"/>
      <c r="N550" s="114" t="n"/>
      <c r="O550" s="114" t="n">
        <v>0</v>
      </c>
      <c r="P550" s="114" t="n">
        <v>0</v>
      </c>
      <c r="Q550" s="114" t="n">
        <v>0</v>
      </c>
      <c r="R550" s="114" t="n"/>
      <c r="S550" s="114" t="n"/>
      <c r="T550" s="115" t="n">
        <v>36783.76</v>
      </c>
    </row>
    <row customFormat="true" hidden="false" ht="15" outlineLevel="0" r="551" s="1">
      <c r="A551" s="116" t="n">
        <f aca="false" ca="false" dt2D="false" dtr="false" t="normal">+A550+1</f>
        <v>529</v>
      </c>
      <c r="B551" s="117" t="n">
        <f aca="false" ca="false" dt2D="false" dtr="false" t="normal">+B550+1</f>
        <v>70</v>
      </c>
      <c r="C551" s="104" t="s">
        <v>81</v>
      </c>
      <c r="D551" s="117" t="s">
        <v>573</v>
      </c>
      <c r="E551" s="113" t="n">
        <f aca="false" ca="true" dt2D="false" dtr="false" t="normal">SUBTOTAL(9, F551:T551)</f>
        <v>14070316.4</v>
      </c>
      <c r="F551" s="106" t="n"/>
      <c r="G551" s="114" t="n"/>
      <c r="H551" s="114" t="n"/>
      <c r="I551" s="114" t="n"/>
      <c r="J551" s="114" t="n"/>
      <c r="K551" s="114" t="n"/>
      <c r="L551" s="106" t="n"/>
      <c r="M551" s="114" t="n">
        <v>13495698.8</v>
      </c>
      <c r="N551" s="114" t="n"/>
      <c r="O551" s="114" t="n"/>
      <c r="P551" s="114" t="n"/>
      <c r="Q551" s="114" t="n"/>
      <c r="R551" s="114" t="n">
        <v>430963.2</v>
      </c>
      <c r="S551" s="114" t="n">
        <v>143654.4</v>
      </c>
      <c r="T551" s="303" t="n"/>
    </row>
    <row customFormat="true" hidden="false" ht="15" outlineLevel="0" r="552" s="1">
      <c r="A552" s="116" t="n">
        <f aca="false" ca="false" dt2D="false" dtr="false" t="normal">+A551+1</f>
        <v>530</v>
      </c>
      <c r="B552" s="117" t="n">
        <f aca="false" ca="false" dt2D="false" dtr="false" t="normal">+B551+1</f>
        <v>71</v>
      </c>
      <c r="C552" s="104" t="s">
        <v>78</v>
      </c>
      <c r="D552" s="117" t="s">
        <v>574</v>
      </c>
      <c r="E552" s="113" t="n">
        <f aca="false" ca="true" dt2D="false" dtr="false" t="normal">SUBTOTAL(9, F552:T552)</f>
        <v>4538759.42</v>
      </c>
      <c r="F552" s="106" t="n"/>
      <c r="G552" s="114" t="n"/>
      <c r="H552" s="114" t="n">
        <v>4496173.9</v>
      </c>
      <c r="I552" s="114" t="n"/>
      <c r="J552" s="114" t="n">
        <v>0</v>
      </c>
      <c r="K552" s="114" t="n"/>
      <c r="L552" s="106" t="n"/>
      <c r="M552" s="114" t="n">
        <v>0</v>
      </c>
      <c r="N552" s="114" t="n">
        <v>0</v>
      </c>
      <c r="O552" s="114" t="n"/>
      <c r="P552" s="114" t="n">
        <v>0</v>
      </c>
      <c r="Q552" s="114" t="n">
        <v>0</v>
      </c>
      <c r="R552" s="114" t="n"/>
      <c r="S552" s="114" t="n"/>
      <c r="T552" s="115" t="n">
        <v>42585.52</v>
      </c>
    </row>
    <row customFormat="true" hidden="false" ht="15" outlineLevel="0" r="553" s="1">
      <c r="A553" s="116" t="n">
        <f aca="false" ca="false" dt2D="false" dtr="false" t="normal">+A552+1</f>
        <v>531</v>
      </c>
      <c r="B553" s="117" t="n">
        <f aca="false" ca="false" dt2D="false" dtr="false" t="normal">+B552+1</f>
        <v>72</v>
      </c>
      <c r="C553" s="104" t="s">
        <v>78</v>
      </c>
      <c r="D553" s="117" t="s">
        <v>575</v>
      </c>
      <c r="E553" s="113" t="n">
        <f aca="false" ca="true" dt2D="false" dtr="false" t="normal">SUBTOTAL(9, F553:T553)</f>
        <v>9496606.7</v>
      </c>
      <c r="F553" s="106" t="n">
        <v>0</v>
      </c>
      <c r="G553" s="114" t="n">
        <v>0</v>
      </c>
      <c r="H553" s="114" t="n">
        <v>0</v>
      </c>
      <c r="I553" s="114" t="n">
        <v>0</v>
      </c>
      <c r="J553" s="114" t="n">
        <v>0</v>
      </c>
      <c r="K553" s="114" t="n"/>
      <c r="L553" s="106" t="n"/>
      <c r="M553" s="114" t="n">
        <v>0</v>
      </c>
      <c r="N553" s="114" t="n">
        <v>0</v>
      </c>
      <c r="O553" s="114" t="n">
        <v>0</v>
      </c>
      <c r="P553" s="114" t="n">
        <v>9403121.04</v>
      </c>
      <c r="Q553" s="114" t="n">
        <v>0</v>
      </c>
      <c r="R553" s="114" t="n"/>
      <c r="S553" s="114" t="n"/>
      <c r="T553" s="115" t="n">
        <v>93485.66</v>
      </c>
    </row>
    <row customFormat="true" hidden="false" ht="15" outlineLevel="0" r="554" s="1">
      <c r="A554" s="116" t="n">
        <f aca="false" ca="false" dt2D="false" dtr="false" t="normal">+A553+1</f>
        <v>532</v>
      </c>
      <c r="B554" s="117" t="n">
        <f aca="false" ca="false" dt2D="false" dtr="false" t="normal">+B553+1</f>
        <v>73</v>
      </c>
      <c r="C554" s="104" t="s">
        <v>78</v>
      </c>
      <c r="D554" s="117" t="s">
        <v>576</v>
      </c>
      <c r="E554" s="113" t="n">
        <f aca="false" ca="true" dt2D="false" dtr="false" t="normal">SUBTOTAL(9, F554:T554)</f>
        <v>3766700.2</v>
      </c>
      <c r="F554" s="106" t="n">
        <v>0</v>
      </c>
      <c r="G554" s="114" t="n">
        <v>0</v>
      </c>
      <c r="H554" s="114" t="n">
        <v>3722906.22</v>
      </c>
      <c r="I554" s="114" t="n">
        <v>0</v>
      </c>
      <c r="J554" s="114" t="n">
        <v>0</v>
      </c>
      <c r="K554" s="114" t="n"/>
      <c r="L554" s="106" t="n"/>
      <c r="M554" s="114" t="n">
        <v>0</v>
      </c>
      <c r="N554" s="114" t="n">
        <v>0</v>
      </c>
      <c r="O554" s="114" t="n">
        <v>0</v>
      </c>
      <c r="P554" s="114" t="n">
        <v>0</v>
      </c>
      <c r="Q554" s="114" t="n">
        <v>0</v>
      </c>
      <c r="R554" s="114" t="n"/>
      <c r="S554" s="114" t="n"/>
      <c r="T554" s="115" t="n">
        <v>43793.98</v>
      </c>
    </row>
    <row customFormat="true" hidden="false" ht="15" outlineLevel="0" r="555" s="1">
      <c r="A555" s="116" t="n">
        <f aca="false" ca="false" dt2D="false" dtr="false" t="normal">+A554+1</f>
        <v>533</v>
      </c>
      <c r="B555" s="117" t="n">
        <f aca="false" ca="false" dt2D="false" dtr="false" t="normal">+B554+1</f>
        <v>74</v>
      </c>
      <c r="C555" s="104" t="s">
        <v>78</v>
      </c>
      <c r="D555" s="117" t="s">
        <v>471</v>
      </c>
      <c r="E555" s="113" t="n">
        <f aca="false" ca="true" dt2D="false" dtr="false" t="normal">SUBTOTAL(9, F555:T555)</f>
        <v>3924859.57</v>
      </c>
      <c r="F555" s="106" t="n"/>
      <c r="G555" s="114" t="n">
        <v>0</v>
      </c>
      <c r="H555" s="114" t="n">
        <v>3907208.06</v>
      </c>
      <c r="I555" s="114" t="n">
        <v>0</v>
      </c>
      <c r="J555" s="114" t="n">
        <v>0</v>
      </c>
      <c r="K555" s="114" t="n"/>
      <c r="L555" s="106" t="n"/>
      <c r="M555" s="114" t="n">
        <v>0</v>
      </c>
      <c r="N555" s="114" t="n">
        <v>0</v>
      </c>
      <c r="O555" s="114" t="n">
        <v>0</v>
      </c>
      <c r="P555" s="114" t="n">
        <v>0</v>
      </c>
      <c r="Q555" s="114" t="n">
        <v>0</v>
      </c>
      <c r="R555" s="114" t="n"/>
      <c r="S555" s="114" t="n"/>
      <c r="T555" s="115" t="n">
        <v>17651.51</v>
      </c>
    </row>
    <row customFormat="true" hidden="false" ht="15" outlineLevel="0" r="556" s="1">
      <c r="A556" s="116" t="n">
        <f aca="false" ca="false" dt2D="false" dtr="false" t="normal">+A555+1</f>
        <v>534</v>
      </c>
      <c r="B556" s="117" t="n">
        <f aca="false" ca="false" dt2D="false" dtr="false" t="normal">+B555+1</f>
        <v>75</v>
      </c>
      <c r="C556" s="104" t="s">
        <v>78</v>
      </c>
      <c r="D556" s="117" t="s">
        <v>577</v>
      </c>
      <c r="E556" s="113" t="n">
        <f aca="false" ca="true" dt2D="false" dtr="false" t="normal">SUBTOTAL(9, F556:T556)</f>
        <v>13763761.14</v>
      </c>
      <c r="F556" s="106" t="n">
        <v>0</v>
      </c>
      <c r="G556" s="114" t="n">
        <v>0</v>
      </c>
      <c r="H556" s="114" t="n">
        <v>0</v>
      </c>
      <c r="I556" s="114" t="n">
        <v>0</v>
      </c>
      <c r="J556" s="114" t="n">
        <v>0</v>
      </c>
      <c r="K556" s="114" t="n"/>
      <c r="L556" s="106" t="n"/>
      <c r="M556" s="114" t="n">
        <v>0</v>
      </c>
      <c r="N556" s="114" t="n">
        <v>13673168.75</v>
      </c>
      <c r="O556" s="114" t="n">
        <v>0</v>
      </c>
      <c r="P556" s="114" t="n">
        <v>0</v>
      </c>
      <c r="Q556" s="114" t="n">
        <v>0</v>
      </c>
      <c r="R556" s="114" t="n"/>
      <c r="S556" s="114" t="n"/>
      <c r="T556" s="115" t="n">
        <v>90592.39</v>
      </c>
    </row>
    <row customFormat="true" hidden="false" ht="15" outlineLevel="0" r="557" s="1">
      <c r="A557" s="116" t="n">
        <f aca="false" ca="false" dt2D="false" dtr="false" t="normal">+A556+1</f>
        <v>535</v>
      </c>
      <c r="B557" s="117" t="n">
        <f aca="false" ca="false" dt2D="false" dtr="false" t="normal">+B556+1</f>
        <v>76</v>
      </c>
      <c r="C557" s="104" t="s">
        <v>78</v>
      </c>
      <c r="D557" s="117" t="s">
        <v>472</v>
      </c>
      <c r="E557" s="113" t="n">
        <f aca="false" ca="true" dt2D="false" dtr="false" t="normal">SUBTOTAL(9, F557:T557)</f>
        <v>8919071.24</v>
      </c>
      <c r="F557" s="106" t="n">
        <v>6279592.82</v>
      </c>
      <c r="G557" s="114" t="n">
        <v>0</v>
      </c>
      <c r="H557" s="114" t="n">
        <v>0</v>
      </c>
      <c r="I557" s="114" t="n">
        <v>2535175.78</v>
      </c>
      <c r="J557" s="114" t="n">
        <v>0</v>
      </c>
      <c r="K557" s="114" t="n"/>
      <c r="L557" s="106" t="n"/>
      <c r="M557" s="114" t="n">
        <v>0</v>
      </c>
      <c r="N557" s="114" t="n">
        <v>0</v>
      </c>
      <c r="O557" s="114" t="n">
        <v>0</v>
      </c>
      <c r="P557" s="114" t="n">
        <v>0</v>
      </c>
      <c r="Q557" s="114" t="n">
        <v>0</v>
      </c>
      <c r="R557" s="114" t="n"/>
      <c r="S557" s="114" t="n"/>
      <c r="T557" s="115" t="n">
        <v>104302.64</v>
      </c>
    </row>
    <row customFormat="true" hidden="false" ht="15" outlineLevel="0" r="558" s="1">
      <c r="A558" s="116" t="n">
        <f aca="false" ca="false" dt2D="false" dtr="false" t="normal">+A557+1</f>
        <v>536</v>
      </c>
      <c r="B558" s="117" t="n">
        <f aca="false" ca="false" dt2D="false" dtr="false" t="normal">+B557+1</f>
        <v>77</v>
      </c>
      <c r="C558" s="104" t="s">
        <v>78</v>
      </c>
      <c r="D558" s="117" t="s">
        <v>578</v>
      </c>
      <c r="E558" s="113" t="n">
        <f aca="false" ca="true" dt2D="false" dtr="false" t="normal">SUBTOTAL(9, F558:T558)</f>
        <v>12174508.94</v>
      </c>
      <c r="F558" s="106" t="n">
        <v>7987299.3</v>
      </c>
      <c r="G558" s="114" t="n">
        <v>0</v>
      </c>
      <c r="H558" s="114" t="n">
        <v>0</v>
      </c>
      <c r="I558" s="114" t="n">
        <v>4076265.36</v>
      </c>
      <c r="J558" s="114" t="n">
        <v>0</v>
      </c>
      <c r="K558" s="114" t="n"/>
      <c r="L558" s="106" t="n"/>
      <c r="M558" s="114" t="n">
        <v>0</v>
      </c>
      <c r="N558" s="114" t="n">
        <v>0</v>
      </c>
      <c r="O558" s="114" t="n">
        <v>0</v>
      </c>
      <c r="P558" s="114" t="n">
        <v>0</v>
      </c>
      <c r="Q558" s="114" t="n">
        <v>0</v>
      </c>
      <c r="R558" s="114" t="n"/>
      <c r="S558" s="114" t="n"/>
      <c r="T558" s="115" t="n">
        <v>110944.28</v>
      </c>
    </row>
    <row customFormat="true" hidden="false" ht="15" outlineLevel="0" r="559" s="1">
      <c r="A559" s="116" t="n">
        <f aca="false" ca="false" dt2D="false" dtr="false" t="normal">+A558+1</f>
        <v>537</v>
      </c>
      <c r="B559" s="117" t="n">
        <f aca="false" ca="false" dt2D="false" dtr="false" t="normal">+B558+1</f>
        <v>78</v>
      </c>
      <c r="C559" s="104" t="s">
        <v>78</v>
      </c>
      <c r="D559" s="117" t="s">
        <v>475</v>
      </c>
      <c r="E559" s="113" t="n">
        <f aca="false" ca="true" dt2D="false" dtr="false" t="normal">SUBTOTAL(9, F559:T559)</f>
        <v>4291004.16</v>
      </c>
      <c r="F559" s="106" t="n"/>
      <c r="G559" s="114" t="n"/>
      <c r="H559" s="114" t="n"/>
      <c r="I559" s="114" t="n"/>
      <c r="J559" s="114" t="n">
        <v>0</v>
      </c>
      <c r="K559" s="114" t="n"/>
      <c r="L559" s="106" t="n"/>
      <c r="M559" s="114" t="n">
        <v>0</v>
      </c>
      <c r="N559" s="114" t="n">
        <v>0</v>
      </c>
      <c r="O559" s="114" t="n">
        <v>4291004.16</v>
      </c>
      <c r="P559" s="114" t="n">
        <v>0</v>
      </c>
      <c r="Q559" s="114" t="n">
        <v>0</v>
      </c>
      <c r="R559" s="114" t="n"/>
      <c r="S559" s="114" t="n"/>
      <c r="T559" s="303" t="n"/>
    </row>
    <row customFormat="true" hidden="false" ht="15" outlineLevel="0" r="560" s="1">
      <c r="A560" s="116" t="n">
        <f aca="false" ca="false" dt2D="false" dtr="false" t="normal">+A559+1</f>
        <v>538</v>
      </c>
      <c r="B560" s="117" t="n">
        <f aca="false" ca="false" dt2D="false" dtr="false" t="normal">+B559+1</f>
        <v>79</v>
      </c>
      <c r="C560" s="104" t="s">
        <v>78</v>
      </c>
      <c r="D560" s="117" t="s">
        <v>579</v>
      </c>
      <c r="E560" s="113" t="n">
        <f aca="false" ca="true" dt2D="false" dtr="false" t="normal">SUBTOTAL(9, F560:T560)</f>
        <v>21516947.67</v>
      </c>
      <c r="F560" s="106" t="n">
        <v>0</v>
      </c>
      <c r="G560" s="114" t="n">
        <v>0</v>
      </c>
      <c r="H560" s="114" t="n">
        <v>0</v>
      </c>
      <c r="I560" s="114" t="n">
        <v>0</v>
      </c>
      <c r="J560" s="114" t="n">
        <v>0</v>
      </c>
      <c r="K560" s="114" t="n"/>
      <c r="L560" s="106" t="n"/>
      <c r="M560" s="114" t="n">
        <v>0</v>
      </c>
      <c r="N560" s="114" t="n">
        <v>8908740.48</v>
      </c>
      <c r="O560" s="114" t="n">
        <v>0</v>
      </c>
      <c r="P560" s="114" t="n">
        <v>12608207.19</v>
      </c>
      <c r="Q560" s="114" t="n">
        <v>0</v>
      </c>
      <c r="R560" s="114" t="n"/>
      <c r="S560" s="114" t="n"/>
      <c r="T560" s="303" t="n"/>
    </row>
    <row customFormat="true" hidden="false" ht="15" outlineLevel="0" r="561" s="1">
      <c r="A561" s="116" t="n">
        <f aca="false" ca="false" dt2D="false" dtr="false" t="normal">+A560+1</f>
        <v>539</v>
      </c>
      <c r="B561" s="117" t="n">
        <f aca="false" ca="false" dt2D="false" dtr="false" t="normal">+B560+1</f>
        <v>80</v>
      </c>
      <c r="C561" s="104" t="s">
        <v>78</v>
      </c>
      <c r="D561" s="117" t="s">
        <v>580</v>
      </c>
      <c r="E561" s="113" t="n">
        <f aca="false" ca="true" dt2D="false" dtr="false" t="normal">SUBTOTAL(9, F561:T561)</f>
        <v>30022830.699999996</v>
      </c>
      <c r="F561" s="106" t="n">
        <v>17650757.33</v>
      </c>
      <c r="G561" s="114" t="n">
        <v>0</v>
      </c>
      <c r="H561" s="114" t="n">
        <v>0</v>
      </c>
      <c r="I561" s="114" t="n">
        <v>5270628.82</v>
      </c>
      <c r="J561" s="114" t="n">
        <v>0</v>
      </c>
      <c r="K561" s="114" t="n"/>
      <c r="L561" s="106" t="n"/>
      <c r="M561" s="114" t="n"/>
      <c r="N561" s="114" t="n">
        <v>6915276.47</v>
      </c>
      <c r="O561" s="114" t="n">
        <v>0</v>
      </c>
      <c r="P561" s="114" t="n">
        <v>0</v>
      </c>
      <c r="Q561" s="114" t="n">
        <v>0</v>
      </c>
      <c r="R561" s="114" t="n"/>
      <c r="S561" s="114" t="n"/>
      <c r="T561" s="115" t="n">
        <v>186168.08</v>
      </c>
    </row>
    <row customFormat="true" hidden="false" ht="15" outlineLevel="0" r="562" s="1">
      <c r="A562" s="116" t="n">
        <f aca="false" ca="false" dt2D="false" dtr="false" t="normal">+A561+1</f>
        <v>540</v>
      </c>
      <c r="B562" s="117" t="n">
        <f aca="false" ca="false" dt2D="false" dtr="false" t="normal">+B561+1</f>
        <v>81</v>
      </c>
      <c r="C562" s="104" t="s">
        <v>78</v>
      </c>
      <c r="D562" s="117" t="s">
        <v>581</v>
      </c>
      <c r="E562" s="113" t="n">
        <f aca="false" ca="true" dt2D="false" dtr="false" t="normal">SUBTOTAL(9, F562:T562)</f>
        <v>4123863.01</v>
      </c>
      <c r="F562" s="106" t="n"/>
      <c r="G562" s="114" t="n">
        <v>0</v>
      </c>
      <c r="H562" s="114" t="n">
        <v>4123863.01</v>
      </c>
      <c r="I562" s="114" t="n">
        <v>0</v>
      </c>
      <c r="J562" s="114" t="n">
        <v>0</v>
      </c>
      <c r="K562" s="114" t="n"/>
      <c r="L562" s="106" t="n">
        <v>0</v>
      </c>
      <c r="M562" s="114" t="n">
        <v>0</v>
      </c>
      <c r="N562" s="114" t="n">
        <v>0</v>
      </c>
      <c r="O562" s="114" t="n">
        <v>0</v>
      </c>
      <c r="P562" s="114" t="n">
        <v>0</v>
      </c>
      <c r="Q562" s="114" t="n">
        <v>0</v>
      </c>
      <c r="R562" s="114" t="n"/>
      <c r="S562" s="114" t="n"/>
      <c r="T562" s="303" t="n"/>
    </row>
    <row customFormat="true" hidden="false" ht="15" outlineLevel="0" r="563" s="1">
      <c r="A563" s="116" t="n">
        <f aca="false" ca="false" dt2D="false" dtr="false" t="normal">+A562+1</f>
        <v>541</v>
      </c>
      <c r="B563" s="117" t="n">
        <f aca="false" ca="false" dt2D="false" dtr="false" t="normal">+B562+1</f>
        <v>82</v>
      </c>
      <c r="C563" s="104" t="s">
        <v>78</v>
      </c>
      <c r="D563" s="117" t="s">
        <v>582</v>
      </c>
      <c r="E563" s="113" t="n">
        <f aca="false" ca="true" dt2D="false" dtr="false" t="normal">SUBTOTAL(9, F563:T563)</f>
        <v>24464288.47</v>
      </c>
      <c r="F563" s="106" t="n">
        <v>0</v>
      </c>
      <c r="G563" s="114" t="n">
        <v>0</v>
      </c>
      <c r="H563" s="114" t="n">
        <v>0</v>
      </c>
      <c r="I563" s="114" t="n">
        <v>0</v>
      </c>
      <c r="J563" s="114" t="n">
        <v>0</v>
      </c>
      <c r="K563" s="114" t="n"/>
      <c r="L563" s="106" t="n"/>
      <c r="M563" s="114" t="n">
        <v>0</v>
      </c>
      <c r="N563" s="114" t="n">
        <v>0</v>
      </c>
      <c r="O563" s="114" t="n">
        <v>0</v>
      </c>
      <c r="P563" s="114" t="n">
        <v>24464288.47</v>
      </c>
      <c r="Q563" s="114" t="n">
        <v>0</v>
      </c>
      <c r="R563" s="114" t="n"/>
      <c r="S563" s="114" t="n"/>
      <c r="T563" s="303" t="n"/>
    </row>
    <row customFormat="true" hidden="false" ht="15" outlineLevel="0" r="564" s="1">
      <c r="A564" s="116" t="n">
        <f aca="false" ca="false" dt2D="false" dtr="false" t="normal">+A563+1</f>
        <v>542</v>
      </c>
      <c r="B564" s="117" t="n">
        <f aca="false" ca="false" dt2D="false" dtr="false" t="normal">+B563+1</f>
        <v>83</v>
      </c>
      <c r="C564" s="104" t="s">
        <v>78</v>
      </c>
      <c r="D564" s="117" t="s">
        <v>108</v>
      </c>
      <c r="E564" s="113" t="n">
        <f aca="false" ca="true" dt2D="false" dtr="false" t="normal">SUBTOTAL(9, F564:T564)</f>
        <v>8723908.76</v>
      </c>
      <c r="F564" s="106" t="n"/>
      <c r="G564" s="114" t="n"/>
      <c r="H564" s="114" t="n"/>
      <c r="I564" s="114" t="n"/>
      <c r="J564" s="114" t="n"/>
      <c r="K564" s="114" t="n"/>
      <c r="L564" s="106" t="n"/>
      <c r="M564" s="114" t="n">
        <v>0</v>
      </c>
      <c r="N564" s="114" t="n">
        <v>0</v>
      </c>
      <c r="O564" s="114" t="n">
        <v>0</v>
      </c>
      <c r="P564" s="114" t="n">
        <v>8723908.76</v>
      </c>
      <c r="Q564" s="114" t="n">
        <v>0</v>
      </c>
      <c r="R564" s="114" t="n"/>
      <c r="S564" s="114" t="n"/>
      <c r="T564" s="303" t="n"/>
    </row>
    <row customFormat="true" hidden="false" ht="15" outlineLevel="0" r="565" s="1">
      <c r="A565" s="116" t="n">
        <f aca="false" ca="false" dt2D="false" dtr="false" t="normal">+A564+1</f>
        <v>543</v>
      </c>
      <c r="B565" s="117" t="n">
        <f aca="false" ca="false" dt2D="false" dtr="false" t="normal">+B564+1</f>
        <v>84</v>
      </c>
      <c r="C565" s="104" t="s">
        <v>78</v>
      </c>
      <c r="D565" s="117" t="s">
        <v>583</v>
      </c>
      <c r="E565" s="113" t="n">
        <f aca="false" ca="true" dt2D="false" dtr="false" t="normal">SUBTOTAL(9, F565:T565)</f>
        <v>9895682.42</v>
      </c>
      <c r="F565" s="106" t="n">
        <v>0</v>
      </c>
      <c r="G565" s="114" t="n">
        <v>0</v>
      </c>
      <c r="H565" s="114" t="n">
        <v>0</v>
      </c>
      <c r="I565" s="114" t="n">
        <v>0</v>
      </c>
      <c r="J565" s="114" t="n">
        <v>0</v>
      </c>
      <c r="K565" s="114" t="n"/>
      <c r="L565" s="106" t="n"/>
      <c r="M565" s="114" t="n">
        <v>0</v>
      </c>
      <c r="N565" s="114" t="n">
        <v>0</v>
      </c>
      <c r="O565" s="114" t="n">
        <v>9895682.42</v>
      </c>
      <c r="P565" s="114" t="n">
        <v>0</v>
      </c>
      <c r="Q565" s="114" t="n">
        <v>0</v>
      </c>
      <c r="R565" s="114" t="n"/>
      <c r="S565" s="114" t="n"/>
      <c r="T565" s="303" t="n"/>
    </row>
    <row customFormat="true" hidden="false" ht="15" outlineLevel="0" r="566" s="1">
      <c r="A566" s="116" t="n">
        <f aca="false" ca="false" dt2D="false" dtr="false" t="normal">+A565+1</f>
        <v>544</v>
      </c>
      <c r="B566" s="117" t="n">
        <f aca="false" ca="false" dt2D="false" dtr="false" t="normal">+B565+1</f>
        <v>85</v>
      </c>
      <c r="C566" s="104" t="s">
        <v>78</v>
      </c>
      <c r="D566" s="117" t="s">
        <v>315</v>
      </c>
      <c r="E566" s="113" t="n">
        <f aca="false" ca="true" dt2D="false" dtr="false" t="normal">SUBTOTAL(9, F566:T566)</f>
        <v>16046575.78</v>
      </c>
      <c r="F566" s="106" t="n"/>
      <c r="G566" s="114" t="n">
        <v>0</v>
      </c>
      <c r="H566" s="114" t="n">
        <v>0</v>
      </c>
      <c r="I566" s="114" t="n">
        <v>4017783.84</v>
      </c>
      <c r="J566" s="114" t="n">
        <v>0</v>
      </c>
      <c r="K566" s="114" t="n"/>
      <c r="L566" s="106" t="n"/>
      <c r="M566" s="114" t="n">
        <v>0</v>
      </c>
      <c r="N566" s="114" t="n"/>
      <c r="O566" s="114" t="n">
        <v>12028791.94</v>
      </c>
      <c r="P566" s="114" t="n">
        <v>0</v>
      </c>
      <c r="Q566" s="114" t="n">
        <v>0</v>
      </c>
      <c r="R566" s="114" t="n"/>
      <c r="S566" s="114" t="n"/>
      <c r="T566" s="303" t="n"/>
    </row>
    <row customFormat="true" hidden="false" ht="15" outlineLevel="0" r="567" s="1">
      <c r="A567" s="116" t="n">
        <f aca="false" ca="false" dt2D="false" dtr="false" t="normal">+A566+1</f>
        <v>545</v>
      </c>
      <c r="B567" s="117" t="n">
        <f aca="false" ca="false" dt2D="false" dtr="false" t="normal">+B566+1</f>
        <v>86</v>
      </c>
      <c r="C567" s="104" t="s">
        <v>78</v>
      </c>
      <c r="D567" s="117" t="s">
        <v>317</v>
      </c>
      <c r="E567" s="113" t="n">
        <f aca="false" ca="true" dt2D="false" dtr="false" t="normal">SUBTOTAL(9, F567:T567)</f>
        <v>917077.8</v>
      </c>
      <c r="F567" s="106" t="n">
        <v>0</v>
      </c>
      <c r="G567" s="114" t="n">
        <v>0</v>
      </c>
      <c r="H567" s="114" t="n">
        <v>917077.8</v>
      </c>
      <c r="I567" s="114" t="n">
        <v>0</v>
      </c>
      <c r="J567" s="114" t="n">
        <v>0</v>
      </c>
      <c r="K567" s="114" t="n"/>
      <c r="L567" s="106" t="n"/>
      <c r="M567" s="114" t="n">
        <v>0</v>
      </c>
      <c r="N567" s="114" t="n">
        <v>0</v>
      </c>
      <c r="O567" s="114" t="n"/>
      <c r="P567" s="114" t="n">
        <v>0</v>
      </c>
      <c r="Q567" s="114" t="n">
        <v>0</v>
      </c>
      <c r="R567" s="114" t="n"/>
      <c r="S567" s="114" t="n"/>
      <c r="T567" s="303" t="n"/>
      <c r="U567" s="0" t="n"/>
      <c r="V567" s="0" t="n"/>
      <c r="W567" s="0" t="n"/>
      <c r="X567" s="0" t="n"/>
      <c r="Y567" s="0" t="n"/>
      <c r="Z567" s="0" t="n"/>
      <c r="AA567" s="0" t="n"/>
      <c r="AB567" s="0" t="n"/>
      <c r="AC567" s="0" t="n"/>
      <c r="AD567" s="0" t="n"/>
      <c r="AE567" s="0" t="n"/>
      <c r="AF567" s="0" t="n"/>
      <c r="AG567" s="0" t="n"/>
      <c r="AH567" s="0" t="n"/>
      <c r="AI567" s="0" t="n"/>
      <c r="AJ567" s="0" t="n"/>
      <c r="AK567" s="0" t="n"/>
      <c r="AL567" s="0" t="n"/>
      <c r="AM567" s="0" t="n"/>
      <c r="AN567" s="0" t="n"/>
      <c r="AO567" s="0" t="n"/>
      <c r="AP567" s="0" t="n"/>
      <c r="AQ567" s="0" t="n"/>
      <c r="AR567" s="0" t="n"/>
      <c r="AS567" s="0" t="n"/>
      <c r="AT567" s="0" t="n"/>
      <c r="AU567" s="0" t="n"/>
      <c r="AV567" s="0" t="n"/>
      <c r="AW567" s="0" t="n"/>
      <c r="AX567" s="0" t="n"/>
      <c r="AY567" s="0" t="n"/>
      <c r="AZ567" s="0" t="n"/>
      <c r="BA567" s="0" t="n"/>
      <c r="BB567" s="0" t="n"/>
      <c r="BC567" s="0" t="n"/>
      <c r="BD567" s="0" t="n"/>
      <c r="BE567" s="0" t="n"/>
      <c r="BF567" s="0" t="n"/>
      <c r="BG567" s="0" t="n"/>
      <c r="BH567" s="0" t="n"/>
      <c r="BI567" s="0" t="n"/>
      <c r="BJ567" s="0" t="n"/>
      <c r="BK567" s="0" t="n"/>
      <c r="BL567" s="0" t="n"/>
      <c r="BM567" s="0" t="n"/>
      <c r="BN567" s="0" t="n"/>
      <c r="BO567" s="0" t="n"/>
      <c r="BP567" s="0" t="n"/>
    </row>
    <row customFormat="true" hidden="false" ht="15" outlineLevel="0" r="568" s="1">
      <c r="A568" s="116" t="n">
        <f aca="false" ca="false" dt2D="false" dtr="false" t="normal">+A567+1</f>
        <v>546</v>
      </c>
      <c r="B568" s="117" t="n">
        <f aca="false" ca="false" dt2D="false" dtr="false" t="normal">+B567+1</f>
        <v>87</v>
      </c>
      <c r="C568" s="104" t="s">
        <v>78</v>
      </c>
      <c r="D568" s="117" t="s">
        <v>318</v>
      </c>
      <c r="E568" s="113" t="n">
        <f aca="false" ca="true" dt2D="false" dtr="false" t="normal">SUBTOTAL(9, F568:T568)</f>
        <v>3541470.74</v>
      </c>
      <c r="F568" s="106" t="n"/>
      <c r="G568" s="114" t="n">
        <v>0</v>
      </c>
      <c r="H568" s="114" t="n">
        <v>3500633.1</v>
      </c>
      <c r="I568" s="114" t="n"/>
      <c r="J568" s="114" t="n">
        <v>0</v>
      </c>
      <c r="K568" s="114" t="n"/>
      <c r="L568" s="106" t="n"/>
      <c r="M568" s="114" t="n">
        <v>0</v>
      </c>
      <c r="N568" s="114" t="n">
        <v>0</v>
      </c>
      <c r="O568" s="114" t="n">
        <v>0</v>
      </c>
      <c r="P568" s="114" t="n">
        <v>0</v>
      </c>
      <c r="Q568" s="114" t="n">
        <v>0</v>
      </c>
      <c r="R568" s="114" t="n"/>
      <c r="S568" s="114" t="n"/>
      <c r="T568" s="115" t="n">
        <v>40837.64</v>
      </c>
      <c r="U568" s="0" t="n"/>
      <c r="V568" s="0" t="n"/>
      <c r="W568" s="0" t="n"/>
      <c r="X568" s="0" t="n"/>
      <c r="Y568" s="0" t="n"/>
      <c r="Z568" s="0" t="n"/>
      <c r="AA568" s="0" t="n"/>
      <c r="AB568" s="0" t="n"/>
      <c r="AC568" s="0" t="n"/>
      <c r="AD568" s="0" t="n"/>
      <c r="AE568" s="0" t="n"/>
      <c r="AF568" s="0" t="n"/>
      <c r="AG568" s="0" t="n"/>
      <c r="AH568" s="0" t="n"/>
      <c r="AI568" s="0" t="n"/>
      <c r="AJ568" s="0" t="n"/>
      <c r="AK568" s="0" t="n"/>
      <c r="AL568" s="0" t="n"/>
      <c r="AM568" s="0" t="n"/>
      <c r="AN568" s="0" t="n"/>
      <c r="AO568" s="0" t="n"/>
      <c r="AP568" s="0" t="n"/>
      <c r="AQ568" s="0" t="n"/>
      <c r="AR568" s="0" t="n"/>
      <c r="AS568" s="0" t="n"/>
      <c r="AT568" s="0" t="n"/>
      <c r="AU568" s="0" t="n"/>
      <c r="AV568" s="0" t="n"/>
      <c r="AW568" s="0" t="n"/>
      <c r="AX568" s="0" t="n"/>
      <c r="AY568" s="0" t="n"/>
      <c r="AZ568" s="0" t="n"/>
      <c r="BA568" s="0" t="n"/>
      <c r="BB568" s="0" t="n"/>
      <c r="BC568" s="0" t="n"/>
      <c r="BD568" s="0" t="n"/>
      <c r="BE568" s="0" t="n"/>
      <c r="BF568" s="0" t="n"/>
      <c r="BG568" s="0" t="n"/>
      <c r="BH568" s="0" t="n"/>
      <c r="BI568" s="0" t="n"/>
      <c r="BJ568" s="0" t="n"/>
      <c r="BK568" s="0" t="n"/>
      <c r="BL568" s="0" t="n"/>
      <c r="BM568" s="0" t="n"/>
      <c r="BN568" s="0" t="n"/>
      <c r="BO568" s="0" t="n"/>
      <c r="BP568" s="0" t="n"/>
    </row>
    <row customFormat="true" hidden="false" ht="15" outlineLevel="0" r="569" s="1">
      <c r="A569" s="116" t="n">
        <f aca="false" ca="false" dt2D="false" dtr="false" t="normal">+A568+1</f>
        <v>547</v>
      </c>
      <c r="B569" s="117" t="n">
        <f aca="false" ca="false" dt2D="false" dtr="false" t="normal">+B568+1</f>
        <v>88</v>
      </c>
      <c r="C569" s="104" t="s">
        <v>78</v>
      </c>
      <c r="D569" s="117" t="s">
        <v>584</v>
      </c>
      <c r="E569" s="113" t="n">
        <f aca="false" ca="true" dt2D="false" dtr="false" t="normal">SUBTOTAL(9, F569:T569)</f>
        <v>3780647.12</v>
      </c>
      <c r="F569" s="106" t="n">
        <v>0</v>
      </c>
      <c r="G569" s="114" t="n">
        <v>0</v>
      </c>
      <c r="H569" s="114" t="n">
        <v>3780647.12</v>
      </c>
      <c r="I569" s="114" t="n">
        <v>0</v>
      </c>
      <c r="J569" s="114" t="n">
        <v>0</v>
      </c>
      <c r="K569" s="114" t="n"/>
      <c r="L569" s="106" t="n"/>
      <c r="M569" s="114" t="n">
        <v>0</v>
      </c>
      <c r="N569" s="114" t="n">
        <v>0</v>
      </c>
      <c r="O569" s="114" t="n">
        <v>0</v>
      </c>
      <c r="P569" s="114" t="n"/>
      <c r="Q569" s="114" t="n">
        <v>0</v>
      </c>
      <c r="R569" s="114" t="n"/>
      <c r="S569" s="114" t="n"/>
      <c r="T569" s="303" t="n"/>
    </row>
    <row customFormat="true" hidden="false" ht="15" outlineLevel="0" r="570" s="1">
      <c r="A570" s="116" t="n">
        <f aca="false" ca="false" dt2D="false" dtr="false" t="normal">+A569+1</f>
        <v>548</v>
      </c>
      <c r="B570" s="117" t="n">
        <f aca="false" ca="false" dt2D="false" dtr="false" t="normal">+B569+1</f>
        <v>89</v>
      </c>
      <c r="C570" s="104" t="s">
        <v>78</v>
      </c>
      <c r="D570" s="117" t="s">
        <v>319</v>
      </c>
      <c r="E570" s="113" t="n">
        <f aca="false" ca="true" dt2D="false" dtr="false" t="normal">SUBTOTAL(9, F570:T570)</f>
        <v>3512775.7800000003</v>
      </c>
      <c r="F570" s="106" t="n"/>
      <c r="G570" s="114" t="n">
        <v>0</v>
      </c>
      <c r="H570" s="114" t="n">
        <v>3471938.14</v>
      </c>
      <c r="I570" s="114" t="n"/>
      <c r="J570" s="114" t="n">
        <v>0</v>
      </c>
      <c r="K570" s="114" t="n"/>
      <c r="L570" s="106" t="n"/>
      <c r="M570" s="114" t="n">
        <v>0</v>
      </c>
      <c r="N570" s="114" t="n">
        <v>0</v>
      </c>
      <c r="O570" s="114" t="n">
        <v>0</v>
      </c>
      <c r="P570" s="114" t="n">
        <v>0</v>
      </c>
      <c r="Q570" s="114" t="n">
        <v>0</v>
      </c>
      <c r="R570" s="114" t="n"/>
      <c r="S570" s="114" t="n"/>
      <c r="T570" s="115" t="n">
        <v>40837.64</v>
      </c>
    </row>
    <row customFormat="true" hidden="false" ht="15" outlineLevel="0" r="571" s="1">
      <c r="A571" s="116" t="n">
        <f aca="false" ca="false" dt2D="false" dtr="false" t="normal">+A570+1</f>
        <v>549</v>
      </c>
      <c r="B571" s="117" t="n">
        <f aca="false" ca="false" dt2D="false" dtr="false" t="normal">+B570+1</f>
        <v>90</v>
      </c>
      <c r="C571" s="104" t="s">
        <v>78</v>
      </c>
      <c r="D571" s="117" t="s">
        <v>320</v>
      </c>
      <c r="E571" s="113" t="n">
        <f aca="false" ca="true" dt2D="false" dtr="false" t="normal">SUBTOTAL(9, F571:T571)</f>
        <v>3516485.69</v>
      </c>
      <c r="F571" s="106" t="n"/>
      <c r="G571" s="114" t="n">
        <v>0</v>
      </c>
      <c r="H571" s="114" t="n">
        <v>3475648.05</v>
      </c>
      <c r="I571" s="114" t="n"/>
      <c r="J571" s="114" t="n">
        <v>0</v>
      </c>
      <c r="K571" s="114" t="n"/>
      <c r="L571" s="106" t="n"/>
      <c r="M571" s="114" t="n">
        <v>0</v>
      </c>
      <c r="N571" s="114" t="n">
        <v>0</v>
      </c>
      <c r="O571" s="114" t="n">
        <v>0</v>
      </c>
      <c r="P571" s="114" t="n">
        <v>0</v>
      </c>
      <c r="Q571" s="114" t="n">
        <v>0</v>
      </c>
      <c r="R571" s="114" t="n"/>
      <c r="S571" s="114" t="n"/>
      <c r="T571" s="115" t="n">
        <v>40837.64</v>
      </c>
    </row>
    <row customFormat="true" hidden="false" ht="15" outlineLevel="0" r="572" s="1">
      <c r="A572" s="116" t="n">
        <f aca="false" ca="false" dt2D="false" dtr="false" t="normal">+A571+1</f>
        <v>550</v>
      </c>
      <c r="B572" s="117" t="n">
        <f aca="false" ca="false" dt2D="false" dtr="false" t="normal">+B571+1</f>
        <v>91</v>
      </c>
      <c r="C572" s="104" t="s">
        <v>78</v>
      </c>
      <c r="D572" s="117" t="s">
        <v>585</v>
      </c>
      <c r="E572" s="113" t="n">
        <f aca="false" ca="true" dt2D="false" dtr="false" t="normal">SUBTOTAL(9, F572:T572)</f>
        <v>39374232.56</v>
      </c>
      <c r="F572" s="106" t="n">
        <v>0</v>
      </c>
      <c r="G572" s="114" t="n">
        <v>0</v>
      </c>
      <c r="H572" s="114" t="n">
        <v>0</v>
      </c>
      <c r="I572" s="114" t="n">
        <v>0</v>
      </c>
      <c r="J572" s="114" t="n">
        <v>0</v>
      </c>
      <c r="K572" s="114" t="n"/>
      <c r="L572" s="106" t="n"/>
      <c r="M572" s="114" t="n">
        <v>0</v>
      </c>
      <c r="N572" s="114" t="n">
        <v>0</v>
      </c>
      <c r="O572" s="114" t="n">
        <v>0</v>
      </c>
      <c r="P572" s="114" t="n">
        <v>39374232.56</v>
      </c>
      <c r="Q572" s="114" t="n">
        <v>0</v>
      </c>
      <c r="R572" s="114" t="n"/>
      <c r="S572" s="114" t="n"/>
      <c r="T572" s="303" t="n"/>
    </row>
    <row customFormat="true" hidden="false" ht="15" outlineLevel="0" r="573" s="1">
      <c r="A573" s="116" t="n">
        <f aca="false" ca="false" dt2D="false" dtr="false" t="normal">+A572+1</f>
        <v>551</v>
      </c>
      <c r="B573" s="117" t="n">
        <f aca="false" ca="false" dt2D="false" dtr="false" t="normal">+B572+1</f>
        <v>92</v>
      </c>
      <c r="C573" s="104" t="s">
        <v>78</v>
      </c>
      <c r="D573" s="117" t="s">
        <v>586</v>
      </c>
      <c r="E573" s="113" t="n">
        <f aca="false" ca="true" dt2D="false" dtr="false" t="normal">SUBTOTAL(9, F573:T573)</f>
        <v>22015417.979999997</v>
      </c>
      <c r="F573" s="106" t="n">
        <v>13891614.29</v>
      </c>
      <c r="G573" s="114" t="n">
        <v>0</v>
      </c>
      <c r="H573" s="114" t="n">
        <v>3810136.93</v>
      </c>
      <c r="I573" s="114" t="n">
        <v>4313666.76</v>
      </c>
      <c r="J573" s="114" t="n">
        <v>0</v>
      </c>
      <c r="K573" s="114" t="n"/>
      <c r="L573" s="106" t="n"/>
      <c r="M573" s="114" t="n">
        <v>0</v>
      </c>
      <c r="N573" s="114" t="n">
        <v>0</v>
      </c>
      <c r="O573" s="114" t="n">
        <v>0</v>
      </c>
      <c r="P573" s="114" t="n">
        <v>0</v>
      </c>
      <c r="Q573" s="114" t="n">
        <v>0</v>
      </c>
      <c r="R573" s="114" t="n"/>
      <c r="S573" s="114" t="n"/>
      <c r="T573" s="303" t="n"/>
    </row>
    <row customFormat="true" hidden="false" ht="15" outlineLevel="0" r="574" s="1">
      <c r="A574" s="116" t="n">
        <f aca="false" ca="false" dt2D="false" dtr="false" t="normal">+A573+1</f>
        <v>552</v>
      </c>
      <c r="B574" s="117" t="n">
        <f aca="false" ca="false" dt2D="false" dtr="false" t="normal">+B573+1</f>
        <v>93</v>
      </c>
      <c r="C574" s="104" t="s">
        <v>78</v>
      </c>
      <c r="D574" s="117" t="s">
        <v>587</v>
      </c>
      <c r="E574" s="113" t="n">
        <f aca="false" ca="true" dt2D="false" dtr="false" t="normal">SUBTOTAL(9, F574:T574)</f>
        <v>12254316.47</v>
      </c>
      <c r="F574" s="106" t="n">
        <v>0</v>
      </c>
      <c r="G574" s="114" t="n">
        <v>0</v>
      </c>
      <c r="H574" s="114" t="n">
        <v>0</v>
      </c>
      <c r="I574" s="114" t="n">
        <v>0</v>
      </c>
      <c r="J574" s="114" t="n">
        <v>0</v>
      </c>
      <c r="K574" s="114" t="n"/>
      <c r="L574" s="106" t="n"/>
      <c r="M574" s="114" t="n">
        <v>0</v>
      </c>
      <c r="N574" s="114" t="n">
        <v>0</v>
      </c>
      <c r="O574" s="114" t="n">
        <v>0</v>
      </c>
      <c r="P574" s="114" t="n">
        <v>12254316.47</v>
      </c>
      <c r="Q574" s="114" t="n">
        <v>0</v>
      </c>
      <c r="R574" s="114" t="n"/>
      <c r="S574" s="114" t="n"/>
      <c r="T574" s="303" t="n"/>
    </row>
    <row customFormat="true" hidden="false" ht="15" outlineLevel="0" r="575" s="1">
      <c r="A575" s="116" t="n">
        <f aca="false" ca="false" dt2D="false" dtr="false" t="normal">+A574+1</f>
        <v>553</v>
      </c>
      <c r="B575" s="117" t="n">
        <f aca="false" ca="false" dt2D="false" dtr="false" t="normal">+B574+1</f>
        <v>94</v>
      </c>
      <c r="C575" s="104" t="s">
        <v>78</v>
      </c>
      <c r="D575" s="117" t="s">
        <v>588</v>
      </c>
      <c r="E575" s="113" t="n">
        <f aca="false" ca="true" dt2D="false" dtr="false" t="normal">SUBTOTAL(9, F575:T575)</f>
        <v>11232795.55</v>
      </c>
      <c r="F575" s="106" t="n"/>
      <c r="G575" s="114" t="n"/>
      <c r="H575" s="114" t="n"/>
      <c r="I575" s="114" t="n"/>
      <c r="J575" s="114" t="n"/>
      <c r="K575" s="114" t="n"/>
      <c r="L575" s="106" t="n"/>
      <c r="M575" s="114" t="n"/>
      <c r="N575" s="114" t="n"/>
      <c r="O575" s="114" t="n">
        <v>11232795.55</v>
      </c>
      <c r="P575" s="114" t="n"/>
      <c r="Q575" s="114" t="n"/>
      <c r="R575" s="304" t="n"/>
      <c r="S575" s="304" t="n"/>
      <c r="T575" s="303" t="n"/>
    </row>
    <row customFormat="true" hidden="false" ht="15" outlineLevel="0" r="576" s="1">
      <c r="A576" s="116" t="n">
        <f aca="false" ca="false" dt2D="false" dtr="false" t="normal">+A575+1</f>
        <v>554</v>
      </c>
      <c r="B576" s="117" t="n">
        <f aca="false" ca="false" dt2D="false" dtr="false" t="normal">+B575+1</f>
        <v>95</v>
      </c>
      <c r="C576" s="104" t="s">
        <v>78</v>
      </c>
      <c r="D576" s="117" t="s">
        <v>589</v>
      </c>
      <c r="E576" s="113" t="n">
        <f aca="false" ca="true" dt2D="false" dtr="false" t="normal">SUBTOTAL(9, F576:T576)</f>
        <v>11636623.01</v>
      </c>
      <c r="F576" s="106" t="n"/>
      <c r="G576" s="114" t="n"/>
      <c r="H576" s="114" t="n"/>
      <c r="I576" s="114" t="n"/>
      <c r="J576" s="114" t="n"/>
      <c r="K576" s="114" t="n"/>
      <c r="L576" s="106" t="n"/>
      <c r="M576" s="114" t="n"/>
      <c r="N576" s="114" t="n"/>
      <c r="O576" s="114" t="n">
        <v>11636623.01</v>
      </c>
      <c r="P576" s="114" t="n"/>
      <c r="Q576" s="114" t="n"/>
      <c r="R576" s="304" t="n"/>
      <c r="S576" s="304" t="n"/>
      <c r="T576" s="303" t="n"/>
    </row>
    <row customFormat="true" hidden="false" ht="15" outlineLevel="0" r="577" s="1">
      <c r="A577" s="116" t="n">
        <f aca="false" ca="false" dt2D="false" dtr="false" t="normal">+A576+1</f>
        <v>555</v>
      </c>
      <c r="B577" s="117" t="n">
        <f aca="false" ca="false" dt2D="false" dtr="false" t="normal">+B576+1</f>
        <v>96</v>
      </c>
      <c r="C577" s="104" t="s">
        <v>78</v>
      </c>
      <c r="D577" s="117" t="s">
        <v>109</v>
      </c>
      <c r="E577" s="113" t="n">
        <f aca="false" ca="true" dt2D="false" dtr="false" t="normal">SUBTOTAL(9, F577:T577)</f>
        <v>15416520.85</v>
      </c>
      <c r="F577" s="106" t="n">
        <v>8180916.31</v>
      </c>
      <c r="G577" s="114" t="n">
        <v>3273146.77</v>
      </c>
      <c r="H577" s="114" t="n">
        <v>2417539.32</v>
      </c>
      <c r="I577" s="114" t="n">
        <v>1544918.45</v>
      </c>
      <c r="J577" s="114" t="n">
        <v>0</v>
      </c>
      <c r="K577" s="114" t="n"/>
      <c r="L577" s="106" t="n"/>
      <c r="M577" s="114" t="n">
        <v>0</v>
      </c>
      <c r="N577" s="114" t="n">
        <v>0</v>
      </c>
      <c r="O577" s="114" t="n">
        <v>0</v>
      </c>
      <c r="P577" s="114" t="n">
        <v>0</v>
      </c>
      <c r="Q577" s="114" t="n">
        <v>0</v>
      </c>
      <c r="R577" s="114" t="n"/>
      <c r="S577" s="114" t="n"/>
      <c r="T577" s="111" t="n"/>
    </row>
    <row customFormat="true" hidden="false" ht="15" outlineLevel="0" r="578" s="1">
      <c r="A578" s="116" t="n">
        <f aca="false" ca="false" dt2D="false" dtr="false" t="normal">+A577+1</f>
        <v>556</v>
      </c>
      <c r="B578" s="117" t="n">
        <f aca="false" ca="false" dt2D="false" dtr="false" t="normal">+B577+1</f>
        <v>97</v>
      </c>
      <c r="C578" s="104" t="s">
        <v>78</v>
      </c>
      <c r="D578" s="117" t="s">
        <v>323</v>
      </c>
      <c r="E578" s="113" t="n">
        <f aca="false" ca="true" dt2D="false" dtr="false" t="normal">SUBTOTAL(9, F578:T578)</f>
        <v>927231.11</v>
      </c>
      <c r="F578" s="106" t="n">
        <v>0</v>
      </c>
      <c r="G578" s="114" t="n">
        <v>0</v>
      </c>
      <c r="H578" s="114" t="n">
        <v>927231.11</v>
      </c>
      <c r="I578" s="114" t="n"/>
      <c r="J578" s="114" t="n">
        <v>0</v>
      </c>
      <c r="K578" s="114" t="n"/>
      <c r="L578" s="106" t="n"/>
      <c r="M578" s="114" t="n">
        <v>0</v>
      </c>
      <c r="N578" s="114" t="n">
        <v>0</v>
      </c>
      <c r="O578" s="114" t="n">
        <v>0</v>
      </c>
      <c r="P578" s="114" t="n">
        <v>0</v>
      </c>
      <c r="Q578" s="114" t="n">
        <v>0</v>
      </c>
      <c r="R578" s="304" t="n"/>
      <c r="S578" s="304" t="n"/>
      <c r="T578" s="303" t="n"/>
      <c r="U578" s="0" t="n"/>
      <c r="V578" s="0" t="n"/>
      <c r="W578" s="0" t="n"/>
      <c r="X578" s="0" t="n"/>
      <c r="Y578" s="0" t="n"/>
      <c r="Z578" s="0" t="n"/>
      <c r="AA578" s="0" t="n"/>
      <c r="AB578" s="0" t="n"/>
      <c r="AC578" s="0" t="n"/>
      <c r="AD578" s="0" t="n"/>
      <c r="AE578" s="0" t="n"/>
      <c r="AF578" s="0" t="n"/>
      <c r="AG578" s="0" t="n"/>
      <c r="AH578" s="0" t="n"/>
      <c r="AI578" s="0" t="n"/>
      <c r="AJ578" s="0" t="n"/>
      <c r="AK578" s="0" t="n"/>
      <c r="AL578" s="0" t="n"/>
      <c r="AM578" s="0" t="n"/>
      <c r="AN578" s="0" t="n"/>
      <c r="AO578" s="0" t="n"/>
      <c r="AP578" s="0" t="n"/>
      <c r="AQ578" s="0" t="n"/>
      <c r="AR578" s="0" t="n"/>
      <c r="AS578" s="0" t="n"/>
      <c r="AT578" s="0" t="n"/>
      <c r="AU578" s="0" t="n"/>
      <c r="AV578" s="0" t="n"/>
      <c r="AW578" s="0" t="n"/>
      <c r="AX578" s="0" t="n"/>
      <c r="AY578" s="0" t="n"/>
      <c r="AZ578" s="0" t="n"/>
      <c r="BA578" s="0" t="n"/>
      <c r="BB578" s="0" t="n"/>
      <c r="BC578" s="0" t="n"/>
      <c r="BD578" s="0" t="n"/>
      <c r="BE578" s="0" t="n"/>
      <c r="BF578" s="0" t="n"/>
      <c r="BG578" s="0" t="n"/>
      <c r="BH578" s="0" t="n"/>
      <c r="BI578" s="0" t="n"/>
      <c r="BJ578" s="0" t="n"/>
      <c r="BK578" s="0" t="n"/>
      <c r="BL578" s="0" t="n"/>
      <c r="BM578" s="0" t="n"/>
      <c r="BN578" s="0" t="n"/>
      <c r="BO578" s="0" t="n"/>
      <c r="BP578" s="0" t="n"/>
    </row>
    <row customFormat="true" hidden="false" ht="15" outlineLevel="0" r="579" s="1">
      <c r="A579" s="116" t="n">
        <f aca="false" ca="false" dt2D="false" dtr="false" t="normal">+A578+1</f>
        <v>557</v>
      </c>
      <c r="B579" s="117" t="n">
        <f aca="false" ca="false" dt2D="false" dtr="false" t="normal">+B578+1</f>
        <v>98</v>
      </c>
      <c r="C579" s="104" t="s">
        <v>590</v>
      </c>
      <c r="D579" s="117" t="s">
        <v>591</v>
      </c>
      <c r="E579" s="113" t="n">
        <f aca="false" ca="true" dt2D="false" dtr="false" t="normal">SUBTOTAL(9, F579:T579)</f>
        <v>9581814.6</v>
      </c>
      <c r="F579" s="106" t="n"/>
      <c r="G579" s="114" t="n"/>
      <c r="H579" s="114" t="n"/>
      <c r="I579" s="114" t="n"/>
      <c r="J579" s="114" t="n"/>
      <c r="K579" s="114" t="n"/>
      <c r="L579" s="106" t="n"/>
      <c r="M579" s="114" t="n">
        <v>9062814.6</v>
      </c>
      <c r="N579" s="114" t="n"/>
      <c r="O579" s="114" t="n"/>
      <c r="P579" s="114" t="n"/>
      <c r="Q579" s="114" t="n"/>
      <c r="R579" s="114" t="n">
        <v>489000</v>
      </c>
      <c r="S579" s="114" t="n">
        <v>30000</v>
      </c>
      <c r="T579" s="303" t="n"/>
    </row>
    <row customFormat="true" hidden="false" ht="15" outlineLevel="0" r="580" s="1">
      <c r="A580" s="116" t="n">
        <f aca="false" ca="false" dt2D="false" dtr="false" t="normal">+A579+1</f>
        <v>558</v>
      </c>
      <c r="B580" s="117" t="n">
        <f aca="false" ca="false" dt2D="false" dtr="false" t="normal">+B579+1</f>
        <v>99</v>
      </c>
      <c r="C580" s="104" t="s">
        <v>78</v>
      </c>
      <c r="D580" s="117" t="s">
        <v>593</v>
      </c>
      <c r="E580" s="113" t="n">
        <f aca="false" ca="true" dt2D="false" dtr="false" t="normal">SUBTOTAL(9, F580:T580)</f>
        <v>10847661.43</v>
      </c>
      <c r="F580" s="106" t="n">
        <v>7935557.21</v>
      </c>
      <c r="G580" s="114" t="n">
        <v>0</v>
      </c>
      <c r="H580" s="114" t="n">
        <v>1456052.11</v>
      </c>
      <c r="I580" s="114" t="n">
        <v>1456052.11</v>
      </c>
      <c r="J580" s="114" t="n">
        <v>0</v>
      </c>
      <c r="K580" s="114" t="n"/>
      <c r="L580" s="106" t="n"/>
      <c r="M580" s="114" t="n">
        <v>0</v>
      </c>
      <c r="N580" s="114" t="n">
        <v>0</v>
      </c>
      <c r="O580" s="114" t="n">
        <v>0</v>
      </c>
      <c r="P580" s="114" t="n">
        <v>0</v>
      </c>
      <c r="Q580" s="114" t="n">
        <v>0</v>
      </c>
      <c r="R580" s="304" t="n"/>
      <c r="S580" s="304" t="n"/>
      <c r="T580" s="303" t="n"/>
    </row>
    <row customFormat="true" hidden="false" ht="15" outlineLevel="0" r="581" s="1">
      <c r="A581" s="116" t="n">
        <f aca="false" ca="false" dt2D="false" dtr="false" t="normal">+A580+1</f>
        <v>559</v>
      </c>
      <c r="B581" s="117" t="n">
        <f aca="false" ca="false" dt2D="false" dtr="false" t="normal">+B580+1</f>
        <v>100</v>
      </c>
      <c r="C581" s="104" t="s">
        <v>78</v>
      </c>
      <c r="D581" s="117" t="s">
        <v>478</v>
      </c>
      <c r="E581" s="113" t="n">
        <f aca="false" ca="true" dt2D="false" dtr="false" t="normal">SUBTOTAL(9, F581:T581)</f>
        <v>8101220.33</v>
      </c>
      <c r="F581" s="106" t="n">
        <v>8101220.33</v>
      </c>
      <c r="G581" s="114" t="n">
        <v>0</v>
      </c>
      <c r="H581" s="114" t="n"/>
      <c r="I581" s="114" t="n"/>
      <c r="J581" s="114" t="n"/>
      <c r="K581" s="114" t="n"/>
      <c r="L581" s="106" t="n"/>
      <c r="M581" s="114" t="n"/>
      <c r="N581" s="114" t="n"/>
      <c r="O581" s="114" t="n"/>
      <c r="P581" s="114" t="n"/>
      <c r="Q581" s="114" t="n"/>
      <c r="R581" s="304" t="n"/>
      <c r="S581" s="304" t="n"/>
      <c r="T581" s="303" t="n"/>
    </row>
    <row customFormat="true" hidden="false" ht="15" outlineLevel="0" r="582" s="1">
      <c r="A582" s="116" t="n">
        <f aca="false" ca="false" dt2D="false" dtr="false" t="normal">+A581+1</f>
        <v>560</v>
      </c>
      <c r="B582" s="117" t="n">
        <f aca="false" ca="false" dt2D="false" dtr="false" t="normal">+B581+1</f>
        <v>101</v>
      </c>
      <c r="C582" s="104" t="s">
        <v>590</v>
      </c>
      <c r="D582" s="117" t="s">
        <v>594</v>
      </c>
      <c r="E582" s="113" t="n">
        <f aca="false" ca="true" dt2D="false" dtr="false" t="normal">SUBTOTAL(9, F582:T582)</f>
        <v>3517263.77</v>
      </c>
      <c r="F582" s="106" t="n"/>
      <c r="G582" s="114" t="n"/>
      <c r="H582" s="114" t="n"/>
      <c r="I582" s="114" t="n"/>
      <c r="J582" s="114" t="n"/>
      <c r="K582" s="114" t="n"/>
      <c r="L582" s="106" t="n"/>
      <c r="M582" s="114" t="n">
        <v>3388344.65</v>
      </c>
      <c r="N582" s="114" t="n"/>
      <c r="O582" s="114" t="n"/>
      <c r="P582" s="114" t="n"/>
      <c r="Q582" s="114" t="n"/>
      <c r="R582" s="114" t="n">
        <v>104919.12</v>
      </c>
      <c r="S582" s="114" t="n">
        <v>24000</v>
      </c>
      <c r="T582" s="303" t="n"/>
    </row>
    <row customFormat="true" hidden="false" ht="15" outlineLevel="0" r="583" s="1">
      <c r="A583" s="116" t="n">
        <f aca="false" ca="false" dt2D="false" dtr="false" t="normal">+A582+1</f>
        <v>561</v>
      </c>
      <c r="B583" s="117" t="n">
        <f aca="false" ca="false" dt2D="false" dtr="false" t="normal">+B582+1</f>
        <v>102</v>
      </c>
      <c r="C583" s="104" t="s">
        <v>78</v>
      </c>
      <c r="D583" s="117" t="s">
        <v>595</v>
      </c>
      <c r="E583" s="113" t="n">
        <f aca="false" ca="true" dt2D="false" dtr="false" t="normal">SUBTOTAL(9, F583:T583)</f>
        <v>9892552.73</v>
      </c>
      <c r="F583" s="106" t="n">
        <v>6480351.24</v>
      </c>
      <c r="G583" s="114" t="n">
        <v>0</v>
      </c>
      <c r="H583" s="114" t="n">
        <v>0</v>
      </c>
      <c r="I583" s="114" t="n">
        <v>0</v>
      </c>
      <c r="J583" s="114" t="n">
        <v>0</v>
      </c>
      <c r="K583" s="114" t="n"/>
      <c r="L583" s="106" t="n"/>
      <c r="M583" s="114" t="n">
        <v>0</v>
      </c>
      <c r="N583" s="114" t="n">
        <v>0</v>
      </c>
      <c r="O583" s="114" t="n">
        <v>3412201.49</v>
      </c>
      <c r="P583" s="114" t="n">
        <v>0</v>
      </c>
      <c r="Q583" s="114" t="n">
        <v>0</v>
      </c>
      <c r="R583" s="114" t="n"/>
      <c r="S583" s="114" t="n"/>
      <c r="T583" s="303" t="n"/>
    </row>
    <row customFormat="true" hidden="false" ht="15" outlineLevel="0" r="584" s="1">
      <c r="A584" s="116" t="n">
        <f aca="false" ca="false" dt2D="false" dtr="false" t="normal">+A583+1</f>
        <v>562</v>
      </c>
      <c r="B584" s="117" t="n">
        <f aca="false" ca="false" dt2D="false" dtr="false" t="normal">+B583+1</f>
        <v>103</v>
      </c>
      <c r="C584" s="104" t="s">
        <v>590</v>
      </c>
      <c r="D584" s="117" t="s">
        <v>596</v>
      </c>
      <c r="E584" s="113" t="n">
        <f aca="false" ca="true" dt2D="false" dtr="false" t="normal">SUBTOTAL(9, F584:T584)</f>
        <v>7032520.03</v>
      </c>
      <c r="F584" s="106" t="n"/>
      <c r="G584" s="114" t="n"/>
      <c r="H584" s="114" t="n"/>
      <c r="I584" s="114" t="n"/>
      <c r="J584" s="114" t="n"/>
      <c r="K584" s="114" t="n"/>
      <c r="L584" s="106" t="n"/>
      <c r="M584" s="114" t="n">
        <v>6868490.36</v>
      </c>
      <c r="N584" s="114" t="n"/>
      <c r="O584" s="114" t="n"/>
      <c r="P584" s="114" t="n"/>
      <c r="Q584" s="114" t="n"/>
      <c r="R584" s="114" t="n">
        <v>140029.67</v>
      </c>
      <c r="S584" s="114" t="n">
        <v>24000</v>
      </c>
      <c r="T584" s="303" t="n"/>
    </row>
    <row customFormat="true" hidden="false" ht="15" outlineLevel="0" r="585" s="1">
      <c r="A585" s="116" t="n">
        <f aca="false" ca="false" dt2D="false" dtr="false" t="normal">+A584+1</f>
        <v>563</v>
      </c>
      <c r="B585" s="117" t="n">
        <f aca="false" ca="false" dt2D="false" dtr="false" t="normal">+B584+1</f>
        <v>104</v>
      </c>
      <c r="C585" s="104" t="s">
        <v>81</v>
      </c>
      <c r="D585" s="117" t="s">
        <v>110</v>
      </c>
      <c r="E585" s="113" t="n">
        <f aca="false" ca="true" dt2D="false" dtr="false" t="normal">SUBTOTAL(9, F585:T585)</f>
        <v>17694269.12</v>
      </c>
      <c r="F585" s="106" t="n">
        <v>17694269.12</v>
      </c>
      <c r="G585" s="114" t="n"/>
      <c r="H585" s="114" t="n"/>
      <c r="I585" s="114" t="n"/>
      <c r="J585" s="114" t="n"/>
      <c r="K585" s="114" t="n"/>
      <c r="L585" s="106" t="n"/>
      <c r="M585" s="114" t="n"/>
      <c r="N585" s="114" t="n"/>
      <c r="O585" s="114" t="n"/>
      <c r="P585" s="114" t="n"/>
      <c r="Q585" s="114" t="n"/>
      <c r="R585" s="114" t="n"/>
      <c r="S585" s="114" t="n"/>
      <c r="T585" s="115" t="n"/>
      <c r="U585" s="0" t="n"/>
      <c r="V585" s="0" t="n"/>
      <c r="W585" s="0" t="n"/>
      <c r="X585" s="0" t="n"/>
      <c r="Y585" s="0" t="n"/>
      <c r="Z585" s="0" t="n"/>
      <c r="AA585" s="0" t="n"/>
      <c r="AB585" s="0" t="n"/>
      <c r="AC585" s="0" t="n"/>
      <c r="AD585" s="0" t="n"/>
      <c r="AE585" s="0" t="n"/>
      <c r="AF585" s="0" t="n"/>
      <c r="AG585" s="0" t="n"/>
      <c r="AH585" s="0" t="n"/>
      <c r="AI585" s="0" t="n"/>
      <c r="AJ585" s="0" t="n"/>
      <c r="AK585" s="0" t="n"/>
      <c r="AL585" s="0" t="n"/>
      <c r="AM585" s="0" t="n"/>
      <c r="AN585" s="0" t="n"/>
      <c r="AO585" s="0" t="n"/>
      <c r="AP585" s="0" t="n"/>
      <c r="AQ585" s="0" t="n"/>
      <c r="AR585" s="0" t="n"/>
      <c r="AS585" s="0" t="n"/>
      <c r="AT585" s="0" t="n"/>
      <c r="AU585" s="0" t="n"/>
      <c r="AV585" s="0" t="n"/>
      <c r="AW585" s="0" t="n"/>
      <c r="AX585" s="0" t="n"/>
      <c r="AY585" s="0" t="n"/>
      <c r="AZ585" s="0" t="n"/>
      <c r="BA585" s="0" t="n"/>
      <c r="BB585" s="0" t="n"/>
      <c r="BC585" s="0" t="n"/>
      <c r="BD585" s="0" t="n"/>
      <c r="BE585" s="0" t="n"/>
      <c r="BF585" s="0" t="n"/>
      <c r="BG585" s="0" t="n"/>
      <c r="BH585" s="0" t="n"/>
      <c r="BI585" s="0" t="n"/>
      <c r="BJ585" s="0" t="n"/>
      <c r="BK585" s="0" t="n"/>
      <c r="BL585" s="0" t="n"/>
      <c r="BM585" s="0" t="n"/>
      <c r="BN585" s="0" t="n"/>
      <c r="BO585" s="0" t="n"/>
      <c r="BP585" s="0" t="n"/>
    </row>
    <row customFormat="true" hidden="false" ht="15" outlineLevel="0" r="586" s="1">
      <c r="A586" s="116" t="n">
        <f aca="false" ca="false" dt2D="false" dtr="false" t="normal">+A585+1</f>
        <v>564</v>
      </c>
      <c r="B586" s="117" t="n">
        <f aca="false" ca="false" dt2D="false" dtr="false" t="normal">+B585+1</f>
        <v>105</v>
      </c>
      <c r="C586" s="104" t="s">
        <v>71</v>
      </c>
      <c r="D586" s="117" t="s">
        <v>597</v>
      </c>
      <c r="E586" s="113" t="n">
        <f aca="false" ca="true" dt2D="false" dtr="false" t="normal">SUBTOTAL(9, F586:T586)</f>
        <v>9379853.56</v>
      </c>
      <c r="F586" s="106" t="n">
        <v>0</v>
      </c>
      <c r="G586" s="114" t="n">
        <v>0</v>
      </c>
      <c r="H586" s="114" t="n">
        <v>0</v>
      </c>
      <c r="I586" s="114" t="n">
        <v>0</v>
      </c>
      <c r="J586" s="114" t="n">
        <v>0</v>
      </c>
      <c r="K586" s="114" t="n"/>
      <c r="L586" s="106" t="n"/>
      <c r="M586" s="114" t="n">
        <v>0</v>
      </c>
      <c r="N586" s="114" t="n">
        <v>0</v>
      </c>
      <c r="O586" s="114" t="n">
        <v>0</v>
      </c>
      <c r="P586" s="114" t="n">
        <v>9280576.31</v>
      </c>
      <c r="Q586" s="114" t="n">
        <v>0</v>
      </c>
      <c r="R586" s="114" t="n"/>
      <c r="S586" s="114" t="n"/>
      <c r="T586" s="115" t="n">
        <v>99277.25</v>
      </c>
      <c r="U586" s="0" t="n"/>
      <c r="V586" s="0" t="n"/>
      <c r="W586" s="0" t="n"/>
      <c r="X586" s="0" t="n"/>
      <c r="Y586" s="0" t="n"/>
      <c r="Z586" s="0" t="n"/>
      <c r="AA586" s="0" t="n"/>
      <c r="AB586" s="0" t="n"/>
      <c r="AC586" s="0" t="n"/>
      <c r="AD586" s="0" t="n"/>
      <c r="AE586" s="0" t="n"/>
      <c r="AF586" s="0" t="n"/>
      <c r="AG586" s="0" t="n"/>
      <c r="AH586" s="0" t="n"/>
      <c r="AI586" s="0" t="n"/>
      <c r="AJ586" s="0" t="n"/>
      <c r="AK586" s="0" t="n"/>
      <c r="AL586" s="0" t="n"/>
      <c r="AM586" s="0" t="n"/>
      <c r="AN586" s="0" t="n"/>
      <c r="AO586" s="0" t="n"/>
      <c r="AP586" s="0" t="n"/>
      <c r="AQ586" s="0" t="n"/>
      <c r="AR586" s="0" t="n"/>
      <c r="AS586" s="0" t="n"/>
      <c r="AT586" s="0" t="n"/>
      <c r="AU586" s="0" t="n"/>
      <c r="AV586" s="0" t="n"/>
      <c r="AW586" s="0" t="n"/>
      <c r="AX586" s="0" t="n"/>
      <c r="AY586" s="0" t="n"/>
      <c r="AZ586" s="0" t="n"/>
      <c r="BA586" s="0" t="n"/>
      <c r="BB586" s="0" t="n"/>
      <c r="BC586" s="0" t="n"/>
      <c r="BD586" s="0" t="n"/>
      <c r="BE586" s="0" t="n"/>
      <c r="BF586" s="0" t="n"/>
      <c r="BG586" s="0" t="n"/>
      <c r="BH586" s="0" t="n"/>
      <c r="BI586" s="0" t="n"/>
      <c r="BJ586" s="0" t="n"/>
      <c r="BK586" s="0" t="n"/>
      <c r="BL586" s="0" t="n"/>
      <c r="BM586" s="0" t="n"/>
      <c r="BN586" s="0" t="n"/>
      <c r="BO586" s="0" t="n"/>
      <c r="BP586" s="0" t="n"/>
    </row>
    <row customFormat="true" hidden="false" ht="15" outlineLevel="0" r="587" s="1">
      <c r="A587" s="116" t="n">
        <f aca="false" ca="false" dt2D="false" dtr="false" t="normal">+A586+1</f>
        <v>565</v>
      </c>
      <c r="B587" s="117" t="n">
        <f aca="false" ca="false" dt2D="false" dtr="false" t="normal">+B586+1</f>
        <v>106</v>
      </c>
      <c r="C587" s="104" t="s">
        <v>71</v>
      </c>
      <c r="D587" s="117" t="s">
        <v>72</v>
      </c>
      <c r="E587" s="113" t="n">
        <f aca="false" ca="true" dt2D="false" dtr="false" t="normal">SUBTOTAL(9, F587:T587)</f>
        <v>18381250.569999997</v>
      </c>
      <c r="F587" s="106" t="n">
        <v>0</v>
      </c>
      <c r="G587" s="114" t="n">
        <v>0</v>
      </c>
      <c r="H587" s="114" t="n">
        <v>0</v>
      </c>
      <c r="I587" s="114" t="n">
        <v>0</v>
      </c>
      <c r="J587" s="114" t="n">
        <v>0</v>
      </c>
      <c r="K587" s="114" t="n"/>
      <c r="L587" s="106" t="n"/>
      <c r="M587" s="114" t="n">
        <v>0</v>
      </c>
      <c r="N587" s="114" t="n">
        <v>0</v>
      </c>
      <c r="O587" s="114" t="n">
        <v>0</v>
      </c>
      <c r="P587" s="114" t="n">
        <v>18210401.58</v>
      </c>
      <c r="Q587" s="114" t="n">
        <v>0</v>
      </c>
      <c r="R587" s="114" t="n"/>
      <c r="S587" s="114" t="n"/>
      <c r="T587" s="115" t="n">
        <v>170848.99</v>
      </c>
      <c r="U587" s="0" t="n"/>
      <c r="V587" s="0" t="n"/>
      <c r="W587" s="0" t="n"/>
      <c r="X587" s="0" t="n"/>
      <c r="Y587" s="0" t="n"/>
      <c r="Z587" s="0" t="n"/>
      <c r="AA587" s="0" t="n"/>
      <c r="AB587" s="0" t="n"/>
      <c r="AC587" s="0" t="n"/>
      <c r="AD587" s="0" t="n"/>
      <c r="AE587" s="0" t="n"/>
      <c r="AF587" s="0" t="n"/>
      <c r="AG587" s="0" t="n"/>
      <c r="AH587" s="0" t="n"/>
      <c r="AI587" s="0" t="n"/>
      <c r="AJ587" s="0" t="n"/>
      <c r="AK587" s="0" t="n"/>
      <c r="AL587" s="0" t="n"/>
      <c r="AM587" s="0" t="n"/>
      <c r="AN587" s="0" t="n"/>
      <c r="AO587" s="0" t="n"/>
      <c r="AP587" s="0" t="n"/>
      <c r="AQ587" s="0" t="n"/>
      <c r="AR587" s="0" t="n"/>
      <c r="AS587" s="0" t="n"/>
      <c r="AT587" s="0" t="n"/>
      <c r="AU587" s="0" t="n"/>
      <c r="AV587" s="0" t="n"/>
      <c r="AW587" s="0" t="n"/>
      <c r="AX587" s="0" t="n"/>
      <c r="AY587" s="0" t="n"/>
      <c r="AZ587" s="0" t="n"/>
      <c r="BA587" s="0" t="n"/>
      <c r="BB587" s="0" t="n"/>
      <c r="BC587" s="0" t="n"/>
      <c r="BD587" s="0" t="n"/>
      <c r="BE587" s="0" t="n"/>
      <c r="BF587" s="0" t="n"/>
      <c r="BG587" s="0" t="n"/>
      <c r="BH587" s="0" t="n"/>
      <c r="BI587" s="0" t="n"/>
      <c r="BJ587" s="0" t="n"/>
      <c r="BK587" s="0" t="n"/>
      <c r="BL587" s="0" t="n"/>
      <c r="BM587" s="0" t="n"/>
      <c r="BN587" s="0" t="n"/>
      <c r="BO587" s="0" t="n"/>
      <c r="BP587" s="0" t="n"/>
    </row>
    <row customFormat="true" hidden="false" ht="15" outlineLevel="0" r="588" s="1">
      <c r="A588" s="116" t="n">
        <f aca="false" ca="false" dt2D="false" dtr="false" t="normal">+A587+1</f>
        <v>566</v>
      </c>
      <c r="B588" s="117" t="n">
        <f aca="false" ca="false" dt2D="false" dtr="false" t="normal">+B587+1</f>
        <v>107</v>
      </c>
      <c r="C588" s="104" t="s">
        <v>111</v>
      </c>
      <c r="D588" s="117" t="s">
        <v>598</v>
      </c>
      <c r="E588" s="113" t="n">
        <f aca="false" ca="true" dt2D="false" dtr="false" t="normal">SUBTOTAL(9, F588:T588)</f>
        <v>20768203.43</v>
      </c>
      <c r="F588" s="106" t="n"/>
      <c r="G588" s="114" t="n"/>
      <c r="H588" s="114" t="n"/>
      <c r="I588" s="114" t="n"/>
      <c r="J588" s="114" t="n"/>
      <c r="K588" s="114" t="n"/>
      <c r="L588" s="106" t="n"/>
      <c r="M588" s="114" t="n">
        <v>19572309.43</v>
      </c>
      <c r="N588" s="114" t="n"/>
      <c r="O588" s="114" t="n"/>
      <c r="P588" s="114" t="n"/>
      <c r="Q588" s="114" t="n"/>
      <c r="R588" s="114" t="n">
        <v>896920.5</v>
      </c>
      <c r="S588" s="114" t="n">
        <v>298973.5</v>
      </c>
      <c r="T588" s="303" t="n"/>
    </row>
    <row customFormat="true" hidden="false" ht="15" outlineLevel="0" r="589" s="1">
      <c r="A589" s="116" t="n">
        <f aca="false" ca="false" dt2D="false" dtr="false" t="normal">+A588+1</f>
        <v>567</v>
      </c>
      <c r="B589" s="117" t="n">
        <f aca="false" ca="false" dt2D="false" dtr="false" t="normal">+B588+1</f>
        <v>108</v>
      </c>
      <c r="C589" s="104" t="s">
        <v>111</v>
      </c>
      <c r="D589" s="117" t="s">
        <v>601</v>
      </c>
      <c r="E589" s="113" t="n">
        <f aca="false" ca="true" dt2D="false" dtr="false" t="normal">SUBTOTAL(9, F589:T589)</f>
        <v>3847595.22</v>
      </c>
      <c r="F589" s="106" t="n">
        <v>0</v>
      </c>
      <c r="G589" s="114" t="n">
        <v>0</v>
      </c>
      <c r="H589" s="114" t="n">
        <v>3847595.22</v>
      </c>
      <c r="I589" s="114" t="n">
        <v>0</v>
      </c>
      <c r="J589" s="114" t="n">
        <v>0</v>
      </c>
      <c r="K589" s="114" t="n"/>
      <c r="L589" s="106" t="n"/>
      <c r="M589" s="114" t="n">
        <v>0</v>
      </c>
      <c r="N589" s="114" t="n">
        <v>0</v>
      </c>
      <c r="O589" s="114" t="n">
        <v>0</v>
      </c>
      <c r="P589" s="114" t="n">
        <v>0</v>
      </c>
      <c r="Q589" s="114" t="n">
        <v>0</v>
      </c>
      <c r="R589" s="114" t="n"/>
      <c r="S589" s="114" t="n"/>
      <c r="T589" s="303" t="n"/>
    </row>
    <row customFormat="true" hidden="false" ht="15" outlineLevel="0" r="590" s="1">
      <c r="A590" s="116" t="n">
        <f aca="false" ca="false" dt2D="false" dtr="false" t="normal">+A589+1</f>
        <v>568</v>
      </c>
      <c r="B590" s="117" t="n">
        <f aca="false" ca="false" dt2D="false" dtr="false" t="normal">+B589+1</f>
        <v>109</v>
      </c>
      <c r="C590" s="104" t="s">
        <v>111</v>
      </c>
      <c r="D590" s="117" t="s">
        <v>122</v>
      </c>
      <c r="E590" s="113" t="n">
        <f aca="false" ca="true" dt2D="false" dtr="false" t="normal">SUBTOTAL(9, F590:T590)</f>
        <v>2674756.81</v>
      </c>
      <c r="F590" s="106" t="n"/>
      <c r="G590" s="114" t="n">
        <v>2634178.68</v>
      </c>
      <c r="H590" s="114" t="n"/>
      <c r="I590" s="114" t="n"/>
      <c r="J590" s="114" t="n"/>
      <c r="K590" s="114" t="n"/>
      <c r="L590" s="106" t="n"/>
      <c r="M590" s="114" t="n">
        <v>0</v>
      </c>
      <c r="N590" s="114" t="n"/>
      <c r="O590" s="114" t="n"/>
      <c r="P590" s="114" t="n"/>
      <c r="Q590" s="114" t="n"/>
      <c r="R590" s="114" t="n"/>
      <c r="S590" s="114" t="n"/>
      <c r="T590" s="115" t="n">
        <v>40578.13</v>
      </c>
      <c r="U590" s="0" t="n"/>
      <c r="V590" s="0" t="n"/>
      <c r="W590" s="0" t="n"/>
      <c r="X590" s="0" t="n"/>
      <c r="Y590" s="0" t="n"/>
      <c r="Z590" s="0" t="n"/>
      <c r="AA590" s="0" t="n"/>
      <c r="AB590" s="0" t="n"/>
      <c r="AC590" s="0" t="n"/>
      <c r="AD590" s="0" t="n"/>
      <c r="AE590" s="0" t="n"/>
      <c r="AF590" s="0" t="n"/>
      <c r="AG590" s="0" t="n"/>
      <c r="AH590" s="0" t="n"/>
      <c r="AI590" s="0" t="n"/>
      <c r="AJ590" s="0" t="n"/>
      <c r="AK590" s="0" t="n"/>
      <c r="AL590" s="0" t="n"/>
      <c r="AM590" s="0" t="n"/>
      <c r="AN590" s="0" t="n"/>
      <c r="AO590" s="0" t="n"/>
      <c r="AP590" s="0" t="n"/>
      <c r="AQ590" s="0" t="n"/>
      <c r="AR590" s="0" t="n"/>
      <c r="AS590" s="0" t="n"/>
      <c r="AT590" s="0" t="n"/>
      <c r="AU590" s="0" t="n"/>
      <c r="AV590" s="0" t="n"/>
      <c r="AW590" s="0" t="n"/>
      <c r="AX590" s="0" t="n"/>
      <c r="AY590" s="0" t="n"/>
      <c r="AZ590" s="0" t="n"/>
      <c r="BA590" s="0" t="n"/>
      <c r="BB590" s="0" t="n"/>
      <c r="BC590" s="0" t="n"/>
      <c r="BD590" s="0" t="n"/>
      <c r="BE590" s="0" t="n"/>
      <c r="BF590" s="0" t="n"/>
      <c r="BG590" s="0" t="n"/>
      <c r="BH590" s="0" t="n"/>
      <c r="BI590" s="0" t="n"/>
      <c r="BJ590" s="0" t="n"/>
      <c r="BK590" s="0" t="n"/>
      <c r="BL590" s="0" t="n"/>
      <c r="BM590" s="0" t="n"/>
      <c r="BN590" s="0" t="n"/>
      <c r="BO590" s="0" t="n"/>
      <c r="BP590" s="0" t="n"/>
    </row>
    <row customFormat="true" hidden="false" ht="15" outlineLevel="0" r="591" s="1">
      <c r="A591" s="116" t="n">
        <f aca="false" ca="false" dt2D="false" dtr="false" t="normal">+A590+1</f>
        <v>569</v>
      </c>
      <c r="B591" s="117" t="n">
        <f aca="false" ca="false" dt2D="false" dtr="false" t="normal">+B590+1</f>
        <v>110</v>
      </c>
      <c r="C591" s="104" t="s">
        <v>111</v>
      </c>
      <c r="D591" s="117" t="s">
        <v>333</v>
      </c>
      <c r="E591" s="113" t="n">
        <f aca="false" ca="true" dt2D="false" dtr="false" t="normal">SUBTOTAL(9, F591:T591)</f>
        <v>3541134.84</v>
      </c>
      <c r="F591" s="106" t="n"/>
      <c r="G591" s="114" t="n">
        <v>2056177.15</v>
      </c>
      <c r="H591" s="114" t="n"/>
      <c r="I591" s="114" t="n">
        <v>1425204.86</v>
      </c>
      <c r="J591" s="114" t="n"/>
      <c r="K591" s="114" t="n"/>
      <c r="L591" s="106" t="n"/>
      <c r="M591" s="114" t="n">
        <v>0</v>
      </c>
      <c r="N591" s="114" t="n"/>
      <c r="O591" s="114" t="n">
        <v>0</v>
      </c>
      <c r="P591" s="114" t="n">
        <v>0</v>
      </c>
      <c r="Q591" s="114" t="n">
        <v>0</v>
      </c>
      <c r="R591" s="304" t="n"/>
      <c r="S591" s="304" t="n"/>
      <c r="T591" s="115" t="n">
        <v>59752.83</v>
      </c>
      <c r="U591" s="0" t="n"/>
      <c r="V591" s="0" t="n"/>
      <c r="W591" s="0" t="n"/>
      <c r="X591" s="0" t="n"/>
      <c r="Y591" s="0" t="n"/>
      <c r="Z591" s="0" t="n"/>
      <c r="AA591" s="0" t="n"/>
      <c r="AB591" s="0" t="n"/>
      <c r="AC591" s="0" t="n"/>
      <c r="AD591" s="0" t="n"/>
      <c r="AE591" s="0" t="n"/>
      <c r="AF591" s="0" t="n"/>
      <c r="AG591" s="0" t="n"/>
      <c r="AH591" s="0" t="n"/>
      <c r="AI591" s="0" t="n"/>
      <c r="AJ591" s="0" t="n"/>
      <c r="AK591" s="0" t="n"/>
      <c r="AL591" s="0" t="n"/>
      <c r="AM591" s="0" t="n"/>
      <c r="AN591" s="0" t="n"/>
      <c r="AO591" s="0" t="n"/>
      <c r="AP591" s="0" t="n"/>
      <c r="AQ591" s="0" t="n"/>
      <c r="AR591" s="0" t="n"/>
      <c r="AS591" s="0" t="n"/>
      <c r="AT591" s="0" t="n"/>
      <c r="AU591" s="0" t="n"/>
      <c r="AV591" s="0" t="n"/>
      <c r="AW591" s="0" t="n"/>
      <c r="AX591" s="0" t="n"/>
      <c r="AY591" s="0" t="n"/>
      <c r="AZ591" s="0" t="n"/>
      <c r="BA591" s="0" t="n"/>
      <c r="BB591" s="0" t="n"/>
      <c r="BC591" s="0" t="n"/>
      <c r="BD591" s="0" t="n"/>
      <c r="BE591" s="0" t="n"/>
      <c r="BF591" s="0" t="n"/>
      <c r="BG591" s="0" t="n"/>
      <c r="BH591" s="0" t="n"/>
      <c r="BI591" s="0" t="n"/>
      <c r="BJ591" s="0" t="n"/>
      <c r="BK591" s="0" t="n"/>
      <c r="BL591" s="0" t="n"/>
      <c r="BM591" s="0" t="n"/>
      <c r="BN591" s="0" t="n"/>
      <c r="BO591" s="0" t="n"/>
      <c r="BP591" s="0" t="n"/>
    </row>
    <row customFormat="true" hidden="false" ht="15" outlineLevel="0" r="592" s="1">
      <c r="A592" s="116" t="n">
        <f aca="false" ca="false" dt2D="false" dtr="false" t="normal">+A591+1</f>
        <v>570</v>
      </c>
      <c r="B592" s="117" t="n">
        <f aca="false" ca="false" dt2D="false" dtr="false" t="normal">+B591+1</f>
        <v>111</v>
      </c>
      <c r="C592" s="104" t="s">
        <v>111</v>
      </c>
      <c r="D592" s="117" t="s">
        <v>129</v>
      </c>
      <c r="E592" s="113" t="n">
        <f aca="false" ca="true" dt2D="false" dtr="false" t="normal">SUBTOTAL(9, F592:T592)</f>
        <v>6158755.22</v>
      </c>
      <c r="F592" s="106" t="n"/>
      <c r="G592" s="114" t="n">
        <v>1927090.91</v>
      </c>
      <c r="H592" s="114" t="n">
        <v>2211498.48</v>
      </c>
      <c r="I592" s="114" t="n">
        <v>2020165.83</v>
      </c>
      <c r="J592" s="114" t="n"/>
      <c r="K592" s="114" t="n"/>
      <c r="L592" s="106" t="n"/>
      <c r="M592" s="114" t="n">
        <v>0</v>
      </c>
      <c r="N592" s="114" t="n"/>
      <c r="O592" s="114" t="n">
        <v>0</v>
      </c>
      <c r="P592" s="114" t="n">
        <v>0</v>
      </c>
      <c r="Q592" s="114" t="n">
        <v>0</v>
      </c>
      <c r="R592" s="114" t="n"/>
      <c r="S592" s="114" t="n"/>
      <c r="T592" s="303" t="n"/>
      <c r="U592" s="0" t="n"/>
      <c r="V592" s="0" t="n"/>
      <c r="W592" s="0" t="n"/>
      <c r="X592" s="0" t="n"/>
      <c r="Y592" s="0" t="n"/>
      <c r="Z592" s="0" t="n"/>
      <c r="AA592" s="0" t="n"/>
      <c r="AB592" s="0" t="n"/>
      <c r="AC592" s="0" t="n"/>
      <c r="AD592" s="0" t="n"/>
      <c r="AE592" s="0" t="n"/>
      <c r="AF592" s="0" t="n"/>
      <c r="AG592" s="0" t="n"/>
      <c r="AH592" s="0" t="n"/>
      <c r="AI592" s="0" t="n"/>
      <c r="AJ592" s="0" t="n"/>
      <c r="AK592" s="0" t="n"/>
      <c r="AL592" s="0" t="n"/>
      <c r="AM592" s="0" t="n"/>
      <c r="AN592" s="0" t="n"/>
      <c r="AO592" s="0" t="n"/>
      <c r="AP592" s="0" t="n"/>
      <c r="AQ592" s="0" t="n"/>
      <c r="AR592" s="0" t="n"/>
      <c r="AS592" s="0" t="n"/>
      <c r="AT592" s="0" t="n"/>
      <c r="AU592" s="0" t="n"/>
      <c r="AV592" s="0" t="n"/>
      <c r="AW592" s="0" t="n"/>
      <c r="AX592" s="0" t="n"/>
      <c r="AY592" s="0" t="n"/>
      <c r="AZ592" s="0" t="n"/>
      <c r="BA592" s="0" t="n"/>
      <c r="BB592" s="0" t="n"/>
      <c r="BC592" s="0" t="n"/>
      <c r="BD592" s="0" t="n"/>
      <c r="BE592" s="0" t="n"/>
      <c r="BF592" s="0" t="n"/>
      <c r="BG592" s="0" t="n"/>
      <c r="BH592" s="0" t="n"/>
      <c r="BI592" s="0" t="n"/>
      <c r="BJ592" s="0" t="n"/>
      <c r="BK592" s="0" t="n"/>
      <c r="BL592" s="0" t="n"/>
      <c r="BM592" s="0" t="n"/>
      <c r="BN592" s="0" t="n"/>
      <c r="BO592" s="0" t="n"/>
      <c r="BP592" s="0" t="n"/>
    </row>
    <row customFormat="true" hidden="false" ht="15" outlineLevel="0" r="593" s="1">
      <c r="A593" s="116" t="n">
        <f aca="false" ca="false" dt2D="false" dtr="false" t="normal">+A592+1</f>
        <v>571</v>
      </c>
      <c r="B593" s="117" t="n">
        <f aca="false" ca="false" dt2D="false" dtr="false" t="normal">+B592+1</f>
        <v>112</v>
      </c>
      <c r="C593" s="104" t="s">
        <v>111</v>
      </c>
      <c r="D593" s="117" t="s">
        <v>130</v>
      </c>
      <c r="E593" s="113" t="n">
        <f aca="false" ca="true" dt2D="false" dtr="false" t="normal">SUBTOTAL(9, F593:T593)</f>
        <v>631577.05</v>
      </c>
      <c r="F593" s="106" t="n"/>
      <c r="G593" s="114" t="n"/>
      <c r="H593" s="114" t="n"/>
      <c r="I593" s="114" t="n"/>
      <c r="J593" s="114" t="n">
        <v>631577.05</v>
      </c>
      <c r="K593" s="114" t="n"/>
      <c r="L593" s="106" t="n"/>
      <c r="M593" s="114" t="n"/>
      <c r="N593" s="114" t="n"/>
      <c r="O593" s="114" t="n">
        <v>0</v>
      </c>
      <c r="P593" s="114" t="n">
        <v>0</v>
      </c>
      <c r="Q593" s="114" t="n">
        <v>0</v>
      </c>
      <c r="R593" s="114" t="n"/>
      <c r="S593" s="114" t="n"/>
      <c r="T593" s="303" t="n"/>
    </row>
    <row customFormat="true" hidden="false" ht="15" outlineLevel="0" r="594" s="1">
      <c r="A594" s="116" t="n">
        <f aca="false" ca="false" dt2D="false" dtr="false" t="normal">+A593+1</f>
        <v>572</v>
      </c>
      <c r="B594" s="117" t="n">
        <f aca="false" ca="false" dt2D="false" dtr="false" t="normal">+B593+1</f>
        <v>113</v>
      </c>
      <c r="C594" s="104" t="s">
        <v>111</v>
      </c>
      <c r="D594" s="117" t="s">
        <v>132</v>
      </c>
      <c r="E594" s="113" t="n">
        <f aca="false" ca="true" dt2D="false" dtr="false" t="normal">SUBTOTAL(9, F594:T594)</f>
        <v>20945207.96</v>
      </c>
      <c r="F594" s="106" t="n">
        <v>6402530.38</v>
      </c>
      <c r="G594" s="114" t="n"/>
      <c r="H594" s="114" t="n">
        <v>1227624.86</v>
      </c>
      <c r="I594" s="114" t="n"/>
      <c r="J594" s="114" t="n">
        <v>0</v>
      </c>
      <c r="K594" s="114" t="n"/>
      <c r="L594" s="106" t="n"/>
      <c r="M594" s="114" t="n">
        <v>0</v>
      </c>
      <c r="N594" s="114" t="n">
        <v>13315052.72</v>
      </c>
      <c r="O594" s="114" t="n">
        <v>0</v>
      </c>
      <c r="P594" s="114" t="n"/>
      <c r="Q594" s="114" t="n">
        <v>0</v>
      </c>
      <c r="R594" s="114" t="n"/>
      <c r="S594" s="114" t="n"/>
      <c r="T594" s="303" t="n"/>
    </row>
    <row customFormat="true" hidden="false" ht="15" outlineLevel="0" r="595" s="1">
      <c r="A595" s="116" t="n">
        <f aca="false" ca="false" dt2D="false" dtr="false" t="normal">+A594+1</f>
        <v>573</v>
      </c>
      <c r="B595" s="117" t="n">
        <f aca="false" ca="false" dt2D="false" dtr="false" t="normal">+B594+1</f>
        <v>114</v>
      </c>
      <c r="C595" s="104" t="s">
        <v>111</v>
      </c>
      <c r="D595" s="117" t="s">
        <v>133</v>
      </c>
      <c r="E595" s="113" t="n">
        <f aca="false" ca="true" dt2D="false" dtr="false" t="normal">SUBTOTAL(9, F595:T595)</f>
        <v>1815463.98</v>
      </c>
      <c r="F595" s="106" t="n"/>
      <c r="G595" s="114" t="n">
        <v>0</v>
      </c>
      <c r="H595" s="114" t="n">
        <v>1815463.98</v>
      </c>
      <c r="I595" s="114" t="n"/>
      <c r="J595" s="114" t="n">
        <v>0</v>
      </c>
      <c r="K595" s="114" t="n"/>
      <c r="L595" s="106" t="n"/>
      <c r="M595" s="114" t="n">
        <v>0</v>
      </c>
      <c r="N595" s="114" t="n"/>
      <c r="O595" s="114" t="n">
        <v>0</v>
      </c>
      <c r="P595" s="114" t="n"/>
      <c r="Q595" s="114" t="n">
        <v>0</v>
      </c>
      <c r="R595" s="114" t="n"/>
      <c r="S595" s="114" t="n"/>
      <c r="T595" s="303" t="n"/>
      <c r="U595" s="0" t="n"/>
      <c r="V595" s="0" t="n"/>
      <c r="W595" s="0" t="n"/>
      <c r="X595" s="0" t="n"/>
      <c r="Y595" s="0" t="n"/>
      <c r="Z595" s="0" t="n"/>
      <c r="AA595" s="0" t="n"/>
      <c r="AB595" s="0" t="n"/>
      <c r="AC595" s="0" t="n"/>
      <c r="AD595" s="0" t="n"/>
      <c r="AE595" s="0" t="n"/>
      <c r="AF595" s="0" t="n"/>
      <c r="AG595" s="0" t="n"/>
      <c r="AH595" s="0" t="n"/>
      <c r="AI595" s="0" t="n"/>
      <c r="AJ595" s="0" t="n"/>
      <c r="AK595" s="0" t="n"/>
      <c r="AL595" s="0" t="n"/>
      <c r="AM595" s="0" t="n"/>
      <c r="AN595" s="0" t="n"/>
      <c r="AO595" s="0" t="n"/>
      <c r="AP595" s="0" t="n"/>
      <c r="AQ595" s="0" t="n"/>
      <c r="AR595" s="0" t="n"/>
      <c r="AS595" s="0" t="n"/>
      <c r="AT595" s="0" t="n"/>
      <c r="AU595" s="0" t="n"/>
      <c r="AV595" s="0" t="n"/>
      <c r="AW595" s="0" t="n"/>
      <c r="AX595" s="0" t="n"/>
      <c r="AY595" s="0" t="n"/>
      <c r="AZ595" s="0" t="n"/>
      <c r="BA595" s="0" t="n"/>
      <c r="BB595" s="0" t="n"/>
      <c r="BC595" s="0" t="n"/>
      <c r="BD595" s="0" t="n"/>
      <c r="BE595" s="0" t="n"/>
      <c r="BF595" s="0" t="n"/>
      <c r="BG595" s="0" t="n"/>
      <c r="BH595" s="0" t="n"/>
      <c r="BI595" s="0" t="n"/>
      <c r="BJ595" s="0" t="n"/>
      <c r="BK595" s="0" t="n"/>
      <c r="BL595" s="0" t="n"/>
      <c r="BM595" s="0" t="n"/>
      <c r="BN595" s="0" t="n"/>
      <c r="BO595" s="0" t="n"/>
      <c r="BP595" s="0" t="n"/>
    </row>
    <row customFormat="true" hidden="false" ht="15" outlineLevel="0" r="596" s="1">
      <c r="A596" s="116" t="n">
        <f aca="false" ca="false" dt2D="false" dtr="false" t="normal">+A595+1</f>
        <v>574</v>
      </c>
      <c r="B596" s="117" t="n">
        <f aca="false" ca="false" dt2D="false" dtr="false" t="normal">+B595+1</f>
        <v>115</v>
      </c>
      <c r="C596" s="104" t="s">
        <v>111</v>
      </c>
      <c r="D596" s="117" t="s">
        <v>134</v>
      </c>
      <c r="E596" s="113" t="n">
        <f aca="false" ca="true" dt2D="false" dtr="false" t="normal">SUBTOTAL(9, F596:T596)</f>
        <v>6801254.460000001</v>
      </c>
      <c r="F596" s="106" t="n">
        <v>4667209.49</v>
      </c>
      <c r="G596" s="114" t="n">
        <v>0</v>
      </c>
      <c r="H596" s="114" t="n">
        <v>2134044.97</v>
      </c>
      <c r="I596" s="114" t="n"/>
      <c r="J596" s="114" t="n"/>
      <c r="K596" s="114" t="n"/>
      <c r="L596" s="106" t="n"/>
      <c r="M596" s="114" t="n">
        <v>0</v>
      </c>
      <c r="N596" s="114" t="n"/>
      <c r="O596" s="114" t="n">
        <v>0</v>
      </c>
      <c r="P596" s="114" t="n"/>
      <c r="Q596" s="114" t="n">
        <v>0</v>
      </c>
      <c r="R596" s="304" t="n"/>
      <c r="S596" s="304" t="n"/>
      <c r="T596" s="303" t="n"/>
      <c r="U596" s="0" t="n"/>
      <c r="V596" s="0" t="n"/>
      <c r="W596" s="0" t="n"/>
      <c r="X596" s="0" t="n"/>
      <c r="Y596" s="0" t="n"/>
      <c r="Z596" s="0" t="n"/>
      <c r="AA596" s="0" t="n"/>
      <c r="AB596" s="0" t="n"/>
      <c r="AC596" s="0" t="n"/>
      <c r="AD596" s="0" t="n"/>
      <c r="AE596" s="0" t="n"/>
      <c r="AF596" s="0" t="n"/>
      <c r="AG596" s="0" t="n"/>
      <c r="AH596" s="0" t="n"/>
      <c r="AI596" s="0" t="n"/>
      <c r="AJ596" s="0" t="n"/>
      <c r="AK596" s="0" t="n"/>
      <c r="AL596" s="0" t="n"/>
      <c r="AM596" s="0" t="n"/>
      <c r="AN596" s="0" t="n"/>
      <c r="AO596" s="0" t="n"/>
      <c r="AP596" s="0" t="n"/>
      <c r="AQ596" s="0" t="n"/>
      <c r="AR596" s="0" t="n"/>
      <c r="AS596" s="0" t="n"/>
      <c r="AT596" s="0" t="n"/>
      <c r="AU596" s="0" t="n"/>
      <c r="AV596" s="0" t="n"/>
      <c r="AW596" s="0" t="n"/>
      <c r="AX596" s="0" t="n"/>
      <c r="AY596" s="0" t="n"/>
      <c r="AZ596" s="0" t="n"/>
      <c r="BA596" s="0" t="n"/>
      <c r="BB596" s="0" t="n"/>
      <c r="BC596" s="0" t="n"/>
      <c r="BD596" s="0" t="n"/>
      <c r="BE596" s="0" t="n"/>
      <c r="BF596" s="0" t="n"/>
      <c r="BG596" s="0" t="n"/>
      <c r="BH596" s="0" t="n"/>
      <c r="BI596" s="0" t="n"/>
      <c r="BJ596" s="0" t="n"/>
      <c r="BK596" s="0" t="n"/>
      <c r="BL596" s="0" t="n"/>
      <c r="BM596" s="0" t="n"/>
      <c r="BN596" s="0" t="n"/>
      <c r="BO596" s="0" t="n"/>
      <c r="BP596" s="0" t="n"/>
    </row>
    <row customFormat="true" hidden="false" ht="15" outlineLevel="0" r="597" s="1">
      <c r="A597" s="116" t="n">
        <f aca="false" ca="false" dt2D="false" dtr="false" t="normal">+A596+1</f>
        <v>575</v>
      </c>
      <c r="B597" s="117" t="n">
        <f aca="false" ca="false" dt2D="false" dtr="false" t="normal">+B596+1</f>
        <v>116</v>
      </c>
      <c r="C597" s="104" t="s">
        <v>111</v>
      </c>
      <c r="D597" s="117" t="s">
        <v>338</v>
      </c>
      <c r="E597" s="113" t="n">
        <f aca="false" ca="true" dt2D="false" dtr="false" t="normal">SUBTOTAL(9, F597:T597)</f>
        <v>4691533.07</v>
      </c>
      <c r="F597" s="106" t="n">
        <v>0</v>
      </c>
      <c r="G597" s="114" t="n">
        <v>0</v>
      </c>
      <c r="H597" s="114" t="n">
        <v>0</v>
      </c>
      <c r="I597" s="114" t="n">
        <v>1287686.28</v>
      </c>
      <c r="J597" s="114" t="n">
        <v>0</v>
      </c>
      <c r="K597" s="114" t="n"/>
      <c r="L597" s="106" t="n">
        <v>0</v>
      </c>
      <c r="M597" s="114" t="n"/>
      <c r="N597" s="114" t="n"/>
      <c r="O597" s="114" t="n">
        <v>0</v>
      </c>
      <c r="P597" s="114" t="n"/>
      <c r="Q597" s="114" t="n">
        <v>3403846.79</v>
      </c>
      <c r="R597" s="304" t="n"/>
      <c r="S597" s="304" t="n"/>
      <c r="T597" s="303" t="n"/>
      <c r="U597" s="0" t="n"/>
      <c r="V597" s="0" t="n"/>
      <c r="W597" s="0" t="n"/>
      <c r="X597" s="0" t="n"/>
      <c r="Y597" s="0" t="n"/>
      <c r="Z597" s="0" t="n"/>
      <c r="AA597" s="0" t="n"/>
      <c r="AB597" s="0" t="n"/>
      <c r="AC597" s="0" t="n"/>
      <c r="AD597" s="0" t="n"/>
      <c r="AE597" s="0" t="n"/>
      <c r="AF597" s="0" t="n"/>
      <c r="AG597" s="0" t="n"/>
      <c r="AH597" s="0" t="n"/>
      <c r="AI597" s="0" t="n"/>
      <c r="AJ597" s="0" t="n"/>
      <c r="AK597" s="0" t="n"/>
      <c r="AL597" s="0" t="n"/>
      <c r="AM597" s="0" t="n"/>
      <c r="AN597" s="0" t="n"/>
      <c r="AO597" s="0" t="n"/>
      <c r="AP597" s="0" t="n"/>
      <c r="AQ597" s="0" t="n"/>
      <c r="AR597" s="0" t="n"/>
      <c r="AS597" s="0" t="n"/>
      <c r="AT597" s="0" t="n"/>
      <c r="AU597" s="0" t="n"/>
      <c r="AV597" s="0" t="n"/>
      <c r="AW597" s="0" t="n"/>
      <c r="AX597" s="0" t="n"/>
      <c r="AY597" s="0" t="n"/>
      <c r="AZ597" s="0" t="n"/>
      <c r="BA597" s="0" t="n"/>
      <c r="BB597" s="0" t="n"/>
      <c r="BC597" s="0" t="n"/>
      <c r="BD597" s="0" t="n"/>
      <c r="BE597" s="0" t="n"/>
      <c r="BF597" s="0" t="n"/>
      <c r="BG597" s="0" t="n"/>
      <c r="BH597" s="0" t="n"/>
      <c r="BI597" s="0" t="n"/>
      <c r="BJ597" s="0" t="n"/>
      <c r="BK597" s="0" t="n"/>
      <c r="BL597" s="0" t="n"/>
      <c r="BM597" s="0" t="n"/>
      <c r="BN597" s="0" t="n"/>
      <c r="BO597" s="0" t="n"/>
      <c r="BP597" s="0" t="n"/>
    </row>
    <row customFormat="true" hidden="false" ht="15" outlineLevel="0" r="598" s="1">
      <c r="A598" s="116" t="n">
        <f aca="false" ca="false" dt2D="false" dtr="false" t="normal">+A597+1</f>
        <v>576</v>
      </c>
      <c r="B598" s="117" t="s">
        <v>463</v>
      </c>
      <c r="C598" s="104" t="s">
        <v>793</v>
      </c>
      <c r="D598" s="104" t="s">
        <v>480</v>
      </c>
      <c r="E598" s="186" t="n">
        <f aca="false" ca="true" dt2D="false" dtr="false" t="normal">SUBTOTAL(9, F598:T598)</f>
        <v>1070216.81</v>
      </c>
      <c r="F598" s="106" t="n">
        <v>0</v>
      </c>
      <c r="G598" s="114" t="n">
        <v>0</v>
      </c>
      <c r="H598" s="114" t="n">
        <v>0</v>
      </c>
      <c r="I598" s="114" t="n">
        <v>0</v>
      </c>
      <c r="J598" s="114" t="n">
        <v>0</v>
      </c>
      <c r="K598" s="114" t="n"/>
      <c r="L598" s="106" t="n"/>
      <c r="M598" s="114" t="n">
        <v>0</v>
      </c>
      <c r="N598" s="114" t="n">
        <v>0</v>
      </c>
      <c r="O598" s="114" t="n">
        <v>0</v>
      </c>
      <c r="P598" s="114" t="n">
        <v>1070216.81</v>
      </c>
      <c r="Q598" s="114" t="n">
        <v>0</v>
      </c>
      <c r="R598" s="114" t="n"/>
      <c r="S598" s="114" t="n"/>
      <c r="T598" s="115" t="n"/>
    </row>
    <row customFormat="true" hidden="false" ht="15" outlineLevel="0" r="599" s="1">
      <c r="A599" s="116" t="n">
        <f aca="false" ca="false" dt2D="false" dtr="false" t="normal">+A598+1</f>
        <v>577</v>
      </c>
      <c r="B599" s="117" t="n">
        <f aca="false" ca="false" dt2D="false" dtr="false" t="normal">+B597+1</f>
        <v>117</v>
      </c>
      <c r="C599" s="104" t="s">
        <v>111</v>
      </c>
      <c r="D599" s="117" t="s">
        <v>137</v>
      </c>
      <c r="E599" s="113" t="n">
        <f aca="false" ca="true" dt2D="false" dtr="false" t="normal">SUBTOTAL(9, F599:T599)</f>
        <v>29341925.77</v>
      </c>
      <c r="F599" s="106" t="n">
        <v>6860405.91</v>
      </c>
      <c r="G599" s="114" t="n">
        <v>0</v>
      </c>
      <c r="H599" s="114" t="n">
        <v>0</v>
      </c>
      <c r="I599" s="114" t="n">
        <v>0</v>
      </c>
      <c r="J599" s="114" t="n"/>
      <c r="K599" s="114" t="n"/>
      <c r="L599" s="106" t="n"/>
      <c r="M599" s="114" t="n">
        <v>0</v>
      </c>
      <c r="N599" s="114" t="n">
        <v>14196898.85</v>
      </c>
      <c r="O599" s="114" t="n">
        <v>0</v>
      </c>
      <c r="P599" s="114" t="n">
        <v>0</v>
      </c>
      <c r="Q599" s="114" t="n">
        <v>8239949.09</v>
      </c>
      <c r="R599" s="114" t="n"/>
      <c r="S599" s="114" t="n"/>
      <c r="T599" s="115" t="n">
        <v>44671.92</v>
      </c>
    </row>
    <row customFormat="true" hidden="false" ht="15" outlineLevel="0" r="600" s="1">
      <c r="A600" s="116" t="n">
        <f aca="false" ca="false" dt2D="false" dtr="false" t="normal">+A599+1</f>
        <v>578</v>
      </c>
      <c r="B600" s="117" t="n">
        <f aca="false" ca="false" dt2D="false" dtr="false" t="normal">+B599+1</f>
        <v>118</v>
      </c>
      <c r="C600" s="104" t="s">
        <v>111</v>
      </c>
      <c r="D600" s="117" t="s">
        <v>346</v>
      </c>
      <c r="E600" s="113" t="n">
        <f aca="false" ca="true" dt2D="false" dtr="false" t="normal">SUBTOTAL(9, F600:T600)</f>
        <v>4406173.38</v>
      </c>
      <c r="F600" s="106" t="n"/>
      <c r="G600" s="114" t="n"/>
      <c r="H600" s="114" t="n"/>
      <c r="I600" s="114" t="n">
        <v>2954683.2</v>
      </c>
      <c r="J600" s="114" t="n">
        <v>1451490.18</v>
      </c>
      <c r="K600" s="114" t="n"/>
      <c r="L600" s="106" t="n"/>
      <c r="M600" s="114" t="n">
        <v>0</v>
      </c>
      <c r="N600" s="114" t="n"/>
      <c r="O600" s="114" t="n">
        <v>0</v>
      </c>
      <c r="P600" s="114" t="n">
        <v>0</v>
      </c>
      <c r="Q600" s="114" t="n">
        <v>0</v>
      </c>
      <c r="R600" s="304" t="n"/>
      <c r="S600" s="304" t="n"/>
      <c r="T600" s="303" t="n"/>
    </row>
    <row customFormat="true" hidden="false" ht="15" outlineLevel="0" r="601" s="1">
      <c r="A601" s="116" t="n">
        <f aca="false" ca="false" dt2D="false" dtr="false" t="normal">+A600+1</f>
        <v>579</v>
      </c>
      <c r="B601" s="117" t="n">
        <f aca="false" ca="false" dt2D="false" dtr="false" t="normal">+B600+1</f>
        <v>119</v>
      </c>
      <c r="C601" s="104" t="s">
        <v>111</v>
      </c>
      <c r="D601" s="117" t="s">
        <v>348</v>
      </c>
      <c r="E601" s="113" t="n">
        <f aca="false" ca="true" dt2D="false" dtr="false" t="normal">SUBTOTAL(9, F601:T601)</f>
        <v>1683109.2</v>
      </c>
      <c r="F601" s="106" t="n"/>
      <c r="G601" s="114" t="n"/>
      <c r="H601" s="114" t="n"/>
      <c r="I601" s="114" t="n"/>
      <c r="J601" s="114" t="n">
        <v>1683109.2</v>
      </c>
      <c r="K601" s="114" t="n"/>
      <c r="L601" s="106" t="n"/>
      <c r="M601" s="114" t="n">
        <v>0</v>
      </c>
      <c r="N601" s="114" t="n">
        <v>0</v>
      </c>
      <c r="O601" s="114" t="n">
        <v>0</v>
      </c>
      <c r="P601" s="114" t="n">
        <v>0</v>
      </c>
      <c r="Q601" s="114" t="n">
        <v>0</v>
      </c>
      <c r="R601" s="304" t="n"/>
      <c r="S601" s="304" t="n"/>
      <c r="T601" s="303" t="n"/>
    </row>
    <row customFormat="true" hidden="false" ht="15" outlineLevel="0" r="602" s="1">
      <c r="A602" s="116" t="n">
        <f aca="false" ca="false" dt2D="false" dtr="false" t="normal">+A601+1</f>
        <v>580</v>
      </c>
      <c r="B602" s="117" t="n">
        <f aca="false" ca="false" dt2D="false" dtr="false" t="normal">+B601+1</f>
        <v>120</v>
      </c>
      <c r="C602" s="104" t="s">
        <v>111</v>
      </c>
      <c r="D602" s="117" t="s">
        <v>602</v>
      </c>
      <c r="E602" s="113" t="n">
        <f aca="false" ca="true" dt2D="false" dtr="false" t="normal">SUBTOTAL(9, F602:T602)</f>
        <v>31642003.71</v>
      </c>
      <c r="F602" s="106" t="n"/>
      <c r="G602" s="114" t="n">
        <v>2569498.17</v>
      </c>
      <c r="H602" s="114" t="n">
        <v>1525309.8</v>
      </c>
      <c r="I602" s="114" t="n">
        <v>1702285.75</v>
      </c>
      <c r="J602" s="114" t="n">
        <v>1315142.4</v>
      </c>
      <c r="K602" s="114" t="n"/>
      <c r="L602" s="106" t="n"/>
      <c r="M602" s="114" t="n"/>
      <c r="N602" s="114" t="n"/>
      <c r="O602" s="114" t="n"/>
      <c r="P602" s="114" t="n">
        <v>16575676.34</v>
      </c>
      <c r="Q602" s="114" t="n">
        <v>7954091.25</v>
      </c>
      <c r="R602" s="304" t="n"/>
      <c r="S602" s="304" t="n"/>
      <c r="T602" s="303" t="n"/>
    </row>
    <row customFormat="true" hidden="false" ht="15" outlineLevel="0" r="603" s="1">
      <c r="A603" s="116" t="n">
        <f aca="false" ca="false" dt2D="false" dtr="false" t="normal">+A602+1</f>
        <v>581</v>
      </c>
      <c r="B603" s="117" t="n">
        <f aca="false" ca="false" dt2D="false" dtr="false" t="normal">+B602+1</f>
        <v>121</v>
      </c>
      <c r="C603" s="104" t="s">
        <v>111</v>
      </c>
      <c r="D603" s="117" t="s">
        <v>603</v>
      </c>
      <c r="E603" s="113" t="n">
        <f aca="false" ca="true" dt2D="false" dtr="false" t="normal">SUBTOTAL(9, F603:T603)</f>
        <v>2414991.26</v>
      </c>
      <c r="F603" s="106" t="n">
        <v>0</v>
      </c>
      <c r="G603" s="114" t="n">
        <v>0</v>
      </c>
      <c r="H603" s="114" t="n">
        <v>0</v>
      </c>
      <c r="I603" s="114" t="n">
        <v>0</v>
      </c>
      <c r="J603" s="114" t="n">
        <v>2414991.26</v>
      </c>
      <c r="K603" s="114" t="n"/>
      <c r="L603" s="106" t="n"/>
      <c r="M603" s="114" t="n">
        <v>0</v>
      </c>
      <c r="N603" s="114" t="n">
        <v>0</v>
      </c>
      <c r="O603" s="114" t="n">
        <v>0</v>
      </c>
      <c r="P603" s="114" t="n">
        <v>0</v>
      </c>
      <c r="Q603" s="114" t="n">
        <v>0</v>
      </c>
      <c r="R603" s="114" t="n"/>
      <c r="S603" s="114" t="n"/>
      <c r="T603" s="303" t="n"/>
    </row>
    <row customFormat="true" hidden="false" ht="15" outlineLevel="0" r="604" s="1">
      <c r="A604" s="116" t="n">
        <f aca="false" ca="false" dt2D="false" dtr="false" t="normal">+A603+1</f>
        <v>582</v>
      </c>
      <c r="B604" s="117" t="n">
        <f aca="false" ca="false" dt2D="false" dtr="false" t="normal">+B603+1</f>
        <v>122</v>
      </c>
      <c r="C604" s="104" t="s">
        <v>111</v>
      </c>
      <c r="D604" s="117" t="s">
        <v>339</v>
      </c>
      <c r="E604" s="113" t="n">
        <f aca="false" ca="true" dt2D="false" dtr="false" t="normal">SUBTOTAL(9, F604:T604)</f>
        <v>8433375.37</v>
      </c>
      <c r="F604" s="106" t="n">
        <v>0</v>
      </c>
      <c r="G604" s="114" t="n">
        <v>0</v>
      </c>
      <c r="H604" s="114" t="n">
        <v>0</v>
      </c>
      <c r="I604" s="114" t="n">
        <v>0</v>
      </c>
      <c r="J604" s="114" t="n"/>
      <c r="K604" s="114" t="n"/>
      <c r="L604" s="106" t="n"/>
      <c r="M604" s="114" t="n"/>
      <c r="N604" s="114" t="n"/>
      <c r="O604" s="114" t="n"/>
      <c r="P604" s="114" t="n"/>
      <c r="Q604" s="114" t="n">
        <v>8433375.37</v>
      </c>
      <c r="R604" s="304" t="n"/>
      <c r="S604" s="304" t="n"/>
      <c r="T604" s="303" t="n"/>
    </row>
    <row customFormat="true" hidden="false" ht="15" outlineLevel="0" r="605" s="1">
      <c r="A605" s="116" t="n">
        <f aca="false" ca="false" dt2D="false" dtr="false" t="normal">+A604+1</f>
        <v>583</v>
      </c>
      <c r="B605" s="117" t="n">
        <f aca="false" ca="false" dt2D="false" dtr="false" t="normal">+B604+1</f>
        <v>123</v>
      </c>
      <c r="C605" s="104" t="s">
        <v>111</v>
      </c>
      <c r="D605" s="117" t="s">
        <v>604</v>
      </c>
      <c r="E605" s="113" t="n">
        <f aca="false" ca="true" dt2D="false" dtr="false" t="normal">SUBTOTAL(9, F605:T605)</f>
        <v>5179834.09</v>
      </c>
      <c r="F605" s="106" t="n"/>
      <c r="G605" s="114" t="n">
        <v>5131838.12</v>
      </c>
      <c r="H605" s="114" t="n"/>
      <c r="I605" s="114" t="n"/>
      <c r="J605" s="114" t="n"/>
      <c r="K605" s="114" t="n"/>
      <c r="L605" s="106" t="n"/>
      <c r="M605" s="114" t="n"/>
      <c r="N605" s="114" t="n"/>
      <c r="O605" s="114" t="n"/>
      <c r="P605" s="114" t="n"/>
      <c r="Q605" s="114" t="n"/>
      <c r="R605" s="304" t="n"/>
      <c r="S605" s="304" t="n"/>
      <c r="T605" s="115" t="n">
        <v>47995.97</v>
      </c>
      <c r="U605" s="0" t="n"/>
      <c r="V605" s="0" t="n"/>
      <c r="W605" s="0" t="n"/>
      <c r="X605" s="0" t="n"/>
      <c r="Y605" s="0" t="n"/>
      <c r="Z605" s="0" t="n"/>
      <c r="AA605" s="0" t="n"/>
      <c r="AB605" s="0" t="n"/>
      <c r="AC605" s="0" t="n"/>
      <c r="AD605" s="0" t="n"/>
      <c r="AE605" s="0" t="n"/>
      <c r="AF605" s="0" t="n"/>
      <c r="AG605" s="0" t="n"/>
      <c r="AH605" s="0" t="n"/>
      <c r="AI605" s="0" t="n"/>
      <c r="AJ605" s="0" t="n"/>
      <c r="AK605" s="0" t="n"/>
      <c r="AL605" s="0" t="n"/>
      <c r="AM605" s="0" t="n"/>
      <c r="AN605" s="0" t="n"/>
      <c r="AO605" s="0" t="n"/>
      <c r="AP605" s="0" t="n"/>
      <c r="AQ605" s="0" t="n"/>
      <c r="AR605" s="0" t="n"/>
      <c r="AS605" s="0" t="n"/>
      <c r="AT605" s="0" t="n"/>
      <c r="AU605" s="0" t="n"/>
      <c r="AV605" s="0" t="n"/>
      <c r="AW605" s="0" t="n"/>
      <c r="AX605" s="0" t="n"/>
      <c r="AY605" s="0" t="n"/>
      <c r="AZ605" s="0" t="n"/>
      <c r="BA605" s="0" t="n"/>
      <c r="BB605" s="0" t="n"/>
      <c r="BC605" s="0" t="n"/>
      <c r="BD605" s="0" t="n"/>
      <c r="BE605" s="0" t="n"/>
      <c r="BF605" s="0" t="n"/>
      <c r="BG605" s="0" t="n"/>
      <c r="BH605" s="0" t="n"/>
      <c r="BI605" s="0" t="n"/>
      <c r="BJ605" s="0" t="n"/>
      <c r="BK605" s="0" t="n"/>
      <c r="BL605" s="0" t="n"/>
      <c r="BM605" s="0" t="n"/>
      <c r="BN605" s="0" t="n"/>
      <c r="BO605" s="0" t="n"/>
      <c r="BP605" s="0" t="n"/>
    </row>
    <row customFormat="true" hidden="false" ht="15" outlineLevel="0" r="606" s="1">
      <c r="A606" s="116" t="n">
        <f aca="false" ca="false" dt2D="false" dtr="false" t="normal">+A605+1</f>
        <v>584</v>
      </c>
      <c r="B606" s="117" t="n">
        <f aca="false" ca="false" dt2D="false" dtr="false" t="normal">+B605+1</f>
        <v>124</v>
      </c>
      <c r="C606" s="104" t="s">
        <v>111</v>
      </c>
      <c r="D606" s="117" t="s">
        <v>605</v>
      </c>
      <c r="E606" s="113" t="n">
        <f aca="false" ca="true" dt2D="false" dtr="false" t="normal">SUBTOTAL(9, F606:T606)</f>
        <v>3601436.5900000003</v>
      </c>
      <c r="F606" s="106" t="n"/>
      <c r="G606" s="114" t="n">
        <v>3569615.45</v>
      </c>
      <c r="H606" s="114" t="n"/>
      <c r="I606" s="114" t="n"/>
      <c r="J606" s="114" t="n"/>
      <c r="K606" s="114" t="n"/>
      <c r="L606" s="106" t="n"/>
      <c r="M606" s="114" t="n"/>
      <c r="N606" s="114" t="n"/>
      <c r="O606" s="114" t="n"/>
      <c r="P606" s="114" t="n"/>
      <c r="Q606" s="114" t="n"/>
      <c r="R606" s="304" t="n"/>
      <c r="S606" s="304" t="n"/>
      <c r="T606" s="115" t="n">
        <v>31821.14</v>
      </c>
      <c r="U606" s="0" t="n"/>
      <c r="V606" s="0" t="n"/>
      <c r="W606" s="0" t="n"/>
      <c r="X606" s="0" t="n"/>
      <c r="Y606" s="0" t="n"/>
      <c r="Z606" s="0" t="n"/>
      <c r="AA606" s="0" t="n"/>
      <c r="AB606" s="0" t="n"/>
      <c r="AC606" s="0" t="n"/>
      <c r="AD606" s="0" t="n"/>
      <c r="AE606" s="0" t="n"/>
      <c r="AF606" s="0" t="n"/>
      <c r="AG606" s="0" t="n"/>
      <c r="AH606" s="0" t="n"/>
      <c r="AI606" s="0" t="n"/>
      <c r="AJ606" s="0" t="n"/>
      <c r="AK606" s="0" t="n"/>
      <c r="AL606" s="0" t="n"/>
      <c r="AM606" s="0" t="n"/>
      <c r="AN606" s="0" t="n"/>
      <c r="AO606" s="0" t="n"/>
      <c r="AP606" s="0" t="n"/>
      <c r="AQ606" s="0" t="n"/>
      <c r="AR606" s="0" t="n"/>
      <c r="AS606" s="0" t="n"/>
      <c r="AT606" s="0" t="n"/>
      <c r="AU606" s="0" t="n"/>
      <c r="AV606" s="0" t="n"/>
      <c r="AW606" s="0" t="n"/>
      <c r="AX606" s="0" t="n"/>
      <c r="AY606" s="0" t="n"/>
      <c r="AZ606" s="0" t="n"/>
      <c r="BA606" s="0" t="n"/>
      <c r="BB606" s="0" t="n"/>
      <c r="BC606" s="0" t="n"/>
      <c r="BD606" s="0" t="n"/>
      <c r="BE606" s="0" t="n"/>
      <c r="BF606" s="0" t="n"/>
      <c r="BG606" s="0" t="n"/>
      <c r="BH606" s="0" t="n"/>
      <c r="BI606" s="0" t="n"/>
      <c r="BJ606" s="0" t="n"/>
      <c r="BK606" s="0" t="n"/>
      <c r="BL606" s="0" t="n"/>
      <c r="BM606" s="0" t="n"/>
      <c r="BN606" s="0" t="n"/>
      <c r="BO606" s="0" t="n"/>
      <c r="BP606" s="0" t="n"/>
    </row>
    <row customFormat="true" hidden="false" ht="15" outlineLevel="0" r="607" s="1">
      <c r="A607" s="116" t="n">
        <f aca="false" ca="false" dt2D="false" dtr="false" t="normal">+A606+1</f>
        <v>585</v>
      </c>
      <c r="B607" s="117" t="n">
        <f aca="false" ca="false" dt2D="false" dtr="false" t="normal">+B606+1</f>
        <v>125</v>
      </c>
      <c r="C607" s="104" t="s">
        <v>111</v>
      </c>
      <c r="D607" s="117" t="s">
        <v>340</v>
      </c>
      <c r="E607" s="113" t="n">
        <f aca="false" ca="true" dt2D="false" dtr="false" t="normal">SUBTOTAL(9, F607:T607)</f>
        <v>20598753.58</v>
      </c>
      <c r="F607" s="106" t="n">
        <v>3048488.28</v>
      </c>
      <c r="G607" s="114" t="n">
        <v>2451339</v>
      </c>
      <c r="H607" s="114" t="n"/>
      <c r="I607" s="114" t="n">
        <v>1193990.27</v>
      </c>
      <c r="J607" s="114" t="n">
        <v>498007.81</v>
      </c>
      <c r="K607" s="114" t="n"/>
      <c r="L607" s="106" t="n"/>
      <c r="M607" s="114" t="n">
        <v>0</v>
      </c>
      <c r="N607" s="114" t="n"/>
      <c r="O607" s="114" t="n">
        <v>0</v>
      </c>
      <c r="P607" s="114" t="n">
        <v>9428594.13</v>
      </c>
      <c r="Q607" s="114" t="n">
        <v>3978334.09</v>
      </c>
      <c r="R607" s="304" t="n"/>
      <c r="S607" s="304" t="n"/>
      <c r="T607" s="303" t="n"/>
    </row>
    <row customFormat="true" hidden="false" ht="15" outlineLevel="0" r="608" s="1">
      <c r="A608" s="116" t="n">
        <f aca="false" ca="false" dt2D="false" dtr="false" t="normal">+A607+1</f>
        <v>586</v>
      </c>
      <c r="B608" s="117" t="n">
        <f aca="false" ca="false" dt2D="false" dtr="false" t="normal">+B607+1</f>
        <v>126</v>
      </c>
      <c r="C608" s="104" t="s">
        <v>111</v>
      </c>
      <c r="D608" s="117" t="s">
        <v>606</v>
      </c>
      <c r="E608" s="113" t="n">
        <f aca="false" ca="true" dt2D="false" dtr="false" t="normal">SUBTOTAL(9, F608:T608)</f>
        <v>10126345.49</v>
      </c>
      <c r="F608" s="106" t="n">
        <v>10082885.33</v>
      </c>
      <c r="G608" s="114" t="n">
        <v>0</v>
      </c>
      <c r="H608" s="114" t="n">
        <v>0</v>
      </c>
      <c r="I608" s="114" t="n">
        <v>0</v>
      </c>
      <c r="J608" s="114" t="n">
        <v>0</v>
      </c>
      <c r="K608" s="114" t="n"/>
      <c r="L608" s="106" t="n"/>
      <c r="M608" s="114" t="n">
        <v>0</v>
      </c>
      <c r="N608" s="114" t="n"/>
      <c r="O608" s="114" t="n">
        <v>0</v>
      </c>
      <c r="P608" s="114" t="n"/>
      <c r="Q608" s="114" t="n">
        <v>0</v>
      </c>
      <c r="R608" s="114" t="n"/>
      <c r="S608" s="114" t="n"/>
      <c r="T608" s="115" t="n">
        <v>43460.16</v>
      </c>
    </row>
    <row customFormat="true" hidden="false" ht="15" outlineLevel="0" r="609" s="1">
      <c r="A609" s="116" t="n">
        <f aca="false" ca="false" dt2D="false" dtr="false" t="normal">+A608+1</f>
        <v>587</v>
      </c>
      <c r="B609" s="117" t="n">
        <f aca="false" ca="false" dt2D="false" dtr="false" t="normal">+B608+1</f>
        <v>127</v>
      </c>
      <c r="C609" s="104" t="s">
        <v>111</v>
      </c>
      <c r="D609" s="117" t="s">
        <v>607</v>
      </c>
      <c r="E609" s="113" t="n">
        <f aca="false" ca="true" dt2D="false" dtr="false" t="normal">SUBTOTAL(9, F609:T609)</f>
        <v>1488237.82</v>
      </c>
      <c r="F609" s="106" t="n">
        <v>0</v>
      </c>
      <c r="G609" s="114" t="n">
        <v>0</v>
      </c>
      <c r="H609" s="114" t="n">
        <v>0</v>
      </c>
      <c r="I609" s="114" t="n">
        <v>0</v>
      </c>
      <c r="J609" s="114" t="n">
        <v>1488237.82</v>
      </c>
      <c r="K609" s="114" t="n"/>
      <c r="L609" s="106" t="n"/>
      <c r="M609" s="114" t="n">
        <v>0</v>
      </c>
      <c r="N609" s="114" t="n">
        <v>0</v>
      </c>
      <c r="O609" s="114" t="n">
        <v>0</v>
      </c>
      <c r="P609" s="114" t="n">
        <v>0</v>
      </c>
      <c r="Q609" s="114" t="n">
        <v>0</v>
      </c>
      <c r="R609" s="114" t="n"/>
      <c r="S609" s="114" t="n"/>
      <c r="T609" s="303" t="n"/>
    </row>
    <row customFormat="true" hidden="false" ht="15" outlineLevel="0" r="610" s="1">
      <c r="A610" s="116" t="n">
        <f aca="false" ca="false" dt2D="false" dtr="false" t="normal">+A609+1</f>
        <v>588</v>
      </c>
      <c r="B610" s="117" t="n">
        <f aca="false" ca="false" dt2D="false" dtr="false" t="normal">+B609+1</f>
        <v>128</v>
      </c>
      <c r="C610" s="104" t="s">
        <v>111</v>
      </c>
      <c r="D610" s="117" t="s">
        <v>608</v>
      </c>
      <c r="E610" s="113" t="n">
        <f aca="false" ca="true" dt2D="false" dtr="false" t="normal">SUBTOTAL(9, F610:T610)</f>
        <v>5715410.859999999</v>
      </c>
      <c r="F610" s="106" t="n">
        <v>3811453.28</v>
      </c>
      <c r="G610" s="114" t="n">
        <v>1833049.74</v>
      </c>
      <c r="H610" s="114" t="n">
        <v>0</v>
      </c>
      <c r="I610" s="114" t="n">
        <v>0</v>
      </c>
      <c r="J610" s="114" t="n"/>
      <c r="K610" s="114" t="n"/>
      <c r="L610" s="106" t="n"/>
      <c r="M610" s="114" t="n">
        <v>0</v>
      </c>
      <c r="N610" s="114" t="n">
        <v>0</v>
      </c>
      <c r="O610" s="114" t="n">
        <v>0</v>
      </c>
      <c r="P610" s="114" t="n">
        <v>0</v>
      </c>
      <c r="Q610" s="114" t="n">
        <v>0</v>
      </c>
      <c r="R610" s="304" t="n"/>
      <c r="S610" s="114" t="n"/>
      <c r="T610" s="115" t="n">
        <v>70907.84</v>
      </c>
    </row>
    <row customFormat="true" hidden="false" ht="15" outlineLevel="0" r="611" s="1">
      <c r="A611" s="116" t="n">
        <f aca="false" ca="false" dt2D="false" dtr="false" t="normal">+A610+1</f>
        <v>589</v>
      </c>
      <c r="B611" s="117" t="n">
        <f aca="false" ca="false" dt2D="false" dtr="false" t="normal">+B610+1</f>
        <v>129</v>
      </c>
      <c r="C611" s="104" t="s">
        <v>111</v>
      </c>
      <c r="D611" s="117" t="s">
        <v>344</v>
      </c>
      <c r="E611" s="113" t="n">
        <f aca="false" ca="true" dt2D="false" dtr="false" t="normal">SUBTOTAL(9, F611:T611)</f>
        <v>14626578.900000002</v>
      </c>
      <c r="F611" s="106" t="n">
        <v>9802523.58</v>
      </c>
      <c r="G611" s="114" t="n">
        <v>2577139.2</v>
      </c>
      <c r="H611" s="114" t="n"/>
      <c r="I611" s="114" t="n">
        <v>2246916.12</v>
      </c>
      <c r="J611" s="114" t="n"/>
      <c r="K611" s="114" t="n"/>
      <c r="L611" s="106" t="n"/>
      <c r="M611" s="114" t="n"/>
      <c r="N611" s="114" t="n"/>
      <c r="O611" s="114" t="n"/>
      <c r="P611" s="114" t="n"/>
      <c r="Q611" s="114" t="n"/>
      <c r="R611" s="304" t="n"/>
      <c r="S611" s="304" t="n"/>
      <c r="T611" s="303" t="n"/>
    </row>
    <row customFormat="true" hidden="false" ht="15" outlineLevel="0" r="612" s="1">
      <c r="A612" s="116" t="n">
        <f aca="false" ca="false" dt2D="false" dtr="false" t="normal">+A611+1</f>
        <v>590</v>
      </c>
      <c r="B612" s="117" t="n">
        <f aca="false" ca="false" dt2D="false" dtr="false" t="normal">+B611+1</f>
        <v>130</v>
      </c>
      <c r="C612" s="104" t="s">
        <v>111</v>
      </c>
      <c r="D612" s="117" t="s">
        <v>139</v>
      </c>
      <c r="E612" s="113" t="n">
        <f aca="false" ca="true" dt2D="false" dtr="false" t="normal">SUBTOTAL(9, F612:T612)</f>
        <v>9648243.47</v>
      </c>
      <c r="F612" s="106" t="n">
        <v>9569796.47</v>
      </c>
      <c r="G612" s="114" t="n">
        <v>0</v>
      </c>
      <c r="H612" s="114" t="n">
        <v>0</v>
      </c>
      <c r="I612" s="114" t="n">
        <v>0</v>
      </c>
      <c r="J612" s="114" t="n">
        <v>0</v>
      </c>
      <c r="K612" s="114" t="n"/>
      <c r="L612" s="106" t="n"/>
      <c r="M612" s="114" t="n">
        <v>0</v>
      </c>
      <c r="N612" s="114" t="n">
        <v>0</v>
      </c>
      <c r="O612" s="114" t="n">
        <v>0</v>
      </c>
      <c r="P612" s="114" t="n">
        <v>0</v>
      </c>
      <c r="Q612" s="114" t="n">
        <v>0</v>
      </c>
      <c r="R612" s="114" t="n"/>
      <c r="S612" s="114" t="n"/>
      <c r="T612" s="115" t="n">
        <v>78447</v>
      </c>
    </row>
    <row customFormat="true" hidden="false" ht="15" outlineLevel="0" r="613" s="1">
      <c r="A613" s="116" t="n">
        <f aca="false" ca="false" dt2D="false" dtr="false" t="normal">+A612+1</f>
        <v>591</v>
      </c>
      <c r="B613" s="117" t="n">
        <f aca="false" ca="false" dt2D="false" dtr="false" t="normal">+B612+1</f>
        <v>131</v>
      </c>
      <c r="C613" s="104" t="s">
        <v>111</v>
      </c>
      <c r="D613" s="117" t="s">
        <v>144</v>
      </c>
      <c r="E613" s="113" t="n">
        <f aca="false" ca="true" dt2D="false" dtr="false" t="normal">SUBTOTAL(9, F613:T613)</f>
        <v>18254524.75</v>
      </c>
      <c r="F613" s="106" t="n"/>
      <c r="G613" s="114" t="n"/>
      <c r="H613" s="114" t="n"/>
      <c r="I613" s="114" t="n"/>
      <c r="J613" s="114" t="n"/>
      <c r="K613" s="114" t="n"/>
      <c r="L613" s="106" t="n"/>
      <c r="M613" s="114" t="n"/>
      <c r="N613" s="114" t="n"/>
      <c r="O613" s="114" t="n"/>
      <c r="P613" s="114" t="n">
        <v>18254524.75</v>
      </c>
      <c r="Q613" s="114" t="n">
        <v>0</v>
      </c>
      <c r="R613" s="304" t="n"/>
      <c r="S613" s="304" t="n"/>
      <c r="T613" s="303" t="n"/>
    </row>
    <row customFormat="true" hidden="false" ht="15" outlineLevel="0" r="614" s="1">
      <c r="A614" s="116" t="n">
        <f aca="false" ca="false" dt2D="false" dtr="false" t="normal">+A613+1</f>
        <v>592</v>
      </c>
      <c r="B614" s="117" t="n">
        <f aca="false" ca="false" dt2D="false" dtr="false" t="normal">+B613+1</f>
        <v>132</v>
      </c>
      <c r="C614" s="104" t="s">
        <v>111</v>
      </c>
      <c r="D614" s="117" t="s">
        <v>353</v>
      </c>
      <c r="E614" s="113" t="n">
        <f aca="false" ca="true" dt2D="false" dtr="false" t="normal">SUBTOTAL(9, F614:T614)</f>
        <v>28577312.16</v>
      </c>
      <c r="F614" s="106" t="n">
        <v>0</v>
      </c>
      <c r="G614" s="114" t="n"/>
      <c r="H614" s="114" t="n">
        <v>3758914.15</v>
      </c>
      <c r="I614" s="114" t="n"/>
      <c r="J614" s="114" t="n"/>
      <c r="K614" s="114" t="n"/>
      <c r="L614" s="106" t="n"/>
      <c r="M614" s="114" t="n">
        <v>0</v>
      </c>
      <c r="N614" s="114" t="n">
        <v>0</v>
      </c>
      <c r="O614" s="114" t="n">
        <v>0</v>
      </c>
      <c r="P614" s="114" t="n">
        <v>24818398.01</v>
      </c>
      <c r="Q614" s="114" t="n">
        <v>0</v>
      </c>
      <c r="R614" s="114" t="n"/>
      <c r="S614" s="114" t="n"/>
      <c r="T614" s="303" t="n"/>
    </row>
    <row customFormat="true" hidden="false" ht="15" outlineLevel="0" r="615" s="1">
      <c r="A615" s="116" t="n">
        <f aca="false" ca="false" dt2D="false" dtr="false" t="normal">+A614+1</f>
        <v>593</v>
      </c>
      <c r="B615" s="117" t="n">
        <f aca="false" ca="false" dt2D="false" dtr="false" t="normal">+B614+1</f>
        <v>133</v>
      </c>
      <c r="C615" s="104" t="s">
        <v>111</v>
      </c>
      <c r="D615" s="117" t="s">
        <v>146</v>
      </c>
      <c r="E615" s="113" t="n">
        <f aca="false" ca="true" dt2D="false" dtr="false" t="normal">SUBTOTAL(9, F615:T615)</f>
        <v>35601534.28</v>
      </c>
      <c r="F615" s="106" t="n"/>
      <c r="G615" s="114" t="n"/>
      <c r="H615" s="114" t="n"/>
      <c r="I615" s="114" t="n"/>
      <c r="J615" s="114" t="n"/>
      <c r="K615" s="114" t="n"/>
      <c r="L615" s="106" t="n"/>
      <c r="M615" s="114" t="n">
        <v>0</v>
      </c>
      <c r="N615" s="114" t="n"/>
      <c r="O615" s="114" t="n">
        <v>0</v>
      </c>
      <c r="P615" s="114" t="n">
        <v>35601534.28</v>
      </c>
      <c r="Q615" s="114" t="n"/>
      <c r="R615" s="114" t="n"/>
      <c r="S615" s="114" t="n"/>
      <c r="T615" s="303" t="n"/>
      <c r="U615" s="0" t="n"/>
      <c r="V615" s="0" t="n"/>
      <c r="W615" s="0" t="n"/>
      <c r="X615" s="0" t="n"/>
      <c r="Y615" s="0" t="n"/>
      <c r="Z615" s="0" t="n"/>
      <c r="AA615" s="0" t="n"/>
      <c r="AB615" s="0" t="n"/>
      <c r="AC615" s="0" t="n"/>
      <c r="AD615" s="0" t="n"/>
      <c r="AE615" s="0" t="n"/>
      <c r="AF615" s="0" t="n"/>
      <c r="AG615" s="0" t="n"/>
      <c r="AH615" s="0" t="n"/>
      <c r="AI615" s="0" t="n"/>
      <c r="AJ615" s="0" t="n"/>
      <c r="AK615" s="0" t="n"/>
      <c r="AL615" s="0" t="n"/>
      <c r="AM615" s="0" t="n"/>
      <c r="AN615" s="0" t="n"/>
      <c r="AO615" s="0" t="n"/>
      <c r="AP615" s="0" t="n"/>
      <c r="AQ615" s="0" t="n"/>
      <c r="AR615" s="0" t="n"/>
      <c r="AS615" s="0" t="n"/>
      <c r="AT615" s="0" t="n"/>
      <c r="AU615" s="0" t="n"/>
      <c r="AV615" s="0" t="n"/>
      <c r="AW615" s="0" t="n"/>
      <c r="AX615" s="0" t="n"/>
      <c r="AY615" s="0" t="n"/>
      <c r="AZ615" s="0" t="n"/>
      <c r="BA615" s="0" t="n"/>
      <c r="BB615" s="0" t="n"/>
      <c r="BC615" s="0" t="n"/>
      <c r="BD615" s="0" t="n"/>
      <c r="BE615" s="0" t="n"/>
      <c r="BF615" s="0" t="n"/>
      <c r="BG615" s="0" t="n"/>
      <c r="BH615" s="0" t="n"/>
      <c r="BI615" s="0" t="n"/>
      <c r="BJ615" s="0" t="n"/>
      <c r="BK615" s="0" t="n"/>
      <c r="BL615" s="0" t="n"/>
      <c r="BM615" s="0" t="n"/>
      <c r="BN615" s="0" t="n"/>
      <c r="BO615" s="0" t="n"/>
      <c r="BP615" s="0" t="n"/>
    </row>
    <row customFormat="true" hidden="false" ht="15" outlineLevel="0" r="616" s="1">
      <c r="A616" s="116" t="n">
        <f aca="false" ca="false" dt2D="false" dtr="false" t="normal">+A615+1</f>
        <v>594</v>
      </c>
      <c r="B616" s="117" t="n">
        <f aca="false" ca="false" dt2D="false" dtr="false" t="normal">+B615+1</f>
        <v>134</v>
      </c>
      <c r="C616" s="104" t="s">
        <v>111</v>
      </c>
      <c r="D616" s="117" t="s">
        <v>610</v>
      </c>
      <c r="E616" s="113" t="n">
        <f aca="false" ca="true" dt2D="false" dtr="false" t="normal">SUBTOTAL(9, F616:T616)</f>
        <v>8843413.71</v>
      </c>
      <c r="F616" s="106" t="n"/>
      <c r="G616" s="114" t="n"/>
      <c r="H616" s="114" t="n"/>
      <c r="I616" s="114" t="n"/>
      <c r="J616" s="114" t="n"/>
      <c r="K616" s="114" t="n"/>
      <c r="L616" s="106" t="n"/>
      <c r="M616" s="114" t="n">
        <v>8330887.71</v>
      </c>
      <c r="N616" s="114" t="n"/>
      <c r="O616" s="114" t="n"/>
      <c r="P616" s="114" t="n"/>
      <c r="Q616" s="114" t="n"/>
      <c r="R616" s="114" t="n">
        <v>384394.5</v>
      </c>
      <c r="S616" s="114" t="n">
        <v>128131.5</v>
      </c>
      <c r="T616" s="303" t="n"/>
    </row>
    <row customFormat="true" hidden="false" ht="15" outlineLevel="0" r="617" s="1">
      <c r="A617" s="116" t="n">
        <f aca="false" ca="false" dt2D="false" dtr="false" t="normal">+A616+1</f>
        <v>595</v>
      </c>
      <c r="B617" s="117" t="n">
        <f aca="false" ca="false" dt2D="false" dtr="false" t="normal">+B616+1</f>
        <v>135</v>
      </c>
      <c r="C617" s="104" t="s">
        <v>111</v>
      </c>
      <c r="D617" s="117" t="s">
        <v>611</v>
      </c>
      <c r="E617" s="113" t="n">
        <f aca="false" ca="true" dt2D="false" dtr="false" t="normal">SUBTOTAL(9, F617:T617)</f>
        <v>3846154.33</v>
      </c>
      <c r="F617" s="106" t="n">
        <v>0</v>
      </c>
      <c r="G617" s="114" t="n">
        <v>0</v>
      </c>
      <c r="H617" s="114" t="n">
        <v>3846154.33</v>
      </c>
      <c r="I617" s="114" t="n">
        <v>0</v>
      </c>
      <c r="J617" s="114" t="n">
        <v>0</v>
      </c>
      <c r="K617" s="114" t="n"/>
      <c r="L617" s="106" t="n"/>
      <c r="M617" s="114" t="n">
        <v>0</v>
      </c>
      <c r="N617" s="114" t="n">
        <v>0</v>
      </c>
      <c r="O617" s="114" t="n">
        <v>0</v>
      </c>
      <c r="P617" s="114" t="n"/>
      <c r="Q617" s="114" t="n">
        <v>0</v>
      </c>
      <c r="R617" s="114" t="n"/>
      <c r="S617" s="114" t="n"/>
      <c r="T617" s="303" t="n"/>
      <c r="U617" s="0" t="n"/>
      <c r="V617" s="0" t="n"/>
      <c r="W617" s="0" t="n"/>
      <c r="X617" s="0" t="n"/>
      <c r="Y617" s="0" t="n"/>
      <c r="Z617" s="0" t="n"/>
      <c r="AA617" s="0" t="n"/>
      <c r="AB617" s="0" t="n"/>
      <c r="AC617" s="0" t="n"/>
      <c r="AD617" s="0" t="n"/>
      <c r="AE617" s="0" t="n"/>
      <c r="AF617" s="0" t="n"/>
      <c r="AG617" s="0" t="n"/>
      <c r="AH617" s="0" t="n"/>
      <c r="AI617" s="0" t="n"/>
      <c r="AJ617" s="0" t="n"/>
      <c r="AK617" s="0" t="n"/>
      <c r="AL617" s="0" t="n"/>
      <c r="AM617" s="0" t="n"/>
      <c r="AN617" s="0" t="n"/>
      <c r="AO617" s="0" t="n"/>
      <c r="AP617" s="0" t="n"/>
      <c r="AQ617" s="0" t="n"/>
      <c r="AR617" s="0" t="n"/>
      <c r="AS617" s="0" t="n"/>
      <c r="AT617" s="0" t="n"/>
      <c r="AU617" s="0" t="n"/>
      <c r="AV617" s="0" t="n"/>
      <c r="AW617" s="0" t="n"/>
      <c r="AX617" s="0" t="n"/>
      <c r="AY617" s="0" t="n"/>
      <c r="AZ617" s="0" t="n"/>
      <c r="BA617" s="0" t="n"/>
      <c r="BB617" s="0" t="n"/>
      <c r="BC617" s="0" t="n"/>
      <c r="BD617" s="0" t="n"/>
      <c r="BE617" s="0" t="n"/>
      <c r="BF617" s="0" t="n"/>
      <c r="BG617" s="0" t="n"/>
      <c r="BH617" s="0" t="n"/>
      <c r="BI617" s="0" t="n"/>
      <c r="BJ617" s="0" t="n"/>
      <c r="BK617" s="0" t="n"/>
      <c r="BL617" s="0" t="n"/>
      <c r="BM617" s="0" t="n"/>
      <c r="BN617" s="0" t="n"/>
      <c r="BO617" s="0" t="n"/>
      <c r="BP617" s="0" t="n"/>
    </row>
    <row customFormat="true" hidden="false" ht="15" outlineLevel="0" r="618" s="1">
      <c r="A618" s="116" t="n">
        <f aca="false" ca="false" dt2D="false" dtr="false" t="normal">+A617+1</f>
        <v>596</v>
      </c>
      <c r="B618" s="117" t="n">
        <f aca="false" ca="false" dt2D="false" dtr="false" t="normal">+B617+1</f>
        <v>136</v>
      </c>
      <c r="C618" s="104" t="s">
        <v>111</v>
      </c>
      <c r="D618" s="117" t="s">
        <v>612</v>
      </c>
      <c r="E618" s="113" t="n">
        <f aca="false" ca="true" dt2D="false" dtr="false" t="normal">SUBTOTAL(9, F618:T618)</f>
        <v>2555373.7</v>
      </c>
      <c r="F618" s="106" t="n">
        <v>0</v>
      </c>
      <c r="G618" s="114" t="n">
        <v>0</v>
      </c>
      <c r="H618" s="114" t="n">
        <v>0</v>
      </c>
      <c r="I618" s="114" t="n">
        <v>0</v>
      </c>
      <c r="J618" s="114" t="n">
        <v>2555373.7</v>
      </c>
      <c r="K618" s="114" t="n"/>
      <c r="L618" s="106" t="n"/>
      <c r="M618" s="114" t="n">
        <v>0</v>
      </c>
      <c r="N618" s="114" t="n">
        <v>0</v>
      </c>
      <c r="O618" s="114" t="n">
        <v>0</v>
      </c>
      <c r="P618" s="114" t="n">
        <v>0</v>
      </c>
      <c r="Q618" s="114" t="n">
        <v>0</v>
      </c>
      <c r="R618" s="304" t="n"/>
      <c r="S618" s="304" t="n"/>
      <c r="T618" s="303" t="n"/>
    </row>
    <row customFormat="true" hidden="false" ht="15" outlineLevel="0" r="619" s="1">
      <c r="A619" s="116" t="n">
        <f aca="false" ca="false" dt2D="false" dtr="false" t="normal">+A618+1</f>
        <v>597</v>
      </c>
      <c r="B619" s="117" t="n">
        <f aca="false" ca="false" dt2D="false" dtr="false" t="normal">+B618+1</f>
        <v>137</v>
      </c>
      <c r="C619" s="104" t="s">
        <v>111</v>
      </c>
      <c r="D619" s="117" t="s">
        <v>613</v>
      </c>
      <c r="E619" s="113" t="n">
        <f aca="false" ca="true" dt2D="false" dtr="false" t="normal">SUBTOTAL(9, F619:T619)</f>
        <v>2147049.31</v>
      </c>
      <c r="F619" s="106" t="n">
        <v>0</v>
      </c>
      <c r="G619" s="114" t="n">
        <v>0</v>
      </c>
      <c r="H619" s="114" t="n">
        <v>0</v>
      </c>
      <c r="I619" s="114" t="n">
        <v>0</v>
      </c>
      <c r="J619" s="114" t="n">
        <v>2147049.31</v>
      </c>
      <c r="K619" s="114" t="n"/>
      <c r="L619" s="106" t="n"/>
      <c r="M619" s="114" t="n">
        <v>0</v>
      </c>
      <c r="N619" s="114" t="n">
        <v>0</v>
      </c>
      <c r="O619" s="114" t="n">
        <v>0</v>
      </c>
      <c r="P619" s="114" t="n">
        <v>0</v>
      </c>
      <c r="Q619" s="114" t="n">
        <v>0</v>
      </c>
      <c r="R619" s="304" t="n"/>
      <c r="S619" s="304" t="n"/>
      <c r="T619" s="303" t="n"/>
    </row>
    <row customFormat="true" hidden="false" ht="15" outlineLevel="0" r="620" s="1">
      <c r="A620" s="116" t="n">
        <f aca="false" ca="false" dt2D="false" dtr="false" t="normal">+A619+1</f>
        <v>598</v>
      </c>
      <c r="B620" s="117" t="n">
        <f aca="false" ca="false" dt2D="false" dtr="false" t="normal">+B619+1</f>
        <v>138</v>
      </c>
      <c r="C620" s="104" t="s">
        <v>111</v>
      </c>
      <c r="D620" s="117" t="s">
        <v>614</v>
      </c>
      <c r="E620" s="113" t="n">
        <f aca="false" ca="true" dt2D="false" dtr="false" t="normal">SUBTOTAL(9, F620:T620)</f>
        <v>2110595.07</v>
      </c>
      <c r="F620" s="106" t="n">
        <v>0</v>
      </c>
      <c r="G620" s="114" t="n">
        <v>1326516.44</v>
      </c>
      <c r="H620" s="114" t="n">
        <v>0</v>
      </c>
      <c r="I620" s="114" t="n">
        <v>784078.63</v>
      </c>
      <c r="J620" s="114" t="n"/>
      <c r="K620" s="114" t="n"/>
      <c r="L620" s="106" t="n"/>
      <c r="M620" s="114" t="n">
        <v>0</v>
      </c>
      <c r="N620" s="114" t="n">
        <v>0</v>
      </c>
      <c r="O620" s="114" t="n">
        <v>0</v>
      </c>
      <c r="P620" s="114" t="n">
        <v>0</v>
      </c>
      <c r="Q620" s="114" t="n">
        <v>0</v>
      </c>
      <c r="R620" s="304" t="n"/>
      <c r="S620" s="304" t="n"/>
      <c r="T620" s="303" t="n"/>
    </row>
    <row customFormat="true" hidden="false" ht="15" outlineLevel="0" r="621" s="1">
      <c r="A621" s="116" t="n">
        <f aca="false" ca="false" dt2D="false" dtr="false" t="normal">+A620+1</f>
        <v>599</v>
      </c>
      <c r="B621" s="117" t="n">
        <f aca="false" ca="false" dt2D="false" dtr="false" t="normal">+B620+1</f>
        <v>139</v>
      </c>
      <c r="C621" s="104" t="s">
        <v>111</v>
      </c>
      <c r="D621" s="117" t="s">
        <v>357</v>
      </c>
      <c r="E621" s="113" t="n">
        <f aca="false" ca="true" dt2D="false" dtr="false" t="normal">SUBTOTAL(9, F621:T621)</f>
        <v>1361334.68</v>
      </c>
      <c r="F621" s="106" t="n"/>
      <c r="G621" s="114" t="n"/>
      <c r="H621" s="114" t="n"/>
      <c r="I621" s="114" t="n"/>
      <c r="J621" s="114" t="n">
        <v>1361334.68</v>
      </c>
      <c r="K621" s="114" t="n"/>
      <c r="L621" s="106" t="n">
        <v>0</v>
      </c>
      <c r="M621" s="114" t="n">
        <v>0</v>
      </c>
      <c r="N621" s="114" t="n"/>
      <c r="O621" s="114" t="n">
        <v>0</v>
      </c>
      <c r="P621" s="114" t="n"/>
      <c r="Q621" s="114" t="n"/>
      <c r="R621" s="114" t="n"/>
      <c r="S621" s="114" t="n"/>
      <c r="T621" s="303" t="n"/>
    </row>
    <row customFormat="true" hidden="false" ht="15" outlineLevel="0" r="622" s="1">
      <c r="A622" s="116" t="n">
        <f aca="false" ca="false" dt2D="false" dtr="false" t="normal">+A621+1</f>
        <v>600</v>
      </c>
      <c r="B622" s="117" t="n">
        <f aca="false" ca="false" dt2D="false" dtr="false" t="normal">+B621+1</f>
        <v>140</v>
      </c>
      <c r="C622" s="104" t="s">
        <v>111</v>
      </c>
      <c r="D622" s="117" t="s">
        <v>358</v>
      </c>
      <c r="E622" s="113" t="n">
        <f aca="false" ca="true" dt2D="false" dtr="false" t="normal">SUBTOTAL(9, F622:T622)</f>
        <v>1423559.64</v>
      </c>
      <c r="F622" s="106" t="n"/>
      <c r="G622" s="114" t="n"/>
      <c r="H622" s="114" t="n"/>
      <c r="I622" s="114" t="n"/>
      <c r="J622" s="114" t="n">
        <v>1423559.64</v>
      </c>
      <c r="K622" s="114" t="n"/>
      <c r="L622" s="106" t="n">
        <v>0</v>
      </c>
      <c r="M622" s="114" t="n">
        <v>0</v>
      </c>
      <c r="N622" s="114" t="n"/>
      <c r="O622" s="114" t="n">
        <v>0</v>
      </c>
      <c r="P622" s="114" t="n"/>
      <c r="Q622" s="114" t="n"/>
      <c r="R622" s="114" t="n"/>
      <c r="S622" s="114" t="n"/>
      <c r="T622" s="303" t="n"/>
    </row>
    <row customFormat="true" hidden="false" ht="15" outlineLevel="0" r="623" s="1">
      <c r="A623" s="116" t="n">
        <f aca="false" ca="false" dt2D="false" dtr="false" t="normal">+A622+1</f>
        <v>601</v>
      </c>
      <c r="B623" s="117" t="n">
        <f aca="false" ca="false" dt2D="false" dtr="false" t="normal">+B622+1</f>
        <v>141</v>
      </c>
      <c r="C623" s="104" t="s">
        <v>111</v>
      </c>
      <c r="D623" s="117" t="s">
        <v>157</v>
      </c>
      <c r="E623" s="113" t="n">
        <f aca="false" ca="true" dt2D="false" dtr="false" t="normal">SUBTOTAL(9, F623:T623)</f>
        <v>5108867.61</v>
      </c>
      <c r="F623" s="106" t="n">
        <v>0</v>
      </c>
      <c r="G623" s="114" t="n">
        <v>0</v>
      </c>
      <c r="H623" s="114" t="n">
        <v>5108867.61</v>
      </c>
      <c r="I623" s="114" t="n">
        <v>0</v>
      </c>
      <c r="J623" s="114" t="n"/>
      <c r="K623" s="114" t="n"/>
      <c r="L623" s="106" t="n"/>
      <c r="M623" s="114" t="n">
        <v>0</v>
      </c>
      <c r="N623" s="114" t="n">
        <v>0</v>
      </c>
      <c r="O623" s="114" t="n">
        <v>0</v>
      </c>
      <c r="P623" s="114" t="n">
        <v>0</v>
      </c>
      <c r="Q623" s="114" t="n">
        <v>0</v>
      </c>
      <c r="R623" s="114" t="n"/>
      <c r="S623" s="114" t="n"/>
      <c r="T623" s="303" t="n"/>
      <c r="U623" s="0" t="n"/>
      <c r="V623" s="0" t="n"/>
      <c r="W623" s="0" t="n"/>
      <c r="X623" s="0" t="n"/>
      <c r="Y623" s="0" t="n"/>
      <c r="Z623" s="0" t="n"/>
      <c r="AA623" s="0" t="n"/>
      <c r="AB623" s="0" t="n"/>
      <c r="AC623" s="0" t="n"/>
      <c r="AD623" s="0" t="n"/>
      <c r="AE623" s="0" t="n"/>
      <c r="AF623" s="0" t="n"/>
      <c r="AG623" s="0" t="n"/>
      <c r="AH623" s="0" t="n"/>
      <c r="AI623" s="0" t="n"/>
      <c r="AJ623" s="0" t="n"/>
      <c r="AK623" s="0" t="n"/>
      <c r="AL623" s="0" t="n"/>
      <c r="AM623" s="0" t="n"/>
      <c r="AN623" s="0" t="n"/>
      <c r="AO623" s="0" t="n"/>
      <c r="AP623" s="0" t="n"/>
      <c r="AQ623" s="0" t="n"/>
      <c r="AR623" s="0" t="n"/>
      <c r="AS623" s="0" t="n"/>
      <c r="AT623" s="0" t="n"/>
      <c r="AU623" s="0" t="n"/>
      <c r="AV623" s="0" t="n"/>
      <c r="AW623" s="0" t="n"/>
      <c r="AX623" s="0" t="n"/>
      <c r="AY623" s="0" t="n"/>
      <c r="AZ623" s="0" t="n"/>
      <c r="BA623" s="0" t="n"/>
      <c r="BB623" s="0" t="n"/>
      <c r="BC623" s="0" t="n"/>
      <c r="BD623" s="0" t="n"/>
      <c r="BE623" s="0" t="n"/>
      <c r="BF623" s="0" t="n"/>
      <c r="BG623" s="0" t="n"/>
      <c r="BH623" s="0" t="n"/>
      <c r="BI623" s="0" t="n"/>
      <c r="BJ623" s="0" t="n"/>
      <c r="BK623" s="0" t="n"/>
      <c r="BL623" s="0" t="n"/>
      <c r="BM623" s="0" t="n"/>
      <c r="BN623" s="0" t="n"/>
      <c r="BO623" s="0" t="n"/>
      <c r="BP623" s="0" t="n"/>
    </row>
    <row customFormat="true" hidden="false" ht="15" outlineLevel="0" r="624" s="1">
      <c r="A624" s="116" t="n">
        <f aca="false" ca="false" dt2D="false" dtr="false" t="normal">+A623+1</f>
        <v>602</v>
      </c>
      <c r="B624" s="117" t="n">
        <f aca="false" ca="false" dt2D="false" dtr="false" t="normal">+B623+1</f>
        <v>142</v>
      </c>
      <c r="C624" s="104" t="s">
        <v>111</v>
      </c>
      <c r="D624" s="117" t="s">
        <v>360</v>
      </c>
      <c r="E624" s="113" t="n">
        <f aca="false" ca="true" dt2D="false" dtr="false" t="normal">SUBTOTAL(9, F624:T624)</f>
        <v>25694906.89</v>
      </c>
      <c r="F624" s="106" t="n"/>
      <c r="G624" s="114" t="n">
        <v>3579457.76</v>
      </c>
      <c r="H624" s="114" t="n"/>
      <c r="I624" s="114" t="n"/>
      <c r="J624" s="114" t="n"/>
      <c r="K624" s="114" t="n"/>
      <c r="L624" s="106" t="n"/>
      <c r="M624" s="114" t="n"/>
      <c r="N624" s="114" t="n"/>
      <c r="O624" s="114" t="n"/>
      <c r="P624" s="114" t="n">
        <v>22115449.13</v>
      </c>
      <c r="Q624" s="114" t="n"/>
      <c r="R624" s="304" t="n"/>
      <c r="S624" s="304" t="n"/>
      <c r="T624" s="303" t="n"/>
      <c r="U624" s="0" t="n"/>
      <c r="V624" s="0" t="n"/>
      <c r="W624" s="0" t="n"/>
      <c r="X624" s="0" t="n"/>
      <c r="Y624" s="0" t="n"/>
      <c r="Z624" s="0" t="n"/>
      <c r="AA624" s="0" t="n"/>
      <c r="AB624" s="0" t="n"/>
      <c r="AC624" s="0" t="n"/>
      <c r="AD624" s="0" t="n"/>
      <c r="AE624" s="0" t="n"/>
      <c r="AF624" s="0" t="n"/>
      <c r="AG624" s="0" t="n"/>
      <c r="AH624" s="0" t="n"/>
      <c r="AI624" s="0" t="n"/>
      <c r="AJ624" s="0" t="n"/>
      <c r="AK624" s="0" t="n"/>
      <c r="AL624" s="0" t="n"/>
      <c r="AM624" s="0" t="n"/>
      <c r="AN624" s="0" t="n"/>
      <c r="AO624" s="0" t="n"/>
      <c r="AP624" s="0" t="n"/>
      <c r="AQ624" s="0" t="n"/>
      <c r="AR624" s="0" t="n"/>
      <c r="AS624" s="0" t="n"/>
      <c r="AT624" s="0" t="n"/>
      <c r="AU624" s="0" t="n"/>
      <c r="AV624" s="0" t="n"/>
      <c r="AW624" s="0" t="n"/>
      <c r="AX624" s="0" t="n"/>
      <c r="AY624" s="0" t="n"/>
      <c r="AZ624" s="0" t="n"/>
      <c r="BA624" s="0" t="n"/>
      <c r="BB624" s="0" t="n"/>
      <c r="BC624" s="0" t="n"/>
      <c r="BD624" s="0" t="n"/>
      <c r="BE624" s="0" t="n"/>
      <c r="BF624" s="0" t="n"/>
      <c r="BG624" s="0" t="n"/>
      <c r="BH624" s="0" t="n"/>
      <c r="BI624" s="0" t="n"/>
      <c r="BJ624" s="0" t="n"/>
      <c r="BK624" s="0" t="n"/>
      <c r="BL624" s="0" t="n"/>
      <c r="BM624" s="0" t="n"/>
      <c r="BN624" s="0" t="n"/>
      <c r="BO624" s="0" t="n"/>
      <c r="BP624" s="0" t="n"/>
    </row>
    <row customFormat="true" hidden="false" ht="15" outlineLevel="0" r="625" s="1">
      <c r="A625" s="116" t="n">
        <f aca="false" ca="false" dt2D="false" dtr="false" t="normal">+A624+1</f>
        <v>603</v>
      </c>
      <c r="B625" s="117" t="n">
        <f aca="false" ca="false" dt2D="false" dtr="false" t="normal">+B624+1</f>
        <v>143</v>
      </c>
      <c r="C625" s="104" t="s">
        <v>111</v>
      </c>
      <c r="D625" s="117" t="s">
        <v>615</v>
      </c>
      <c r="E625" s="113" t="n">
        <f aca="false" ca="true" dt2D="false" dtr="false" t="normal">SUBTOTAL(9, F625:T625)</f>
        <v>30001477.089999996</v>
      </c>
      <c r="F625" s="106" t="n">
        <v>14953037.04</v>
      </c>
      <c r="G625" s="114" t="n">
        <v>6547393.97</v>
      </c>
      <c r="H625" s="114" t="n">
        <v>4711465.01</v>
      </c>
      <c r="I625" s="114" t="n">
        <v>3789581.07</v>
      </c>
      <c r="J625" s="114" t="n">
        <v>0</v>
      </c>
      <c r="K625" s="114" t="n"/>
      <c r="L625" s="106" t="n"/>
      <c r="M625" s="114" t="n">
        <v>0</v>
      </c>
      <c r="N625" s="114" t="n"/>
      <c r="O625" s="114" t="n">
        <v>0</v>
      </c>
      <c r="P625" s="114" t="n">
        <v>0</v>
      </c>
      <c r="Q625" s="114" t="n">
        <v>0</v>
      </c>
      <c r="R625" s="114" t="n"/>
      <c r="S625" s="114" t="n"/>
      <c r="T625" s="303" t="n"/>
    </row>
    <row customFormat="true" hidden="false" ht="15" outlineLevel="0" r="626" s="1">
      <c r="A626" s="116" t="n">
        <f aca="false" ca="false" dt2D="false" dtr="false" t="normal">+A625+1</f>
        <v>604</v>
      </c>
      <c r="B626" s="117" t="n">
        <f aca="false" ca="false" dt2D="false" dtr="false" t="normal">+B625+1</f>
        <v>144</v>
      </c>
      <c r="C626" s="104" t="s">
        <v>111</v>
      </c>
      <c r="D626" s="117" t="s">
        <v>616</v>
      </c>
      <c r="E626" s="113" t="n">
        <f aca="false" ca="true" dt2D="false" dtr="false" t="normal">SUBTOTAL(9, F626:T626)</f>
        <v>15590098.280000001</v>
      </c>
      <c r="F626" s="106" t="n">
        <v>0</v>
      </c>
      <c r="G626" s="114" t="n">
        <v>0</v>
      </c>
      <c r="H626" s="114" t="n">
        <v>0</v>
      </c>
      <c r="I626" s="114" t="n">
        <v>0</v>
      </c>
      <c r="J626" s="114" t="n">
        <v>2025792.13</v>
      </c>
      <c r="K626" s="114" t="n"/>
      <c r="L626" s="106" t="n"/>
      <c r="M626" s="114" t="n">
        <v>0</v>
      </c>
      <c r="N626" s="114" t="n">
        <v>0</v>
      </c>
      <c r="O626" s="114" t="n">
        <v>0</v>
      </c>
      <c r="P626" s="114" t="n">
        <v>0</v>
      </c>
      <c r="Q626" s="114" t="n">
        <v>13564306.15</v>
      </c>
      <c r="R626" s="304" t="n"/>
      <c r="S626" s="304" t="n"/>
      <c r="T626" s="303" t="n"/>
    </row>
    <row customFormat="true" hidden="false" ht="15" outlineLevel="0" r="627" s="1">
      <c r="A627" s="116" t="n">
        <f aca="false" ca="false" dt2D="false" dtr="false" t="normal">+A626+1</f>
        <v>605</v>
      </c>
      <c r="B627" s="117" t="n">
        <f aca="false" ca="false" dt2D="false" dtr="false" t="normal">+B626+1</f>
        <v>145</v>
      </c>
      <c r="C627" s="104" t="s">
        <v>111</v>
      </c>
      <c r="D627" s="117" t="s">
        <v>617</v>
      </c>
      <c r="E627" s="113" t="n">
        <f aca="false" ca="true" dt2D="false" dtr="false" t="normal">SUBTOTAL(9, F627:T627)</f>
        <v>2890378.15</v>
      </c>
      <c r="F627" s="106" t="n"/>
      <c r="G627" s="114" t="n"/>
      <c r="H627" s="114" t="n"/>
      <c r="I627" s="114" t="n"/>
      <c r="J627" s="114" t="n"/>
      <c r="K627" s="114" t="n"/>
      <c r="L627" s="106" t="n"/>
      <c r="M627" s="114" t="n">
        <v>2719536.15</v>
      </c>
      <c r="N627" s="114" t="n"/>
      <c r="O627" s="114" t="n"/>
      <c r="P627" s="114" t="n"/>
      <c r="Q627" s="114" t="n"/>
      <c r="R627" s="114" t="n">
        <v>128131.5</v>
      </c>
      <c r="S627" s="114" t="n">
        <v>42710.5</v>
      </c>
      <c r="T627" s="303" t="n"/>
    </row>
    <row customFormat="true" hidden="false" ht="15" outlineLevel="0" r="628" s="1">
      <c r="A628" s="116" t="n">
        <f aca="false" ca="false" dt2D="false" dtr="false" t="normal">+A627+1</f>
        <v>606</v>
      </c>
      <c r="B628" s="117" t="n">
        <f aca="false" ca="false" dt2D="false" dtr="false" t="normal">+B627+1</f>
        <v>146</v>
      </c>
      <c r="C628" s="104" t="s">
        <v>111</v>
      </c>
      <c r="D628" s="117" t="s">
        <v>618</v>
      </c>
      <c r="E628" s="113" t="n">
        <f aca="false" ca="true" dt2D="false" dtr="false" t="normal">SUBTOTAL(9, F628:T628)</f>
        <v>1410134.84</v>
      </c>
      <c r="F628" s="106" t="n"/>
      <c r="G628" s="114" t="n"/>
      <c r="H628" s="114" t="n"/>
      <c r="I628" s="114" t="n"/>
      <c r="J628" s="114" t="n">
        <v>1410134.84</v>
      </c>
      <c r="K628" s="114" t="n"/>
      <c r="L628" s="106" t="n"/>
      <c r="M628" s="114" t="n"/>
      <c r="N628" s="114" t="n"/>
      <c r="O628" s="114" t="n"/>
      <c r="P628" s="114" t="n"/>
      <c r="Q628" s="114" t="n"/>
      <c r="R628" s="304" t="n"/>
      <c r="S628" s="304" t="n"/>
      <c r="T628" s="303" t="n"/>
    </row>
    <row customFormat="true" hidden="false" ht="15" outlineLevel="0" r="629" s="1">
      <c r="A629" s="116" t="n">
        <f aca="false" ca="false" dt2D="false" dtr="false" t="normal">+A628+1</f>
        <v>607</v>
      </c>
      <c r="B629" s="117" t="n">
        <f aca="false" ca="false" dt2D="false" dtr="false" t="normal">+B628+1</f>
        <v>147</v>
      </c>
      <c r="C629" s="104" t="s">
        <v>111</v>
      </c>
      <c r="D629" s="117" t="s">
        <v>619</v>
      </c>
      <c r="E629" s="113" t="n">
        <f aca="false" ca="true" dt2D="false" dtr="false" t="normal">SUBTOTAL(9, F629:T629)</f>
        <v>1382673.19</v>
      </c>
      <c r="F629" s="106" t="n"/>
      <c r="G629" s="114" t="n"/>
      <c r="H629" s="114" t="n"/>
      <c r="I629" s="114" t="n"/>
      <c r="J629" s="114" t="n">
        <v>1382673.19</v>
      </c>
      <c r="K629" s="114" t="n"/>
      <c r="L629" s="106" t="n"/>
      <c r="M629" s="114" t="n"/>
      <c r="N629" s="114" t="n"/>
      <c r="O629" s="114" t="n"/>
      <c r="P629" s="114" t="n"/>
      <c r="Q629" s="114" t="n"/>
      <c r="R629" s="304" t="n"/>
      <c r="S629" s="304" t="n"/>
      <c r="T629" s="303" t="n"/>
    </row>
    <row customFormat="true" hidden="false" ht="15" outlineLevel="0" r="630" s="1">
      <c r="A630" s="116" t="n">
        <f aca="false" ca="false" dt2D="false" dtr="false" t="normal">+A629+1</f>
        <v>608</v>
      </c>
      <c r="B630" s="117" t="n">
        <f aca="false" ca="false" dt2D="false" dtr="false" t="normal">+B629+1</f>
        <v>148</v>
      </c>
      <c r="C630" s="104" t="s">
        <v>111</v>
      </c>
      <c r="D630" s="117" t="s">
        <v>620</v>
      </c>
      <c r="E630" s="113" t="n">
        <f aca="false" ca="true" dt2D="false" dtr="false" t="normal">SUBTOTAL(9, F630:T630)</f>
        <v>1405224.35</v>
      </c>
      <c r="F630" s="106" t="n"/>
      <c r="G630" s="114" t="n"/>
      <c r="H630" s="114" t="n"/>
      <c r="I630" s="114" t="n"/>
      <c r="J630" s="114" t="n">
        <v>1405224.35</v>
      </c>
      <c r="K630" s="114" t="n"/>
      <c r="L630" s="106" t="n"/>
      <c r="M630" s="114" t="n"/>
      <c r="N630" s="114" t="n"/>
      <c r="O630" s="114" t="n"/>
      <c r="P630" s="114" t="n"/>
      <c r="Q630" s="114" t="n"/>
      <c r="R630" s="304" t="n"/>
      <c r="S630" s="304" t="n"/>
      <c r="T630" s="303" t="n"/>
    </row>
    <row customFormat="true" hidden="false" ht="15" outlineLevel="0" r="631" s="1">
      <c r="A631" s="116" t="n">
        <f aca="false" ca="false" dt2D="false" dtr="false" t="normal">+A630+1</f>
        <v>609</v>
      </c>
      <c r="B631" s="117" t="n">
        <f aca="false" ca="false" dt2D="false" dtr="false" t="normal">+B630+1</f>
        <v>149</v>
      </c>
      <c r="C631" s="104" t="s">
        <v>111</v>
      </c>
      <c r="D631" s="117" t="s">
        <v>621</v>
      </c>
      <c r="E631" s="113" t="n">
        <f aca="false" ca="true" dt2D="false" dtr="false" t="normal">SUBTOTAL(9, F631:T631)</f>
        <v>6406937.66</v>
      </c>
      <c r="F631" s="106" t="n">
        <v>0</v>
      </c>
      <c r="G631" s="114" t="n">
        <v>0</v>
      </c>
      <c r="H631" s="114" t="n">
        <v>0</v>
      </c>
      <c r="I631" s="114" t="n">
        <v>0</v>
      </c>
      <c r="J631" s="114" t="n">
        <v>0</v>
      </c>
      <c r="K631" s="114" t="n"/>
      <c r="L631" s="106" t="n"/>
      <c r="M631" s="114" t="n">
        <v>0</v>
      </c>
      <c r="N631" s="114" t="n">
        <v>6406937.66</v>
      </c>
      <c r="O631" s="114" t="n">
        <v>0</v>
      </c>
      <c r="P631" s="114" t="n">
        <v>0</v>
      </c>
      <c r="Q631" s="114" t="n">
        <v>0</v>
      </c>
      <c r="R631" s="304" t="n"/>
      <c r="S631" s="304" t="n"/>
      <c r="T631" s="303" t="n"/>
      <c r="U631" s="0" t="n"/>
      <c r="V631" s="0" t="n"/>
      <c r="W631" s="0" t="n"/>
      <c r="X631" s="0" t="n"/>
      <c r="Y631" s="0" t="n"/>
      <c r="Z631" s="0" t="n"/>
      <c r="AA631" s="0" t="n"/>
      <c r="AB631" s="0" t="n"/>
      <c r="AC631" s="0" t="n"/>
      <c r="AD631" s="0" t="n"/>
      <c r="AE631" s="0" t="n"/>
      <c r="AF631" s="0" t="n"/>
      <c r="AG631" s="0" t="n"/>
      <c r="AH631" s="0" t="n"/>
      <c r="AI631" s="0" t="n"/>
      <c r="AJ631" s="0" t="n"/>
      <c r="AK631" s="0" t="n"/>
      <c r="AL631" s="0" t="n"/>
      <c r="AM631" s="0" t="n"/>
      <c r="AN631" s="0" t="n"/>
      <c r="AO631" s="0" t="n"/>
      <c r="AP631" s="0" t="n"/>
      <c r="AQ631" s="0" t="n"/>
      <c r="AR631" s="0" t="n"/>
      <c r="AS631" s="0" t="n"/>
      <c r="AT631" s="0" t="n"/>
      <c r="AU631" s="0" t="n"/>
      <c r="AV631" s="0" t="n"/>
      <c r="AW631" s="0" t="n"/>
      <c r="AX631" s="0" t="n"/>
      <c r="AY631" s="0" t="n"/>
      <c r="AZ631" s="0" t="n"/>
      <c r="BA631" s="0" t="n"/>
      <c r="BB631" s="0" t="n"/>
      <c r="BC631" s="0" t="n"/>
      <c r="BD631" s="0" t="n"/>
      <c r="BE631" s="0" t="n"/>
      <c r="BF631" s="0" t="n"/>
      <c r="BG631" s="0" t="n"/>
      <c r="BH631" s="0" t="n"/>
      <c r="BI631" s="0" t="n"/>
      <c r="BJ631" s="0" t="n"/>
      <c r="BK631" s="0" t="n"/>
      <c r="BL631" s="0" t="n"/>
      <c r="BM631" s="0" t="n"/>
      <c r="BN631" s="0" t="n"/>
      <c r="BO631" s="0" t="n"/>
      <c r="BP631" s="0" t="n"/>
    </row>
    <row customFormat="true" hidden="false" ht="15" outlineLevel="0" r="632" s="1">
      <c r="A632" s="116" t="n">
        <f aca="false" ca="false" dt2D="false" dtr="false" t="normal">+A631+1</f>
        <v>610</v>
      </c>
      <c r="B632" s="117" t="n">
        <f aca="false" ca="false" dt2D="false" dtr="false" t="normal">+B631+1</f>
        <v>150</v>
      </c>
      <c r="C632" s="104" t="s">
        <v>111</v>
      </c>
      <c r="D632" s="117" t="s">
        <v>361</v>
      </c>
      <c r="E632" s="113" t="n">
        <f aca="false" ca="true" dt2D="false" dtr="false" t="normal">SUBTOTAL(9, F632:T632)</f>
        <v>22540459.22</v>
      </c>
      <c r="F632" s="106" t="n"/>
      <c r="G632" s="114" t="n">
        <v>3495031.17</v>
      </c>
      <c r="H632" s="114" t="n"/>
      <c r="I632" s="114" t="n"/>
      <c r="J632" s="114" t="n">
        <v>2553507.6</v>
      </c>
      <c r="K632" s="114" t="n"/>
      <c r="L632" s="106" t="n"/>
      <c r="M632" s="114" t="n"/>
      <c r="N632" s="114" t="n"/>
      <c r="O632" s="114" t="n"/>
      <c r="P632" s="114" t="n">
        <v>16463862</v>
      </c>
      <c r="Q632" s="114" t="n"/>
      <c r="R632" s="304" t="n"/>
      <c r="S632" s="304" t="n"/>
      <c r="T632" s="115" t="n">
        <v>28058.45</v>
      </c>
    </row>
    <row customFormat="true" hidden="false" ht="15" outlineLevel="0" r="633" s="1">
      <c r="A633" s="116" t="n">
        <f aca="false" ca="false" dt2D="false" dtr="false" t="normal">+A632+1</f>
        <v>611</v>
      </c>
      <c r="B633" s="117" t="n">
        <f aca="false" ca="false" dt2D="false" dtr="false" t="normal">+B632+1</f>
        <v>151</v>
      </c>
      <c r="C633" s="104" t="s">
        <v>111</v>
      </c>
      <c r="D633" s="117" t="s">
        <v>362</v>
      </c>
      <c r="E633" s="113" t="n">
        <f aca="false" ca="true" dt2D="false" dtr="false" t="normal">SUBTOTAL(9, F633:T633)</f>
        <v>16798854.85</v>
      </c>
      <c r="F633" s="106" t="n"/>
      <c r="G633" s="114" t="n"/>
      <c r="H633" s="114" t="n">
        <v>0</v>
      </c>
      <c r="I633" s="114" t="n">
        <v>0</v>
      </c>
      <c r="J633" s="114" t="n"/>
      <c r="K633" s="114" t="n"/>
      <c r="L633" s="106" t="n"/>
      <c r="M633" s="114" t="n">
        <v>0</v>
      </c>
      <c r="N633" s="114" t="n">
        <v>16798854.85</v>
      </c>
      <c r="O633" s="114" t="n">
        <v>0</v>
      </c>
      <c r="P633" s="114" t="n">
        <v>0</v>
      </c>
      <c r="Q633" s="114" t="n">
        <v>0</v>
      </c>
      <c r="R633" s="114" t="n"/>
      <c r="S633" s="114" t="n"/>
      <c r="T633" s="303" t="n"/>
    </row>
    <row customFormat="true" hidden="false" ht="15" outlineLevel="0" r="634" s="1">
      <c r="A634" s="116" t="n">
        <f aca="false" ca="false" dt2D="false" dtr="false" t="normal">+A633+1</f>
        <v>612</v>
      </c>
      <c r="B634" s="117" t="n">
        <f aca="false" ca="false" dt2D="false" dtr="false" t="normal">+B633+1</f>
        <v>152</v>
      </c>
      <c r="C634" s="104" t="s">
        <v>111</v>
      </c>
      <c r="D634" s="117" t="s">
        <v>159</v>
      </c>
      <c r="E634" s="113" t="n">
        <f aca="false" ca="true" dt2D="false" dtr="false" t="normal">SUBTOTAL(9, F634:T634)</f>
        <v>2447844.2</v>
      </c>
      <c r="F634" s="106" t="n">
        <v>0</v>
      </c>
      <c r="G634" s="114" t="n"/>
      <c r="H634" s="114" t="n"/>
      <c r="I634" s="114" t="n"/>
      <c r="J634" s="114" t="n">
        <v>2447844.2</v>
      </c>
      <c r="K634" s="114" t="n"/>
      <c r="L634" s="106" t="n"/>
      <c r="M634" s="114" t="n">
        <v>0</v>
      </c>
      <c r="N634" s="114" t="n">
        <v>0</v>
      </c>
      <c r="O634" s="114" t="n">
        <v>0</v>
      </c>
      <c r="P634" s="114" t="n">
        <v>0</v>
      </c>
      <c r="Q634" s="114" t="n"/>
      <c r="R634" s="114" t="n"/>
      <c r="S634" s="114" t="n"/>
      <c r="T634" s="303" t="n"/>
    </row>
    <row customFormat="true" hidden="false" ht="15" outlineLevel="0" r="635" s="1">
      <c r="A635" s="116" t="n">
        <f aca="false" ca="false" dt2D="false" dtr="false" t="normal">+A634+1</f>
        <v>613</v>
      </c>
      <c r="B635" s="117" t="n">
        <f aca="false" ca="false" dt2D="false" dtr="false" t="normal">+B634+1</f>
        <v>153</v>
      </c>
      <c r="C635" s="104" t="s">
        <v>111</v>
      </c>
      <c r="D635" s="117" t="s">
        <v>622</v>
      </c>
      <c r="E635" s="113" t="n">
        <f aca="false" ca="true" dt2D="false" dtr="false" t="normal">SUBTOTAL(9, F635:T635)</f>
        <v>5870908.03</v>
      </c>
      <c r="F635" s="106" t="n"/>
      <c r="G635" s="114" t="n"/>
      <c r="H635" s="114" t="n"/>
      <c r="I635" s="114" t="n"/>
      <c r="J635" s="114" t="n"/>
      <c r="K635" s="114" t="n"/>
      <c r="L635" s="106" t="n"/>
      <c r="M635" s="114" t="n"/>
      <c r="N635" s="114" t="n"/>
      <c r="O635" s="114" t="n"/>
      <c r="P635" s="114" t="n">
        <v>5870908.03</v>
      </c>
      <c r="Q635" s="114" t="n"/>
      <c r="R635" s="114" t="n"/>
      <c r="S635" s="114" t="n"/>
      <c r="T635" s="303" t="n"/>
    </row>
    <row customFormat="true" hidden="false" ht="15" outlineLevel="0" r="636" s="1">
      <c r="A636" s="116" t="n">
        <f aca="false" ca="false" dt2D="false" dtr="false" t="normal">+A635+1</f>
        <v>614</v>
      </c>
      <c r="B636" s="117" t="n">
        <f aca="false" ca="false" dt2D="false" dtr="false" t="normal">+B635+1</f>
        <v>154</v>
      </c>
      <c r="C636" s="104" t="s">
        <v>111</v>
      </c>
      <c r="D636" s="117" t="s">
        <v>623</v>
      </c>
      <c r="E636" s="113" t="n">
        <f aca="false" ca="true" dt2D="false" dtr="false" t="normal">SUBTOTAL(9, F636:T636)</f>
        <v>30599367.900000002</v>
      </c>
      <c r="F636" s="106" t="n">
        <v>9072553.72</v>
      </c>
      <c r="G636" s="114" t="n">
        <v>0</v>
      </c>
      <c r="H636" s="114" t="n">
        <v>4047440.7</v>
      </c>
      <c r="I636" s="114" t="n">
        <v>0</v>
      </c>
      <c r="J636" s="114" t="n">
        <v>0</v>
      </c>
      <c r="K636" s="114" t="n"/>
      <c r="L636" s="106" t="n">
        <v>0</v>
      </c>
      <c r="M636" s="114" t="n">
        <v>0</v>
      </c>
      <c r="N636" s="114" t="n">
        <v>0</v>
      </c>
      <c r="O636" s="114" t="n">
        <v>0</v>
      </c>
      <c r="P636" s="114" t="n">
        <v>17479373.48</v>
      </c>
      <c r="Q636" s="114" t="n">
        <v>0</v>
      </c>
      <c r="R636" s="114" t="n"/>
      <c r="S636" s="114" t="n"/>
      <c r="T636" s="303" t="n"/>
    </row>
    <row customFormat="true" hidden="false" ht="15" outlineLevel="0" r="637" s="1">
      <c r="A637" s="116" t="n">
        <f aca="false" ca="false" dt2D="false" dtr="false" t="normal">+A636+1</f>
        <v>615</v>
      </c>
      <c r="B637" s="117" t="n">
        <f aca="false" ca="false" dt2D="false" dtr="false" t="normal">+B636+1</f>
        <v>155</v>
      </c>
      <c r="C637" s="104" t="s">
        <v>111</v>
      </c>
      <c r="D637" s="117" t="s">
        <v>161</v>
      </c>
      <c r="E637" s="113" t="n">
        <f aca="false" ca="true" dt2D="false" dtr="false" t="normal">SUBTOTAL(9, F637:T637)</f>
        <v>7154351.18</v>
      </c>
      <c r="F637" s="106" t="n"/>
      <c r="G637" s="114" t="n"/>
      <c r="H637" s="114" t="n"/>
      <c r="I637" s="114" t="n"/>
      <c r="J637" s="114" t="n"/>
      <c r="K637" s="114" t="n"/>
      <c r="L637" s="106" t="n"/>
      <c r="M637" s="114" t="n"/>
      <c r="N637" s="114" t="n"/>
      <c r="O637" s="114" t="n"/>
      <c r="P637" s="114" t="n">
        <v>7154351.18</v>
      </c>
      <c r="Q637" s="114" t="n"/>
      <c r="R637" s="114" t="n"/>
      <c r="S637" s="114" t="n"/>
      <c r="T637" s="303" t="n"/>
    </row>
    <row customFormat="true" hidden="false" ht="15" outlineLevel="0" r="638" s="1">
      <c r="A638" s="116" t="n">
        <f aca="false" ca="false" dt2D="false" dtr="false" t="normal">+A637+1</f>
        <v>616</v>
      </c>
      <c r="B638" s="117" t="n">
        <f aca="false" ca="false" dt2D="false" dtr="false" t="normal">+B637+1</f>
        <v>156</v>
      </c>
      <c r="C638" s="104" t="s">
        <v>111</v>
      </c>
      <c r="D638" s="117" t="s">
        <v>162</v>
      </c>
      <c r="E638" s="113" t="n">
        <f aca="false" ca="true" dt2D="false" dtr="false" t="normal">SUBTOTAL(9, F638:T638)</f>
        <v>1265830.5</v>
      </c>
      <c r="F638" s="106" t="n"/>
      <c r="G638" s="114" t="n">
        <v>773824.99</v>
      </c>
      <c r="H638" s="114" t="n"/>
      <c r="I638" s="114" t="n">
        <v>492005.51</v>
      </c>
      <c r="J638" s="114" t="n"/>
      <c r="K638" s="114" t="n"/>
      <c r="L638" s="106" t="n"/>
      <c r="M638" s="114" t="n">
        <v>0</v>
      </c>
      <c r="N638" s="114" t="n"/>
      <c r="O638" s="114" t="n">
        <v>0</v>
      </c>
      <c r="P638" s="114" t="n">
        <v>0</v>
      </c>
      <c r="Q638" s="114" t="n">
        <v>0</v>
      </c>
      <c r="R638" s="114" t="n"/>
      <c r="S638" s="114" t="n"/>
      <c r="T638" s="303" t="n"/>
      <c r="U638" s="0" t="n"/>
      <c r="V638" s="0" t="n"/>
      <c r="W638" s="0" t="n"/>
      <c r="X638" s="0" t="n"/>
      <c r="Y638" s="0" t="n"/>
      <c r="Z638" s="0" t="n"/>
      <c r="AA638" s="0" t="n"/>
      <c r="AB638" s="0" t="n"/>
      <c r="AC638" s="0" t="n"/>
      <c r="AD638" s="0" t="n"/>
      <c r="AE638" s="0" t="n"/>
      <c r="AF638" s="0" t="n"/>
      <c r="AG638" s="0" t="n"/>
      <c r="AH638" s="0" t="n"/>
      <c r="AI638" s="0" t="n"/>
      <c r="AJ638" s="0" t="n"/>
      <c r="AK638" s="0" t="n"/>
      <c r="AL638" s="0" t="n"/>
      <c r="AM638" s="0" t="n"/>
      <c r="AN638" s="0" t="n"/>
      <c r="AO638" s="0" t="n"/>
      <c r="AP638" s="0" t="n"/>
      <c r="AQ638" s="0" t="n"/>
      <c r="AR638" s="0" t="n"/>
      <c r="AS638" s="0" t="n"/>
      <c r="AT638" s="0" t="n"/>
      <c r="AU638" s="0" t="n"/>
      <c r="AV638" s="0" t="n"/>
      <c r="AW638" s="0" t="n"/>
      <c r="AX638" s="0" t="n"/>
      <c r="AY638" s="0" t="n"/>
      <c r="AZ638" s="0" t="n"/>
      <c r="BA638" s="0" t="n"/>
      <c r="BB638" s="0" t="n"/>
      <c r="BC638" s="0" t="n"/>
      <c r="BD638" s="0" t="n"/>
      <c r="BE638" s="0" t="n"/>
      <c r="BF638" s="0" t="n"/>
      <c r="BG638" s="0" t="n"/>
      <c r="BH638" s="0" t="n"/>
      <c r="BI638" s="0" t="n"/>
      <c r="BJ638" s="0" t="n"/>
      <c r="BK638" s="0" t="n"/>
      <c r="BL638" s="0" t="n"/>
      <c r="BM638" s="0" t="n"/>
      <c r="BN638" s="0" t="n"/>
      <c r="BO638" s="0" t="n"/>
      <c r="BP638" s="0" t="n"/>
    </row>
    <row customFormat="true" hidden="false" ht="15" outlineLevel="0" r="639" s="1">
      <c r="A639" s="116" t="n">
        <f aca="false" ca="false" dt2D="false" dtr="false" t="normal">+A638+1</f>
        <v>617</v>
      </c>
      <c r="B639" s="117" t="n">
        <f aca="false" ca="false" dt2D="false" dtr="false" t="normal">+B638+1</f>
        <v>157</v>
      </c>
      <c r="C639" s="104" t="s">
        <v>111</v>
      </c>
      <c r="D639" s="117" t="s">
        <v>364</v>
      </c>
      <c r="E639" s="113" t="n">
        <f aca="false" ca="true" dt2D="false" dtr="false" t="normal">SUBTOTAL(9, F639:T639)</f>
        <v>9358068.65</v>
      </c>
      <c r="F639" s="106" t="n">
        <v>4525107.23</v>
      </c>
      <c r="G639" s="114" t="n">
        <v>2796445.91</v>
      </c>
      <c r="H639" s="114" t="n">
        <v>892459.39</v>
      </c>
      <c r="I639" s="114" t="n">
        <v>1144056.12</v>
      </c>
      <c r="J639" s="114" t="n"/>
      <c r="K639" s="114" t="n"/>
      <c r="L639" s="106" t="n"/>
      <c r="M639" s="114" t="n">
        <v>0</v>
      </c>
      <c r="N639" s="114" t="n"/>
      <c r="O639" s="114" t="n">
        <v>0</v>
      </c>
      <c r="P639" s="114" t="n">
        <v>0</v>
      </c>
      <c r="Q639" s="114" t="n">
        <v>0</v>
      </c>
      <c r="R639" s="304" t="n"/>
      <c r="S639" s="304" t="n"/>
      <c r="T639" s="303" t="n"/>
    </row>
    <row customFormat="true" hidden="false" ht="15" outlineLevel="0" r="640" s="1">
      <c r="A640" s="116" t="n">
        <f aca="false" ca="false" dt2D="false" dtr="false" t="normal">+A639+1</f>
        <v>618</v>
      </c>
      <c r="B640" s="117" t="n">
        <f aca="false" ca="false" dt2D="false" dtr="false" t="normal">+B639+1</f>
        <v>158</v>
      </c>
      <c r="C640" s="104" t="s">
        <v>111</v>
      </c>
      <c r="D640" s="117" t="s">
        <v>624</v>
      </c>
      <c r="E640" s="113" t="n">
        <f aca="false" ca="true" dt2D="false" dtr="false" t="normal">SUBTOTAL(9, F640:T640)</f>
        <v>5687005.6</v>
      </c>
      <c r="F640" s="106" t="n">
        <v>0</v>
      </c>
      <c r="G640" s="114" t="n">
        <v>0</v>
      </c>
      <c r="H640" s="114" t="n">
        <v>0</v>
      </c>
      <c r="I640" s="114" t="n">
        <v>0</v>
      </c>
      <c r="J640" s="114" t="n">
        <v>0</v>
      </c>
      <c r="K640" s="114" t="n"/>
      <c r="L640" s="106" t="n"/>
      <c r="M640" s="114" t="n">
        <v>0</v>
      </c>
      <c r="N640" s="114" t="n">
        <v>0</v>
      </c>
      <c r="O640" s="114" t="n">
        <v>0</v>
      </c>
      <c r="P640" s="114" t="n">
        <v>0</v>
      </c>
      <c r="Q640" s="114" t="n">
        <v>5687005.6</v>
      </c>
      <c r="R640" s="114" t="n"/>
      <c r="S640" s="114" t="n"/>
      <c r="T640" s="303" t="n"/>
    </row>
    <row customFormat="true" hidden="false" ht="15" outlineLevel="0" r="641" s="1">
      <c r="A641" s="116" t="n">
        <f aca="false" ca="false" dt2D="false" dtr="false" t="normal">+A640+1</f>
        <v>619</v>
      </c>
      <c r="B641" s="117" t="n">
        <f aca="false" ca="false" dt2D="false" dtr="false" t="normal">+B640+1</f>
        <v>159</v>
      </c>
      <c r="C641" s="104" t="s">
        <v>111</v>
      </c>
      <c r="D641" s="117" t="s">
        <v>625</v>
      </c>
      <c r="E641" s="113" t="n">
        <f aca="false" ca="true" dt2D="false" dtr="false" t="normal">SUBTOTAL(9, F641:T641)</f>
        <v>25257638.63</v>
      </c>
      <c r="F641" s="106" t="n"/>
      <c r="G641" s="114" t="n"/>
      <c r="H641" s="114" t="n"/>
      <c r="I641" s="114" t="n"/>
      <c r="J641" s="114" t="n"/>
      <c r="K641" s="114" t="n"/>
      <c r="L641" s="106" t="n"/>
      <c r="M641" s="114" t="n"/>
      <c r="N641" s="114" t="n"/>
      <c r="O641" s="114" t="n">
        <v>0</v>
      </c>
      <c r="P641" s="114" t="n">
        <v>25257638.63</v>
      </c>
      <c r="Q641" s="114" t="n"/>
      <c r="R641" s="114" t="n"/>
      <c r="S641" s="114" t="n"/>
      <c r="T641" s="303" t="n"/>
    </row>
    <row customFormat="true" hidden="false" ht="15" outlineLevel="0" r="642" s="1">
      <c r="A642" s="116" t="n">
        <f aca="false" ca="false" dt2D="false" dtr="false" t="normal">+A641+1</f>
        <v>620</v>
      </c>
      <c r="B642" s="117" t="n">
        <f aca="false" ca="false" dt2D="false" dtr="false" t="normal">+B641+1</f>
        <v>160</v>
      </c>
      <c r="C642" s="104" t="s">
        <v>111</v>
      </c>
      <c r="D642" s="117" t="s">
        <v>166</v>
      </c>
      <c r="E642" s="113" t="n">
        <f aca="false" ca="true" dt2D="false" dtr="false" t="normal">SUBTOTAL(9, F642:T642)</f>
        <v>2808781.84</v>
      </c>
      <c r="F642" s="106" t="n"/>
      <c r="G642" s="114" t="n"/>
      <c r="H642" s="114" t="n"/>
      <c r="I642" s="114" t="n">
        <v>2808781.84</v>
      </c>
      <c r="J642" s="114" t="n"/>
      <c r="K642" s="114" t="n"/>
      <c r="L642" s="106" t="n"/>
      <c r="M642" s="114" t="n">
        <v>0</v>
      </c>
      <c r="N642" s="114" t="n">
        <v>0</v>
      </c>
      <c r="O642" s="114" t="n">
        <v>0</v>
      </c>
      <c r="P642" s="114" t="n">
        <v>0</v>
      </c>
      <c r="Q642" s="114" t="n">
        <v>0</v>
      </c>
      <c r="R642" s="114" t="n"/>
      <c r="S642" s="114" t="n"/>
      <c r="T642" s="303" t="n"/>
    </row>
    <row customFormat="true" hidden="false" ht="15" outlineLevel="0" r="643" s="1">
      <c r="A643" s="116" t="n">
        <f aca="false" ca="false" dt2D="false" dtr="false" t="normal">+A642+1</f>
        <v>621</v>
      </c>
      <c r="B643" s="117" t="n">
        <f aca="false" ca="false" dt2D="false" dtr="false" t="normal">+B642+1</f>
        <v>161</v>
      </c>
      <c r="C643" s="104" t="s">
        <v>111</v>
      </c>
      <c r="D643" s="117" t="s">
        <v>483</v>
      </c>
      <c r="E643" s="113" t="n">
        <f aca="false" ca="true" dt2D="false" dtr="false" t="normal">SUBTOTAL(9, F643:T643)</f>
        <v>43526357.93</v>
      </c>
      <c r="F643" s="106" t="n">
        <v>9534404.98</v>
      </c>
      <c r="G643" s="114" t="n">
        <v>5463949.45</v>
      </c>
      <c r="H643" s="114" t="n"/>
      <c r="I643" s="114" t="n">
        <v>3729173.38</v>
      </c>
      <c r="J643" s="114" t="n">
        <v>2021918.21</v>
      </c>
      <c r="K643" s="114" t="n"/>
      <c r="L643" s="106" t="n"/>
      <c r="M643" s="114" t="n">
        <v>0</v>
      </c>
      <c r="N643" s="114" t="n">
        <v>7030569.53</v>
      </c>
      <c r="O643" s="114" t="n">
        <v>0</v>
      </c>
      <c r="P643" s="114" t="n">
        <v>14156807.72</v>
      </c>
      <c r="Q643" s="114" t="n">
        <v>1589534.66</v>
      </c>
      <c r="R643" s="304" t="n"/>
      <c r="S643" s="304" t="n"/>
      <c r="T643" s="303" t="n"/>
    </row>
    <row customFormat="true" hidden="false" ht="15" outlineLevel="0" r="644" s="1">
      <c r="A644" s="116" t="n">
        <f aca="false" ca="false" dt2D="false" dtr="false" t="normal">+A643+1</f>
        <v>622</v>
      </c>
      <c r="B644" s="117" t="n">
        <f aca="false" ca="false" dt2D="false" dtr="false" t="normal">+B643+1</f>
        <v>162</v>
      </c>
      <c r="C644" s="104" t="s">
        <v>111</v>
      </c>
      <c r="D644" s="117" t="s">
        <v>368</v>
      </c>
      <c r="E644" s="113" t="n">
        <f aca="false" ca="true" dt2D="false" dtr="false" t="normal">SUBTOTAL(9, F644:T644)</f>
        <v>15728882.73</v>
      </c>
      <c r="F644" s="106" t="n"/>
      <c r="G644" s="114" t="n">
        <v>764794.96</v>
      </c>
      <c r="H644" s="114" t="n">
        <v>582033.92</v>
      </c>
      <c r="I644" s="114" t="n">
        <v>1294043.96</v>
      </c>
      <c r="J644" s="114" t="n"/>
      <c r="K644" s="114" t="n"/>
      <c r="L644" s="106" t="n"/>
      <c r="M644" s="114" t="n">
        <v>0</v>
      </c>
      <c r="N644" s="114" t="n"/>
      <c r="O644" s="114" t="n">
        <v>0</v>
      </c>
      <c r="P644" s="114" t="n">
        <v>9128488.75</v>
      </c>
      <c r="Q644" s="114" t="n">
        <v>3959521.14</v>
      </c>
      <c r="R644" s="304" t="n"/>
      <c r="S644" s="304" t="n"/>
      <c r="T644" s="303" t="n"/>
    </row>
    <row customFormat="true" hidden="false" ht="15" outlineLevel="0" r="645" s="1">
      <c r="A645" s="116" t="n">
        <f aca="false" ca="false" dt2D="false" dtr="false" t="normal">+A644+1</f>
        <v>623</v>
      </c>
      <c r="B645" s="117" t="n">
        <f aca="false" ca="false" dt2D="false" dtr="false" t="normal">+B644+1</f>
        <v>163</v>
      </c>
      <c r="C645" s="104" t="s">
        <v>111</v>
      </c>
      <c r="D645" s="117" t="s">
        <v>167</v>
      </c>
      <c r="E645" s="113" t="n">
        <f aca="false" ca="true" dt2D="false" dtr="false" t="normal">SUBTOTAL(9, F645:T645)</f>
        <v>3439535.99</v>
      </c>
      <c r="F645" s="106" t="n">
        <v>3439535.99</v>
      </c>
      <c r="G645" s="114" t="n"/>
      <c r="H645" s="114" t="n"/>
      <c r="I645" s="114" t="n"/>
      <c r="J645" s="114" t="n"/>
      <c r="K645" s="114" t="n"/>
      <c r="L645" s="106" t="n"/>
      <c r="M645" s="114" t="n">
        <v>0</v>
      </c>
      <c r="N645" s="114" t="n"/>
      <c r="O645" s="114" t="n">
        <v>0</v>
      </c>
      <c r="P645" s="114" t="n">
        <v>0</v>
      </c>
      <c r="Q645" s="114" t="n">
        <v>0</v>
      </c>
      <c r="R645" s="304" t="n"/>
      <c r="S645" s="304" t="n"/>
      <c r="T645" s="303" t="n"/>
    </row>
    <row customFormat="true" hidden="false" ht="15" outlineLevel="0" r="646" s="1">
      <c r="A646" s="116" t="n">
        <f aca="false" ca="false" dt2D="false" dtr="false" t="normal">+A645+1</f>
        <v>624</v>
      </c>
      <c r="B646" s="117" t="n">
        <f aca="false" ca="false" dt2D="false" dtr="false" t="normal">+B645+1</f>
        <v>164</v>
      </c>
      <c r="C646" s="104" t="s">
        <v>111</v>
      </c>
      <c r="D646" s="117" t="s">
        <v>366</v>
      </c>
      <c r="E646" s="113" t="n">
        <f aca="false" ca="true" dt2D="false" dtr="false" t="normal">SUBTOTAL(9, F646:T646)</f>
        <v>23797576.1</v>
      </c>
      <c r="F646" s="106" t="n">
        <v>5423838.19</v>
      </c>
      <c r="G646" s="114" t="n"/>
      <c r="H646" s="114" t="n"/>
      <c r="I646" s="114" t="n"/>
      <c r="J646" s="114" t="n"/>
      <c r="K646" s="114" t="n"/>
      <c r="L646" s="106" t="n"/>
      <c r="M646" s="114" t="n"/>
      <c r="N646" s="114" t="n"/>
      <c r="O646" s="114" t="n"/>
      <c r="P646" s="114" t="n">
        <v>13577425.68</v>
      </c>
      <c r="Q646" s="114" t="n">
        <v>4796312.23</v>
      </c>
      <c r="R646" s="114" t="n"/>
      <c r="S646" s="114" t="n"/>
      <c r="T646" s="303" t="n"/>
    </row>
    <row customFormat="true" hidden="false" ht="15" outlineLevel="0" r="647" s="1">
      <c r="A647" s="116" t="n">
        <f aca="false" ca="false" dt2D="false" dtr="false" t="normal">+A646+1</f>
        <v>625</v>
      </c>
      <c r="B647" s="117" t="n">
        <f aca="false" ca="false" dt2D="false" dtr="false" t="normal">+B646+1</f>
        <v>165</v>
      </c>
      <c r="C647" s="104" t="s">
        <v>111</v>
      </c>
      <c r="D647" s="117" t="s">
        <v>626</v>
      </c>
      <c r="E647" s="113" t="n">
        <f aca="false" ca="true" dt2D="false" dtr="false" t="normal">SUBTOTAL(9, F647:T647)</f>
        <v>5002408.79</v>
      </c>
      <c r="F647" s="106" t="n">
        <v>5002408.79</v>
      </c>
      <c r="G647" s="114" t="n">
        <v>0</v>
      </c>
      <c r="H647" s="114" t="n">
        <v>0</v>
      </c>
      <c r="I647" s="114" t="n">
        <v>0</v>
      </c>
      <c r="J647" s="114" t="n"/>
      <c r="K647" s="114" t="n"/>
      <c r="L647" s="106" t="n"/>
      <c r="M647" s="114" t="n">
        <v>0</v>
      </c>
      <c r="N647" s="114" t="n">
        <v>0</v>
      </c>
      <c r="O647" s="114" t="n">
        <v>0</v>
      </c>
      <c r="P647" s="114" t="n">
        <v>0</v>
      </c>
      <c r="Q647" s="114" t="n">
        <v>0</v>
      </c>
      <c r="R647" s="304" t="n"/>
      <c r="S647" s="304" t="n"/>
      <c r="T647" s="303" t="n"/>
    </row>
    <row customFormat="true" hidden="false" ht="15" outlineLevel="0" r="648" s="1">
      <c r="A648" s="116" t="n">
        <f aca="false" ca="false" dt2D="false" dtr="false" t="normal">+A647+1</f>
        <v>626</v>
      </c>
      <c r="B648" s="117" t="n">
        <f aca="false" ca="false" dt2D="false" dtr="false" t="normal">+B647+1</f>
        <v>166</v>
      </c>
      <c r="C648" s="104" t="s">
        <v>111</v>
      </c>
      <c r="D648" s="117" t="s">
        <v>627</v>
      </c>
      <c r="E648" s="113" t="n">
        <f aca="false" ca="true" dt2D="false" dtr="false" t="normal">SUBTOTAL(9, F648:T648)</f>
        <v>6493512.77</v>
      </c>
      <c r="F648" s="106" t="n">
        <v>6493512.77</v>
      </c>
      <c r="G648" s="114" t="n">
        <v>0</v>
      </c>
      <c r="H648" s="114" t="n">
        <v>0</v>
      </c>
      <c r="I648" s="114" t="n">
        <v>0</v>
      </c>
      <c r="J648" s="114" t="n"/>
      <c r="K648" s="114" t="n"/>
      <c r="L648" s="106" t="n"/>
      <c r="M648" s="114" t="n">
        <v>0</v>
      </c>
      <c r="N648" s="114" t="n">
        <v>0</v>
      </c>
      <c r="O648" s="114" t="n">
        <v>0</v>
      </c>
      <c r="P648" s="114" t="n">
        <v>0</v>
      </c>
      <c r="Q648" s="114" t="n">
        <v>0</v>
      </c>
      <c r="R648" s="304" t="n"/>
      <c r="S648" s="304" t="n"/>
      <c r="T648" s="303" t="n"/>
    </row>
    <row customFormat="true" hidden="false" ht="15" outlineLevel="0" r="649" s="1">
      <c r="A649" s="116" t="n">
        <f aca="false" ca="false" dt2D="false" dtr="false" t="normal">+A648+1</f>
        <v>627</v>
      </c>
      <c r="B649" s="117" t="n">
        <f aca="false" ca="false" dt2D="false" dtr="false" t="normal">+B648+1</f>
        <v>167</v>
      </c>
      <c r="C649" s="104" t="s">
        <v>111</v>
      </c>
      <c r="D649" s="117" t="s">
        <v>168</v>
      </c>
      <c r="E649" s="113" t="n">
        <f aca="false" ca="true" dt2D="false" dtr="false" t="normal">SUBTOTAL(9, F649:T649)</f>
        <v>20658989.54</v>
      </c>
      <c r="F649" s="106" t="n"/>
      <c r="G649" s="114" t="n">
        <v>2813313.39</v>
      </c>
      <c r="H649" s="114" t="n"/>
      <c r="I649" s="114" t="n">
        <v>1803922.55</v>
      </c>
      <c r="J649" s="114" t="n"/>
      <c r="K649" s="114" t="n"/>
      <c r="L649" s="106" t="n"/>
      <c r="M649" s="114" t="n">
        <v>0</v>
      </c>
      <c r="N649" s="114" t="n"/>
      <c r="O649" s="114" t="n">
        <v>0</v>
      </c>
      <c r="P649" s="114" t="n">
        <v>16041753.6</v>
      </c>
      <c r="Q649" s="114" t="n"/>
      <c r="R649" s="304" t="n"/>
      <c r="S649" s="304" t="n"/>
      <c r="T649" s="303" t="n"/>
    </row>
    <row customFormat="true" hidden="false" ht="15" outlineLevel="0" r="650" s="1">
      <c r="A650" s="116" t="n">
        <f aca="false" ca="false" dt2D="false" dtr="false" t="normal">+A649+1</f>
        <v>628</v>
      </c>
      <c r="B650" s="117" t="n">
        <f aca="false" ca="false" dt2D="false" dtr="false" t="normal">+B649+1</f>
        <v>168</v>
      </c>
      <c r="C650" s="104" t="s">
        <v>111</v>
      </c>
      <c r="D650" s="117" t="s">
        <v>628</v>
      </c>
      <c r="E650" s="113" t="n">
        <f aca="false" ca="true" dt2D="false" dtr="false" t="normal">SUBTOTAL(9, F650:T650)</f>
        <v>1356649.13</v>
      </c>
      <c r="F650" s="106" t="n">
        <v>0</v>
      </c>
      <c r="G650" s="114" t="n">
        <v>0</v>
      </c>
      <c r="H650" s="114" t="n">
        <v>0</v>
      </c>
      <c r="I650" s="114" t="n">
        <v>0</v>
      </c>
      <c r="J650" s="114" t="n">
        <v>1356649.13</v>
      </c>
      <c r="K650" s="114" t="n"/>
      <c r="L650" s="106" t="n"/>
      <c r="M650" s="114" t="n">
        <v>0</v>
      </c>
      <c r="N650" s="114" t="n">
        <v>0</v>
      </c>
      <c r="O650" s="114" t="n">
        <v>0</v>
      </c>
      <c r="P650" s="114" t="n">
        <v>0</v>
      </c>
      <c r="Q650" s="114" t="n"/>
      <c r="R650" s="114" t="n"/>
      <c r="S650" s="114" t="n"/>
      <c r="T650" s="303" t="n"/>
      <c r="U650" s="0" t="n"/>
      <c r="V650" s="0" t="n"/>
      <c r="W650" s="0" t="n"/>
      <c r="X650" s="0" t="n"/>
      <c r="Y650" s="0" t="n"/>
      <c r="Z650" s="0" t="n"/>
      <c r="AA650" s="0" t="n"/>
      <c r="AB650" s="0" t="n"/>
      <c r="AC650" s="0" t="n"/>
      <c r="AD650" s="0" t="n"/>
      <c r="AE650" s="0" t="n"/>
      <c r="AF650" s="0" t="n"/>
      <c r="AG650" s="0" t="n"/>
      <c r="AH650" s="0" t="n"/>
      <c r="AI650" s="0" t="n"/>
      <c r="AJ650" s="0" t="n"/>
      <c r="AK650" s="0" t="n"/>
      <c r="AL650" s="0" t="n"/>
      <c r="AM650" s="0" t="n"/>
      <c r="AN650" s="0" t="n"/>
      <c r="AO650" s="0" t="n"/>
      <c r="AP650" s="0" t="n"/>
      <c r="AQ650" s="0" t="n"/>
      <c r="AR650" s="0" t="n"/>
      <c r="AS650" s="0" t="n"/>
      <c r="AT650" s="0" t="n"/>
      <c r="AU650" s="0" t="n"/>
      <c r="AV650" s="0" t="n"/>
      <c r="AW650" s="0" t="n"/>
      <c r="AX650" s="0" t="n"/>
      <c r="AY650" s="0" t="n"/>
      <c r="AZ650" s="0" t="n"/>
      <c r="BA650" s="0" t="n"/>
      <c r="BB650" s="0" t="n"/>
      <c r="BC650" s="0" t="n"/>
      <c r="BD650" s="0" t="n"/>
      <c r="BE650" s="0" t="n"/>
      <c r="BF650" s="0" t="n"/>
      <c r="BG650" s="0" t="n"/>
      <c r="BH650" s="0" t="n"/>
      <c r="BI650" s="0" t="n"/>
      <c r="BJ650" s="0" t="n"/>
      <c r="BK650" s="0" t="n"/>
      <c r="BL650" s="0" t="n"/>
      <c r="BM650" s="0" t="n"/>
      <c r="BN650" s="0" t="n"/>
      <c r="BO650" s="0" t="n"/>
      <c r="BP650" s="0" t="n"/>
    </row>
    <row customFormat="true" hidden="false" ht="15" outlineLevel="0" r="651" s="1">
      <c r="A651" s="116" t="n">
        <f aca="false" ca="false" dt2D="false" dtr="false" t="normal">+A650+1</f>
        <v>629</v>
      </c>
      <c r="B651" s="117" t="n">
        <f aca="false" ca="false" dt2D="false" dtr="false" t="normal">+B650+1</f>
        <v>169</v>
      </c>
      <c r="C651" s="104" t="s">
        <v>111</v>
      </c>
      <c r="D651" s="117" t="s">
        <v>371</v>
      </c>
      <c r="E651" s="113" t="n">
        <f aca="false" ca="true" dt2D="false" dtr="false" t="normal">SUBTOTAL(9, F651:T651)</f>
        <v>10852758.63</v>
      </c>
      <c r="F651" s="106" t="n">
        <v>0</v>
      </c>
      <c r="G651" s="114" t="n">
        <v>0</v>
      </c>
      <c r="H651" s="114" t="n">
        <v>0</v>
      </c>
      <c r="I651" s="114" t="n">
        <v>0</v>
      </c>
      <c r="J651" s="114" t="n"/>
      <c r="K651" s="114" t="n"/>
      <c r="L651" s="106" t="n"/>
      <c r="M651" s="114" t="n">
        <v>0</v>
      </c>
      <c r="N651" s="114" t="n">
        <v>0</v>
      </c>
      <c r="O651" s="114" t="n">
        <v>0</v>
      </c>
      <c r="P651" s="114" t="n">
        <v>0</v>
      </c>
      <c r="Q651" s="114" t="n">
        <v>10852758.63</v>
      </c>
      <c r="R651" s="114" t="n"/>
      <c r="S651" s="114" t="n"/>
      <c r="T651" s="303" t="n"/>
    </row>
    <row customFormat="true" hidden="false" ht="15" outlineLevel="0" r="652" s="1">
      <c r="A652" s="116" t="n">
        <f aca="false" ca="false" dt2D="false" dtr="false" t="normal">+A651+1</f>
        <v>630</v>
      </c>
      <c r="B652" s="117" t="n">
        <f aca="false" ca="false" dt2D="false" dtr="false" t="normal">+B651+1</f>
        <v>170</v>
      </c>
      <c r="C652" s="104" t="s">
        <v>111</v>
      </c>
      <c r="D652" s="117" t="s">
        <v>630</v>
      </c>
      <c r="E652" s="113" t="n">
        <f aca="false" ca="true" dt2D="false" dtr="false" t="normal">SUBTOTAL(9, F652:T652)</f>
        <v>12838297.58</v>
      </c>
      <c r="F652" s="106" t="n">
        <v>0</v>
      </c>
      <c r="G652" s="114" t="n">
        <v>0</v>
      </c>
      <c r="H652" s="114" t="n">
        <v>0</v>
      </c>
      <c r="I652" s="114" t="n">
        <v>0</v>
      </c>
      <c r="J652" s="114" t="n">
        <v>0</v>
      </c>
      <c r="K652" s="114" t="n"/>
      <c r="L652" s="106" t="n"/>
      <c r="M652" s="114" t="n">
        <v>0</v>
      </c>
      <c r="N652" s="114" t="n">
        <v>0</v>
      </c>
      <c r="O652" s="114" t="n">
        <v>0</v>
      </c>
      <c r="P652" s="114" t="n">
        <v>12838297.58</v>
      </c>
      <c r="Q652" s="114" t="n">
        <v>0</v>
      </c>
      <c r="R652" s="304" t="n"/>
      <c r="S652" s="304" t="n"/>
      <c r="T652" s="303" t="n"/>
    </row>
    <row customFormat="true" hidden="false" ht="15" outlineLevel="0" r="653" s="1">
      <c r="A653" s="116" t="n">
        <f aca="false" ca="false" dt2D="false" dtr="false" t="normal">+A652+1</f>
        <v>631</v>
      </c>
      <c r="B653" s="117" t="n">
        <f aca="false" ca="false" dt2D="false" dtr="false" t="normal">+B652+1</f>
        <v>171</v>
      </c>
      <c r="C653" s="104" t="s">
        <v>111</v>
      </c>
      <c r="D653" s="117" t="s">
        <v>376</v>
      </c>
      <c r="E653" s="113" t="n">
        <f aca="false" ca="true" dt2D="false" dtr="false" t="normal">SUBTOTAL(9, F653:T653)</f>
        <v>30571568.12</v>
      </c>
      <c r="F653" s="106" t="n">
        <v>16034044.15</v>
      </c>
      <c r="G653" s="114" t="n">
        <v>5691851.84</v>
      </c>
      <c r="H653" s="114" t="n"/>
      <c r="I653" s="114" t="n">
        <v>6518414.93</v>
      </c>
      <c r="J653" s="114" t="n">
        <v>2327257.2</v>
      </c>
      <c r="K653" s="114" t="n"/>
      <c r="L653" s="106" t="n"/>
      <c r="M653" s="114" t="n"/>
      <c r="N653" s="114" t="n"/>
      <c r="O653" s="114" t="n"/>
      <c r="P653" s="114" t="n"/>
      <c r="Q653" s="114" t="n"/>
      <c r="R653" s="114" t="n"/>
      <c r="S653" s="114" t="n"/>
      <c r="T653" s="303" t="n"/>
    </row>
    <row customFormat="true" hidden="false" ht="15" outlineLevel="0" r="654" s="1">
      <c r="A654" s="116" t="n">
        <f aca="false" ca="false" dt2D="false" dtr="false" t="normal">+A653+1</f>
        <v>632</v>
      </c>
      <c r="B654" s="117" t="n">
        <f aca="false" ca="false" dt2D="false" dtr="false" t="normal">+B653+1</f>
        <v>172</v>
      </c>
      <c r="C654" s="104" t="s">
        <v>111</v>
      </c>
      <c r="D654" s="117" t="s">
        <v>179</v>
      </c>
      <c r="E654" s="113" t="n">
        <f aca="false" ca="true" dt2D="false" dtr="false" t="normal">SUBTOTAL(9, F654:T654)</f>
        <v>13267683.44</v>
      </c>
      <c r="F654" s="106" t="n">
        <v>6939356.64</v>
      </c>
      <c r="G654" s="114" t="n">
        <v>0</v>
      </c>
      <c r="H654" s="114" t="n">
        <v>0</v>
      </c>
      <c r="I654" s="114" t="n">
        <v>0</v>
      </c>
      <c r="J654" s="114" t="n">
        <v>586245.68</v>
      </c>
      <c r="K654" s="114" t="n"/>
      <c r="L654" s="106" t="n"/>
      <c r="M654" s="114" t="n">
        <v>0</v>
      </c>
      <c r="N654" s="114" t="n"/>
      <c r="O654" s="114" t="n">
        <v>0</v>
      </c>
      <c r="P654" s="114" t="n">
        <v>0</v>
      </c>
      <c r="Q654" s="114" t="n">
        <v>5742081.12</v>
      </c>
      <c r="R654" s="114" t="n"/>
      <c r="S654" s="114" t="n"/>
      <c r="T654" s="303" t="n"/>
      <c r="U654" s="0" t="n"/>
      <c r="V654" s="0" t="n"/>
      <c r="W654" s="0" t="n"/>
      <c r="X654" s="0" t="n"/>
      <c r="Y654" s="0" t="n"/>
      <c r="Z654" s="0" t="n"/>
      <c r="AA654" s="0" t="n"/>
      <c r="AB654" s="0" t="n"/>
      <c r="AC654" s="0" t="n"/>
      <c r="AD654" s="0" t="n"/>
      <c r="AE654" s="0" t="n"/>
      <c r="AF654" s="0" t="n"/>
      <c r="AG654" s="0" t="n"/>
      <c r="AH654" s="0" t="n"/>
      <c r="AI654" s="0" t="n"/>
      <c r="AJ654" s="0" t="n"/>
      <c r="AK654" s="0" t="n"/>
      <c r="AL654" s="0" t="n"/>
      <c r="AM654" s="0" t="n"/>
      <c r="AN654" s="0" t="n"/>
      <c r="AO654" s="0" t="n"/>
      <c r="AP654" s="0" t="n"/>
      <c r="AQ654" s="0" t="n"/>
      <c r="AR654" s="0" t="n"/>
      <c r="AS654" s="0" t="n"/>
      <c r="AT654" s="0" t="n"/>
      <c r="AU654" s="0" t="n"/>
      <c r="AV654" s="0" t="n"/>
      <c r="AW654" s="0" t="n"/>
      <c r="AX654" s="0" t="n"/>
      <c r="AY654" s="0" t="n"/>
      <c r="AZ654" s="0" t="n"/>
      <c r="BA654" s="0" t="n"/>
      <c r="BB654" s="0" t="n"/>
      <c r="BC654" s="0" t="n"/>
      <c r="BD654" s="0" t="n"/>
      <c r="BE654" s="0" t="n"/>
      <c r="BF654" s="0" t="n"/>
      <c r="BG654" s="0" t="n"/>
      <c r="BH654" s="0" t="n"/>
      <c r="BI654" s="0" t="n"/>
      <c r="BJ654" s="0" t="n"/>
      <c r="BK654" s="0" t="n"/>
      <c r="BL654" s="0" t="n"/>
      <c r="BM654" s="0" t="n"/>
      <c r="BN654" s="0" t="n"/>
      <c r="BO654" s="0" t="n"/>
      <c r="BP654" s="0" t="n"/>
    </row>
    <row customFormat="true" hidden="false" ht="15" outlineLevel="0" r="655" s="1">
      <c r="A655" s="116" t="n">
        <f aca="false" ca="false" dt2D="false" dtr="false" t="normal">+A654+1</f>
        <v>633</v>
      </c>
      <c r="B655" s="117" t="n">
        <f aca="false" ca="false" dt2D="false" dtr="false" t="normal">+B654+1</f>
        <v>173</v>
      </c>
      <c r="C655" s="104" t="s">
        <v>111</v>
      </c>
      <c r="D655" s="117" t="s">
        <v>180</v>
      </c>
      <c r="E655" s="113" t="n">
        <f aca="false" ca="true" dt2D="false" dtr="false" t="normal">SUBTOTAL(9, F655:T655)</f>
        <v>1166577.07</v>
      </c>
      <c r="F655" s="106" t="n"/>
      <c r="G655" s="114" t="n">
        <v>0</v>
      </c>
      <c r="H655" s="114" t="n">
        <v>0</v>
      </c>
      <c r="I655" s="114" t="n">
        <v>0</v>
      </c>
      <c r="J655" s="114" t="n">
        <v>1166577.07</v>
      </c>
      <c r="K655" s="114" t="n"/>
      <c r="L655" s="106" t="n"/>
      <c r="M655" s="114" t="n">
        <v>0</v>
      </c>
      <c r="N655" s="114" t="n">
        <v>0</v>
      </c>
      <c r="O655" s="114" t="n">
        <v>0</v>
      </c>
      <c r="P655" s="114" t="n">
        <v>0</v>
      </c>
      <c r="Q655" s="114" t="n">
        <v>0</v>
      </c>
      <c r="R655" s="304" t="n"/>
      <c r="S655" s="304" t="n"/>
      <c r="T655" s="303" t="n"/>
    </row>
    <row customFormat="true" hidden="false" ht="15" outlineLevel="0" r="656" s="1">
      <c r="A656" s="116" t="n">
        <f aca="false" ca="false" dt2D="false" dtr="false" t="normal">+A655+1</f>
        <v>634</v>
      </c>
      <c r="B656" s="117" t="n">
        <f aca="false" ca="false" dt2D="false" dtr="false" t="normal">+B655+1</f>
        <v>174</v>
      </c>
      <c r="C656" s="104" t="s">
        <v>111</v>
      </c>
      <c r="D656" s="117" t="s">
        <v>631</v>
      </c>
      <c r="E656" s="113" t="n">
        <f aca="false" ca="true" dt2D="false" dtr="false" t="normal">SUBTOTAL(9, F656:T656)</f>
        <v>2230881.52</v>
      </c>
      <c r="F656" s="106" t="n">
        <v>0</v>
      </c>
      <c r="G656" s="114" t="n">
        <v>2230881.52</v>
      </c>
      <c r="H656" s="114" t="n">
        <v>0</v>
      </c>
      <c r="I656" s="114" t="n">
        <v>0</v>
      </c>
      <c r="J656" s="114" t="n"/>
      <c r="K656" s="114" t="n"/>
      <c r="L656" s="106" t="n"/>
      <c r="M656" s="114" t="n">
        <v>0</v>
      </c>
      <c r="N656" s="114" t="n">
        <v>0</v>
      </c>
      <c r="O656" s="114" t="n">
        <v>0</v>
      </c>
      <c r="P656" s="114" t="n">
        <v>0</v>
      </c>
      <c r="Q656" s="114" t="n">
        <v>0</v>
      </c>
      <c r="R656" s="304" t="n"/>
      <c r="S656" s="304" t="n"/>
      <c r="T656" s="303" t="n"/>
    </row>
    <row customFormat="true" hidden="false" ht="15" outlineLevel="0" r="657" s="1">
      <c r="A657" s="116" t="n">
        <f aca="false" ca="false" dt2D="false" dtr="false" t="normal">+A656+1</f>
        <v>635</v>
      </c>
      <c r="B657" s="117" t="n">
        <f aca="false" ca="false" dt2D="false" dtr="false" t="normal">+B656+1</f>
        <v>175</v>
      </c>
      <c r="C657" s="104" t="s">
        <v>111</v>
      </c>
      <c r="D657" s="117" t="s">
        <v>632</v>
      </c>
      <c r="E657" s="113" t="n">
        <f aca="false" ca="true" dt2D="false" dtr="false" t="normal">SUBTOTAL(9, F657:T657)</f>
        <v>15672884.18</v>
      </c>
      <c r="F657" s="106" t="n">
        <v>0</v>
      </c>
      <c r="G657" s="114" t="n">
        <v>0</v>
      </c>
      <c r="H657" s="114" t="n">
        <v>0</v>
      </c>
      <c r="I657" s="114" t="n">
        <v>0</v>
      </c>
      <c r="J657" s="114" t="n">
        <v>0</v>
      </c>
      <c r="K657" s="114" t="n"/>
      <c r="L657" s="106" t="n"/>
      <c r="M657" s="114" t="n">
        <v>0</v>
      </c>
      <c r="N657" s="114" t="n">
        <v>0</v>
      </c>
      <c r="O657" s="114" t="n">
        <v>0</v>
      </c>
      <c r="P657" s="114" t="n">
        <v>0</v>
      </c>
      <c r="Q657" s="114" t="n">
        <v>15672884.18</v>
      </c>
      <c r="R657" s="114" t="n"/>
      <c r="S657" s="114" t="n"/>
      <c r="T657" s="303" t="n"/>
      <c r="U657" s="0" t="n"/>
      <c r="V657" s="0" t="n"/>
      <c r="W657" s="0" t="n"/>
      <c r="X657" s="0" t="n"/>
      <c r="Y657" s="0" t="n"/>
      <c r="Z657" s="0" t="n"/>
      <c r="AA657" s="0" t="n"/>
      <c r="AB657" s="0" t="n"/>
      <c r="AC657" s="0" t="n"/>
      <c r="AD657" s="0" t="n"/>
      <c r="AE657" s="0" t="n"/>
      <c r="AF657" s="0" t="n"/>
      <c r="AG657" s="0" t="n"/>
      <c r="AH657" s="0" t="n"/>
      <c r="AI657" s="0" t="n"/>
      <c r="AJ657" s="0" t="n"/>
      <c r="AK657" s="0" t="n"/>
      <c r="AL657" s="0" t="n"/>
      <c r="AM657" s="0" t="n"/>
      <c r="AN657" s="0" t="n"/>
      <c r="AO657" s="0" t="n"/>
      <c r="AP657" s="0" t="n"/>
      <c r="AQ657" s="0" t="n"/>
      <c r="AR657" s="0" t="n"/>
      <c r="AS657" s="0" t="n"/>
      <c r="AT657" s="0" t="n"/>
      <c r="AU657" s="0" t="n"/>
      <c r="AV657" s="0" t="n"/>
      <c r="AW657" s="0" t="n"/>
      <c r="AX657" s="0" t="n"/>
      <c r="AY657" s="0" t="n"/>
      <c r="AZ657" s="0" t="n"/>
      <c r="BA657" s="0" t="n"/>
      <c r="BB657" s="0" t="n"/>
      <c r="BC657" s="0" t="n"/>
      <c r="BD657" s="0" t="n"/>
      <c r="BE657" s="0" t="n"/>
      <c r="BF657" s="0" t="n"/>
      <c r="BG657" s="0" t="n"/>
      <c r="BH657" s="0" t="n"/>
      <c r="BI657" s="0" t="n"/>
      <c r="BJ657" s="0" t="n"/>
      <c r="BK657" s="0" t="n"/>
      <c r="BL657" s="0" t="n"/>
      <c r="BM657" s="0" t="n"/>
      <c r="BN657" s="0" t="n"/>
      <c r="BO657" s="0" t="n"/>
      <c r="BP657" s="0" t="n"/>
    </row>
    <row customFormat="true" hidden="false" ht="15" outlineLevel="0" r="658" s="1">
      <c r="A658" s="116" t="n">
        <f aca="false" ca="false" dt2D="false" dtr="false" t="normal">+A657+1</f>
        <v>636</v>
      </c>
      <c r="B658" s="117" t="n">
        <f aca="false" ca="false" dt2D="false" dtr="false" t="normal">+B657+1</f>
        <v>176</v>
      </c>
      <c r="C658" s="104" t="s">
        <v>111</v>
      </c>
      <c r="D658" s="117" t="s">
        <v>380</v>
      </c>
      <c r="E658" s="113" t="n">
        <f aca="false" ca="true" dt2D="false" dtr="false" t="normal">SUBTOTAL(9, F658:T658)</f>
        <v>2606967.97</v>
      </c>
      <c r="F658" s="106" t="n">
        <v>0</v>
      </c>
      <c r="G658" s="114" t="n">
        <v>0</v>
      </c>
      <c r="H658" s="114" t="n">
        <v>2606967.97</v>
      </c>
      <c r="I658" s="114" t="n">
        <v>0</v>
      </c>
      <c r="J658" s="114" t="n">
        <v>0</v>
      </c>
      <c r="K658" s="114" t="n"/>
      <c r="L658" s="106" t="n"/>
      <c r="M658" s="114" t="n">
        <v>0</v>
      </c>
      <c r="N658" s="114" t="n"/>
      <c r="O658" s="114" t="n">
        <v>0</v>
      </c>
      <c r="P658" s="114" t="n"/>
      <c r="Q658" s="114" t="n">
        <v>0</v>
      </c>
      <c r="R658" s="114" t="n"/>
      <c r="S658" s="114" t="n"/>
      <c r="T658" s="303" t="n"/>
      <c r="U658" s="0" t="n"/>
      <c r="V658" s="0" t="n"/>
      <c r="W658" s="0" t="n"/>
      <c r="X658" s="0" t="n"/>
      <c r="Y658" s="0" t="n"/>
      <c r="Z658" s="0" t="n"/>
      <c r="AA658" s="0" t="n"/>
      <c r="AB658" s="0" t="n"/>
      <c r="AC658" s="0" t="n"/>
      <c r="AD658" s="0" t="n"/>
      <c r="AE658" s="0" t="n"/>
      <c r="AF658" s="0" t="n"/>
      <c r="AG658" s="0" t="n"/>
      <c r="AH658" s="0" t="n"/>
      <c r="AI658" s="0" t="n"/>
      <c r="AJ658" s="0" t="n"/>
      <c r="AK658" s="0" t="n"/>
      <c r="AL658" s="0" t="n"/>
      <c r="AM658" s="0" t="n"/>
      <c r="AN658" s="0" t="n"/>
      <c r="AO658" s="0" t="n"/>
      <c r="AP658" s="0" t="n"/>
      <c r="AQ658" s="0" t="n"/>
      <c r="AR658" s="0" t="n"/>
      <c r="AS658" s="0" t="n"/>
      <c r="AT658" s="0" t="n"/>
      <c r="AU658" s="0" t="n"/>
      <c r="AV658" s="0" t="n"/>
      <c r="AW658" s="0" t="n"/>
      <c r="AX658" s="0" t="n"/>
      <c r="AY658" s="0" t="n"/>
      <c r="AZ658" s="0" t="n"/>
      <c r="BA658" s="0" t="n"/>
      <c r="BB658" s="0" t="n"/>
      <c r="BC658" s="0" t="n"/>
      <c r="BD658" s="0" t="n"/>
      <c r="BE658" s="0" t="n"/>
      <c r="BF658" s="0" t="n"/>
      <c r="BG658" s="0" t="n"/>
      <c r="BH658" s="0" t="n"/>
      <c r="BI658" s="0" t="n"/>
      <c r="BJ658" s="0" t="n"/>
      <c r="BK658" s="0" t="n"/>
      <c r="BL658" s="0" t="n"/>
      <c r="BM658" s="0" t="n"/>
      <c r="BN658" s="0" t="n"/>
      <c r="BO658" s="0" t="n"/>
      <c r="BP658" s="0" t="n"/>
    </row>
    <row customFormat="true" hidden="false" ht="15" outlineLevel="0" r="659" s="1">
      <c r="A659" s="116" t="n">
        <f aca="false" ca="false" dt2D="false" dtr="false" t="normal">+A658+1</f>
        <v>637</v>
      </c>
      <c r="B659" s="117" t="n">
        <f aca="false" ca="false" dt2D="false" dtr="false" t="normal">+B658+1</f>
        <v>177</v>
      </c>
      <c r="C659" s="104" t="s">
        <v>111</v>
      </c>
      <c r="D659" s="117" t="s">
        <v>633</v>
      </c>
      <c r="E659" s="113" t="n">
        <f aca="false" ca="true" dt2D="false" dtr="false" t="normal">SUBTOTAL(9, F659:T659)</f>
        <v>1690317.6</v>
      </c>
      <c r="F659" s="106" t="n"/>
      <c r="G659" s="114" t="n"/>
      <c r="H659" s="114" t="n"/>
      <c r="I659" s="114" t="n"/>
      <c r="J659" s="114" t="n">
        <v>1690317.6</v>
      </c>
      <c r="K659" s="114" t="n"/>
      <c r="L659" s="106" t="n"/>
      <c r="M659" s="114" t="n"/>
      <c r="N659" s="114" t="n"/>
      <c r="O659" s="114" t="n"/>
      <c r="P659" s="114" t="n"/>
      <c r="Q659" s="114" t="n"/>
      <c r="R659" s="304" t="n"/>
      <c r="S659" s="304" t="n"/>
      <c r="T659" s="303" t="n"/>
    </row>
    <row customFormat="true" hidden="false" ht="15" outlineLevel="0" r="660" s="1">
      <c r="A660" s="116" t="n">
        <f aca="false" ca="false" dt2D="false" dtr="false" t="normal">+A659+1</f>
        <v>638</v>
      </c>
      <c r="B660" s="117" t="n">
        <f aca="false" ca="false" dt2D="false" dtr="false" t="normal">+B659+1</f>
        <v>178</v>
      </c>
      <c r="C660" s="104" t="s">
        <v>111</v>
      </c>
      <c r="D660" s="117" t="s">
        <v>382</v>
      </c>
      <c r="E660" s="113" t="n">
        <f aca="false" ca="true" dt2D="false" dtr="false" t="normal">SUBTOTAL(9, F660:T660)</f>
        <v>986268</v>
      </c>
      <c r="F660" s="106" t="n"/>
      <c r="G660" s="114" t="n"/>
      <c r="H660" s="114" t="n"/>
      <c r="I660" s="114" t="n"/>
      <c r="J660" s="114" t="n">
        <v>986268</v>
      </c>
      <c r="K660" s="114" t="n"/>
      <c r="L660" s="106" t="n"/>
      <c r="M660" s="114" t="n">
        <v>0</v>
      </c>
      <c r="N660" s="114" t="n">
        <v>0</v>
      </c>
      <c r="O660" s="114" t="n">
        <v>0</v>
      </c>
      <c r="P660" s="114" t="n"/>
      <c r="Q660" s="114" t="n"/>
      <c r="R660" s="114" t="n"/>
      <c r="S660" s="114" t="n"/>
      <c r="T660" s="303" t="n"/>
    </row>
    <row customFormat="true" hidden="false" ht="15" outlineLevel="0" r="661" s="1">
      <c r="A661" s="116" t="n">
        <f aca="false" ca="false" dt2D="false" dtr="false" t="normal">+A660+1</f>
        <v>639</v>
      </c>
      <c r="B661" s="117" t="n">
        <f aca="false" ca="false" dt2D="false" dtr="false" t="normal">+B660+1</f>
        <v>179</v>
      </c>
      <c r="C661" s="104" t="s">
        <v>111</v>
      </c>
      <c r="D661" s="117" t="s">
        <v>383</v>
      </c>
      <c r="E661" s="113" t="n">
        <f aca="false" ca="true" dt2D="false" dtr="false" t="normal">SUBTOTAL(9, F661:T661)</f>
        <v>69639079.99</v>
      </c>
      <c r="F661" s="106" t="n">
        <v>14217900.13</v>
      </c>
      <c r="G661" s="114" t="n">
        <v>5818121.78</v>
      </c>
      <c r="H661" s="114" t="n">
        <v>6306393.86</v>
      </c>
      <c r="I661" s="114" t="n">
        <v>4285819.85</v>
      </c>
      <c r="J661" s="114" t="n">
        <v>2311917.12</v>
      </c>
      <c r="K661" s="114" t="n"/>
      <c r="L661" s="106" t="n"/>
      <c r="M661" s="114" t="n"/>
      <c r="N661" s="114" t="n"/>
      <c r="O661" s="114" t="n"/>
      <c r="P661" s="114" t="n">
        <v>36698927.25</v>
      </c>
      <c r="Q661" s="114" t="n"/>
      <c r="R661" s="304" t="n"/>
      <c r="S661" s="304" t="n"/>
      <c r="T661" s="303" t="n"/>
    </row>
    <row customFormat="true" hidden="false" ht="15" outlineLevel="0" r="662" s="1">
      <c r="A662" s="116" t="n">
        <f aca="false" ca="false" dt2D="false" dtr="false" t="normal">+A661+1</f>
        <v>640</v>
      </c>
      <c r="B662" s="117" t="n">
        <f aca="false" ca="false" dt2D="false" dtr="false" t="normal">+B661+1</f>
        <v>180</v>
      </c>
      <c r="C662" s="104" t="s">
        <v>111</v>
      </c>
      <c r="D662" s="117" t="s">
        <v>181</v>
      </c>
      <c r="E662" s="113" t="n">
        <f aca="false" ca="true" dt2D="false" dtr="false" t="normal">SUBTOTAL(9, F662:T662)</f>
        <v>23520618.790000003</v>
      </c>
      <c r="F662" s="106" t="n"/>
      <c r="G662" s="114" t="n">
        <v>1245773.46</v>
      </c>
      <c r="H662" s="114" t="n">
        <v>1202952.82</v>
      </c>
      <c r="I662" s="114" t="n"/>
      <c r="J662" s="114" t="n"/>
      <c r="K662" s="114" t="n"/>
      <c r="L662" s="106" t="n"/>
      <c r="M662" s="114" t="n"/>
      <c r="N662" s="114" t="n"/>
      <c r="O662" s="114" t="n">
        <v>0</v>
      </c>
      <c r="P662" s="114" t="n">
        <v>21061738.34</v>
      </c>
      <c r="Q662" s="114" t="n"/>
      <c r="R662" s="304" t="n"/>
      <c r="S662" s="304" t="n"/>
      <c r="T662" s="115" t="n">
        <v>10154.17</v>
      </c>
    </row>
    <row customFormat="true" hidden="false" ht="15" outlineLevel="0" r="663" s="1">
      <c r="A663" s="116" t="n">
        <f aca="false" ca="false" dt2D="false" dtr="false" t="normal">+A662+1</f>
        <v>641</v>
      </c>
      <c r="B663" s="117" t="n">
        <f aca="false" ca="false" dt2D="false" dtr="false" t="normal">+B662+1</f>
        <v>181</v>
      </c>
      <c r="C663" s="104" t="s">
        <v>111</v>
      </c>
      <c r="D663" s="117" t="s">
        <v>634</v>
      </c>
      <c r="E663" s="113" t="n">
        <f aca="false" ca="true" dt2D="false" dtr="false" t="normal">SUBTOTAL(9, F663:T663)</f>
        <v>1551166.55</v>
      </c>
      <c r="F663" s="106" t="n"/>
      <c r="G663" s="114" t="n"/>
      <c r="H663" s="114" t="n"/>
      <c r="I663" s="114" t="n"/>
      <c r="J663" s="114" t="n">
        <v>1551166.55</v>
      </c>
      <c r="K663" s="114" t="n"/>
      <c r="L663" s="106" t="n"/>
      <c r="M663" s="114" t="n"/>
      <c r="N663" s="114" t="n"/>
      <c r="O663" s="114" t="n"/>
      <c r="P663" s="114" t="n"/>
      <c r="Q663" s="114" t="n"/>
      <c r="R663" s="304" t="n"/>
      <c r="S663" s="304" t="n"/>
      <c r="T663" s="303" t="n"/>
    </row>
    <row customFormat="true" hidden="false" ht="15" outlineLevel="0" r="664" s="1">
      <c r="A664" s="116" t="n">
        <f aca="false" ca="false" dt2D="false" dtr="false" t="normal">+A663+1</f>
        <v>642</v>
      </c>
      <c r="B664" s="117" t="n">
        <f aca="false" ca="false" dt2D="false" dtr="false" t="normal">+B663+1</f>
        <v>182</v>
      </c>
      <c r="C664" s="104" t="s">
        <v>111</v>
      </c>
      <c r="D664" s="117" t="s">
        <v>635</v>
      </c>
      <c r="E664" s="113" t="n">
        <f aca="false" ca="true" dt2D="false" dtr="false" t="normal">SUBTOTAL(9, F664:T664)</f>
        <v>37130333.99</v>
      </c>
      <c r="F664" s="106" t="n">
        <v>7393681.94</v>
      </c>
      <c r="G664" s="114" t="n">
        <v>2143637.48</v>
      </c>
      <c r="H664" s="114" t="n">
        <v>2373820.83</v>
      </c>
      <c r="I664" s="114" t="n">
        <v>2716386.3</v>
      </c>
      <c r="J664" s="114" t="n">
        <v>1652698.1</v>
      </c>
      <c r="K664" s="114" t="n"/>
      <c r="L664" s="106" t="n"/>
      <c r="M664" s="114" t="n"/>
      <c r="N664" s="114" t="n">
        <v>17678518.94</v>
      </c>
      <c r="O664" s="114" t="n"/>
      <c r="P664" s="114" t="n"/>
      <c r="Q664" s="114" t="n">
        <v>3171590.4</v>
      </c>
      <c r="R664" s="304" t="n"/>
      <c r="S664" s="304" t="n"/>
      <c r="T664" s="303" t="n"/>
    </row>
    <row customFormat="true" hidden="false" ht="15" outlineLevel="0" r="665" s="1">
      <c r="A665" s="116" t="n">
        <f aca="false" ca="false" dt2D="false" dtr="false" t="normal">+A664+1</f>
        <v>643</v>
      </c>
      <c r="B665" s="117" t="n">
        <f aca="false" ca="false" dt2D="false" dtr="false" t="normal">+B664+1</f>
        <v>183</v>
      </c>
      <c r="C665" s="104" t="s">
        <v>111</v>
      </c>
      <c r="D665" s="117" t="s">
        <v>385</v>
      </c>
      <c r="E665" s="113" t="n">
        <f aca="false" ca="true" dt2D="false" dtr="false" t="normal">SUBTOTAL(9, F665:T665)</f>
        <v>29858646.029999997</v>
      </c>
      <c r="F665" s="106" t="n">
        <v>10498865.2</v>
      </c>
      <c r="G665" s="114" t="n">
        <v>4360075.2</v>
      </c>
      <c r="H665" s="114" t="n">
        <v>0</v>
      </c>
      <c r="I665" s="114" t="n">
        <v>3542622.25</v>
      </c>
      <c r="J665" s="114" t="n">
        <v>1398827.38</v>
      </c>
      <c r="K665" s="114" t="n"/>
      <c r="L665" s="106" t="n"/>
      <c r="M665" s="114" t="n">
        <v>0</v>
      </c>
      <c r="N665" s="114" t="n"/>
      <c r="O665" s="114" t="n">
        <v>0</v>
      </c>
      <c r="P665" s="114" t="n"/>
      <c r="Q665" s="114" t="n">
        <v>10058256</v>
      </c>
      <c r="R665" s="114" t="n"/>
      <c r="S665" s="114" t="n"/>
      <c r="T665" s="303" t="n"/>
    </row>
    <row customFormat="true" hidden="false" ht="15" outlineLevel="0" r="666" s="1">
      <c r="A666" s="116" t="n">
        <f aca="false" ca="false" dt2D="false" dtr="false" t="normal">+A665+1</f>
        <v>644</v>
      </c>
      <c r="B666" s="117" t="n">
        <f aca="false" ca="false" dt2D="false" dtr="false" t="normal">+B665+1</f>
        <v>184</v>
      </c>
      <c r="C666" s="104" t="s">
        <v>111</v>
      </c>
      <c r="D666" s="117" t="s">
        <v>637</v>
      </c>
      <c r="E666" s="113" t="n">
        <f aca="false" ca="true" dt2D="false" dtr="false" t="normal">SUBTOTAL(9, F666:T666)</f>
        <v>2811451.2</v>
      </c>
      <c r="F666" s="106" t="n"/>
      <c r="G666" s="114" t="n"/>
      <c r="H666" s="114" t="n"/>
      <c r="I666" s="114" t="n"/>
      <c r="J666" s="114" t="n"/>
      <c r="K666" s="114" t="n"/>
      <c r="L666" s="106" t="n"/>
      <c r="M666" s="114" t="n"/>
      <c r="N666" s="114" t="n"/>
      <c r="O666" s="114" t="n"/>
      <c r="P666" s="114" t="n"/>
      <c r="Q666" s="114" t="n">
        <v>2811451.2</v>
      </c>
      <c r="R666" s="304" t="n"/>
      <c r="S666" s="304" t="n"/>
      <c r="T666" s="303" t="n"/>
      <c r="U666" s="0" t="n"/>
      <c r="V666" s="0" t="n"/>
      <c r="W666" s="0" t="n"/>
      <c r="X666" s="0" t="n"/>
      <c r="Y666" s="0" t="n"/>
      <c r="Z666" s="0" t="n"/>
      <c r="AA666" s="0" t="n"/>
      <c r="AB666" s="0" t="n"/>
      <c r="AC666" s="0" t="n"/>
      <c r="AD666" s="0" t="n"/>
      <c r="AE666" s="0" t="n"/>
      <c r="AF666" s="0" t="n"/>
      <c r="AG666" s="0" t="n"/>
      <c r="AH666" s="0" t="n"/>
      <c r="AI666" s="0" t="n"/>
      <c r="AJ666" s="0" t="n"/>
      <c r="AK666" s="0" t="n"/>
      <c r="AL666" s="0" t="n"/>
      <c r="AM666" s="0" t="n"/>
      <c r="AN666" s="0" t="n"/>
      <c r="AO666" s="0" t="n"/>
      <c r="AP666" s="0" t="n"/>
      <c r="AQ666" s="0" t="n"/>
      <c r="AR666" s="0" t="n"/>
      <c r="AS666" s="0" t="n"/>
      <c r="AT666" s="0" t="n"/>
      <c r="AU666" s="0" t="n"/>
      <c r="AV666" s="0" t="n"/>
      <c r="AW666" s="0" t="n"/>
      <c r="AX666" s="0" t="n"/>
      <c r="AY666" s="0" t="n"/>
      <c r="AZ666" s="0" t="n"/>
      <c r="BA666" s="0" t="n"/>
      <c r="BB666" s="0" t="n"/>
      <c r="BC666" s="0" t="n"/>
      <c r="BD666" s="0" t="n"/>
      <c r="BE666" s="0" t="n"/>
      <c r="BF666" s="0" t="n"/>
      <c r="BG666" s="0" t="n"/>
      <c r="BH666" s="0" t="n"/>
      <c r="BI666" s="0" t="n"/>
      <c r="BJ666" s="0" t="n"/>
      <c r="BK666" s="0" t="n"/>
      <c r="BL666" s="0" t="n"/>
      <c r="BM666" s="0" t="n"/>
      <c r="BN666" s="0" t="n"/>
      <c r="BO666" s="0" t="n"/>
      <c r="BP666" s="0" t="n"/>
    </row>
    <row customFormat="true" hidden="false" ht="15" outlineLevel="0" r="667" s="1">
      <c r="A667" s="116" t="n">
        <f aca="false" ca="false" dt2D="false" dtr="false" t="normal">+A666+1</f>
        <v>645</v>
      </c>
      <c r="B667" s="117" t="n">
        <f aca="false" ca="false" dt2D="false" dtr="false" t="normal">+B666+1</f>
        <v>185</v>
      </c>
      <c r="C667" s="104" t="s">
        <v>111</v>
      </c>
      <c r="D667" s="117" t="s">
        <v>386</v>
      </c>
      <c r="E667" s="113" t="n">
        <f aca="false" ca="true" dt2D="false" dtr="false" t="normal">SUBTOTAL(9, F667:T667)</f>
        <v>711714.1799999999</v>
      </c>
      <c r="F667" s="106" t="n"/>
      <c r="G667" s="114" t="n"/>
      <c r="H667" s="114" t="n">
        <v>705392.72</v>
      </c>
      <c r="I667" s="114" t="n"/>
      <c r="J667" s="114" t="n"/>
      <c r="K667" s="114" t="n"/>
      <c r="L667" s="106" t="n"/>
      <c r="M667" s="114" t="n"/>
      <c r="N667" s="114" t="n"/>
      <c r="O667" s="114" t="n"/>
      <c r="P667" s="114" t="n"/>
      <c r="Q667" s="114" t="n">
        <v>0</v>
      </c>
      <c r="R667" s="114" t="n"/>
      <c r="S667" s="114" t="n"/>
      <c r="T667" s="115" t="n">
        <v>6321.46</v>
      </c>
      <c r="U667" s="0" t="n"/>
      <c r="V667" s="0" t="n"/>
      <c r="W667" s="0" t="n"/>
      <c r="X667" s="0" t="n"/>
      <c r="Y667" s="0" t="n"/>
      <c r="Z667" s="0" t="n"/>
      <c r="AA667" s="0" t="n"/>
      <c r="AB667" s="0" t="n"/>
      <c r="AC667" s="0" t="n"/>
      <c r="AD667" s="0" t="n"/>
      <c r="AE667" s="0" t="n"/>
      <c r="AF667" s="0" t="n"/>
      <c r="AG667" s="0" t="n"/>
      <c r="AH667" s="0" t="n"/>
      <c r="AI667" s="0" t="n"/>
      <c r="AJ667" s="0" t="n"/>
      <c r="AK667" s="0" t="n"/>
      <c r="AL667" s="0" t="n"/>
      <c r="AM667" s="0" t="n"/>
      <c r="AN667" s="0" t="n"/>
      <c r="AO667" s="0" t="n"/>
      <c r="AP667" s="0" t="n"/>
      <c r="AQ667" s="0" t="n"/>
      <c r="AR667" s="0" t="n"/>
      <c r="AS667" s="0" t="n"/>
      <c r="AT667" s="0" t="n"/>
      <c r="AU667" s="0" t="n"/>
      <c r="AV667" s="0" t="n"/>
      <c r="AW667" s="0" t="n"/>
      <c r="AX667" s="0" t="n"/>
      <c r="AY667" s="0" t="n"/>
      <c r="AZ667" s="0" t="n"/>
      <c r="BA667" s="0" t="n"/>
      <c r="BB667" s="0" t="n"/>
      <c r="BC667" s="0" t="n"/>
      <c r="BD667" s="0" t="n"/>
      <c r="BE667" s="0" t="n"/>
      <c r="BF667" s="0" t="n"/>
      <c r="BG667" s="0" t="n"/>
      <c r="BH667" s="0" t="n"/>
      <c r="BI667" s="0" t="n"/>
      <c r="BJ667" s="0" t="n"/>
      <c r="BK667" s="0" t="n"/>
      <c r="BL667" s="0" t="n"/>
      <c r="BM667" s="0" t="n"/>
      <c r="BN667" s="0" t="n"/>
      <c r="BO667" s="0" t="n"/>
      <c r="BP667" s="0" t="n"/>
    </row>
    <row customFormat="true" hidden="false" ht="15" outlineLevel="0" r="668" s="1">
      <c r="A668" s="116" t="n">
        <f aca="false" ca="false" dt2D="false" dtr="false" t="normal">+A667+1</f>
        <v>646</v>
      </c>
      <c r="B668" s="117" t="n">
        <f aca="false" ca="false" dt2D="false" dtr="false" t="normal">+B667+1</f>
        <v>186</v>
      </c>
      <c r="C668" s="104" t="s">
        <v>111</v>
      </c>
      <c r="D668" s="117" t="s">
        <v>639</v>
      </c>
      <c r="E668" s="113" t="n">
        <f aca="false" ca="true" dt2D="false" dtr="false" t="normal">SUBTOTAL(9, F668:T668)</f>
        <v>989236.26</v>
      </c>
      <c r="F668" s="106" t="n"/>
      <c r="G668" s="114" t="n"/>
      <c r="H668" s="114" t="n"/>
      <c r="I668" s="114" t="n"/>
      <c r="J668" s="114" t="n">
        <v>989236.26</v>
      </c>
      <c r="K668" s="114" t="n"/>
      <c r="L668" s="106" t="n"/>
      <c r="M668" s="114" t="n"/>
      <c r="N668" s="114" t="n"/>
      <c r="O668" s="114" t="n"/>
      <c r="P668" s="114" t="n"/>
      <c r="Q668" s="114" t="n"/>
      <c r="R668" s="114" t="n"/>
      <c r="S668" s="114" t="n"/>
      <c r="T668" s="303" t="n"/>
    </row>
    <row customFormat="true" hidden="false" ht="15" outlineLevel="0" r="669" s="1">
      <c r="A669" s="116" t="n">
        <f aca="false" ca="false" dt2D="false" dtr="false" t="normal">+A668+1</f>
        <v>647</v>
      </c>
      <c r="B669" s="117" t="n">
        <f aca="false" ca="false" dt2D="false" dtr="false" t="normal">+B668+1</f>
        <v>187</v>
      </c>
      <c r="C669" s="104" t="s">
        <v>111</v>
      </c>
      <c r="D669" s="117" t="s">
        <v>189</v>
      </c>
      <c r="E669" s="113" t="n">
        <f aca="false" ca="true" dt2D="false" dtr="false" t="normal">SUBTOTAL(9, F669:T669)</f>
        <v>542862</v>
      </c>
      <c r="F669" s="106" t="n"/>
      <c r="G669" s="114" t="n"/>
      <c r="H669" s="114" t="n"/>
      <c r="I669" s="114" t="n"/>
      <c r="J669" s="114" t="n"/>
      <c r="K669" s="114" t="n"/>
      <c r="L669" s="106" t="n"/>
      <c r="M669" s="114" t="n"/>
      <c r="N669" s="114" t="n"/>
      <c r="O669" s="114" t="n"/>
      <c r="P669" s="114" t="n">
        <v>542862</v>
      </c>
      <c r="Q669" s="114" t="n"/>
      <c r="R669" s="114" t="n"/>
      <c r="S669" s="114" t="n"/>
      <c r="T669" s="115" t="n"/>
      <c r="U669" s="0" t="n"/>
      <c r="V669" s="0" t="n"/>
      <c r="W669" s="0" t="n"/>
      <c r="X669" s="0" t="n"/>
      <c r="Y669" s="0" t="n"/>
      <c r="Z669" s="0" t="n"/>
      <c r="AA669" s="0" t="n"/>
      <c r="AB669" s="0" t="n"/>
      <c r="AC669" s="0" t="n"/>
      <c r="AD669" s="0" t="n"/>
      <c r="AE669" s="0" t="n"/>
      <c r="AF669" s="0" t="n"/>
      <c r="AG669" s="0" t="n"/>
      <c r="AH669" s="0" t="n"/>
      <c r="AI669" s="0" t="n"/>
      <c r="AJ669" s="0" t="n"/>
      <c r="AK669" s="0" t="n"/>
      <c r="AL669" s="0" t="n"/>
      <c r="AM669" s="0" t="n"/>
      <c r="AN669" s="0" t="n"/>
      <c r="AO669" s="0" t="n"/>
      <c r="AP669" s="0" t="n"/>
      <c r="AQ669" s="0" t="n"/>
      <c r="AR669" s="0" t="n"/>
      <c r="AS669" s="0" t="n"/>
      <c r="AT669" s="0" t="n"/>
      <c r="AU669" s="0" t="n"/>
      <c r="AV669" s="0" t="n"/>
      <c r="AW669" s="0" t="n"/>
      <c r="AX669" s="0" t="n"/>
      <c r="AY669" s="0" t="n"/>
      <c r="AZ669" s="0" t="n"/>
      <c r="BA669" s="0" t="n"/>
      <c r="BB669" s="0" t="n"/>
      <c r="BC669" s="0" t="n"/>
      <c r="BD669" s="0" t="n"/>
      <c r="BE669" s="0" t="n"/>
      <c r="BF669" s="0" t="n"/>
      <c r="BG669" s="0" t="n"/>
      <c r="BH669" s="0" t="n"/>
      <c r="BI669" s="0" t="n"/>
      <c r="BJ669" s="0" t="n"/>
      <c r="BK669" s="0" t="n"/>
      <c r="BL669" s="0" t="n"/>
      <c r="BM669" s="0" t="n"/>
      <c r="BN669" s="0" t="n"/>
      <c r="BO669" s="0" t="n"/>
      <c r="BP669" s="0" t="n"/>
    </row>
    <row customFormat="true" hidden="false" ht="15" outlineLevel="0" r="670" s="206">
      <c r="A670" s="116" t="n">
        <f aca="false" ca="false" dt2D="false" dtr="false" t="normal">+A669+1</f>
        <v>648</v>
      </c>
      <c r="B670" s="117" t="n">
        <f aca="false" ca="false" dt2D="false" dtr="false" t="normal">+B669+1</f>
        <v>188</v>
      </c>
      <c r="C670" s="104" t="s">
        <v>111</v>
      </c>
      <c r="D670" s="117" t="s">
        <v>190</v>
      </c>
      <c r="E670" s="113" t="n">
        <f aca="false" ca="true" dt2D="false" dtr="false" t="normal">SUBTOTAL(9, F670:T670)</f>
        <v>24675371.73</v>
      </c>
      <c r="F670" s="106" t="n">
        <v>8835258.73</v>
      </c>
      <c r="G670" s="114" t="n">
        <v>3166684.8</v>
      </c>
      <c r="H670" s="114" t="n">
        <v>5569271.41</v>
      </c>
      <c r="I670" s="114" t="n">
        <v>4295867.36</v>
      </c>
      <c r="J670" s="114" t="n">
        <v>2808289.43</v>
      </c>
      <c r="K670" s="114" t="n"/>
      <c r="L670" s="106" t="n"/>
      <c r="M670" s="114" t="n"/>
      <c r="N670" s="114" t="n"/>
      <c r="O670" s="114" t="n"/>
      <c r="P670" s="114" t="n"/>
      <c r="Q670" s="114" t="n"/>
      <c r="R670" s="114" t="n"/>
      <c r="S670" s="114" t="n"/>
      <c r="T670" s="303" t="n"/>
    </row>
    <row customFormat="true" hidden="false" ht="15" outlineLevel="0" r="671" s="206">
      <c r="A671" s="116" t="n">
        <f aca="false" ca="false" dt2D="false" dtr="false" t="normal">+A670+1</f>
        <v>649</v>
      </c>
      <c r="B671" s="117" t="n">
        <f aca="false" ca="false" dt2D="false" dtr="false" t="normal">+B670+1</f>
        <v>189</v>
      </c>
      <c r="C671" s="104" t="s">
        <v>111</v>
      </c>
      <c r="D671" s="117" t="s">
        <v>640</v>
      </c>
      <c r="E671" s="113" t="n">
        <f aca="false" ca="true" dt2D="false" dtr="false" t="normal">SUBTOTAL(9, F671:T671)</f>
        <v>55388720.010000005</v>
      </c>
      <c r="F671" s="106" t="n">
        <v>8624090.5</v>
      </c>
      <c r="G671" s="114" t="n">
        <v>3460760.4</v>
      </c>
      <c r="H671" s="114" t="n">
        <v>5439076.98</v>
      </c>
      <c r="I671" s="114" t="n">
        <v>4190749.93</v>
      </c>
      <c r="J671" s="114" t="n">
        <v>2752258.84</v>
      </c>
      <c r="K671" s="114" t="n"/>
      <c r="L671" s="106" t="n"/>
      <c r="M671" s="114" t="n"/>
      <c r="N671" s="114" t="n"/>
      <c r="O671" s="114" t="n"/>
      <c r="P671" s="114" t="n">
        <v>30921783.36</v>
      </c>
      <c r="Q671" s="114" t="n"/>
      <c r="R671" s="114" t="n"/>
      <c r="S671" s="114" t="n"/>
      <c r="T671" s="303" t="n"/>
    </row>
    <row customFormat="true" hidden="false" ht="15" outlineLevel="0" r="672" s="1">
      <c r="A672" s="116" t="n">
        <f aca="false" ca="false" dt2D="false" dtr="false" t="normal">+A671+1</f>
        <v>650</v>
      </c>
      <c r="B672" s="117" t="n">
        <f aca="false" ca="false" dt2D="false" dtr="false" t="normal">+B671+1</f>
        <v>190</v>
      </c>
      <c r="C672" s="104" t="s">
        <v>111</v>
      </c>
      <c r="D672" s="117" t="s">
        <v>388</v>
      </c>
      <c r="E672" s="113" t="n">
        <f aca="false" ca="true" dt2D="false" dtr="false" t="normal">SUBTOTAL(9, F672:T672)</f>
        <v>22936245.29</v>
      </c>
      <c r="F672" s="106" t="n"/>
      <c r="G672" s="114" t="n"/>
      <c r="H672" s="114" t="n">
        <v>0</v>
      </c>
      <c r="I672" s="114" t="n">
        <v>0</v>
      </c>
      <c r="J672" s="114" t="n">
        <v>2013086.95</v>
      </c>
      <c r="K672" s="114" t="n"/>
      <c r="L672" s="106" t="n"/>
      <c r="M672" s="114" t="n">
        <v>0</v>
      </c>
      <c r="N672" s="114" t="n"/>
      <c r="O672" s="114" t="n">
        <v>0</v>
      </c>
      <c r="P672" s="114" t="n">
        <v>20923158.34</v>
      </c>
      <c r="Q672" s="114" t="n"/>
      <c r="R672" s="114" t="n"/>
      <c r="S672" s="114" t="n"/>
      <c r="T672" s="303" t="n"/>
    </row>
    <row customFormat="true" hidden="false" ht="15" outlineLevel="0" r="673" s="206">
      <c r="A673" s="116" t="n">
        <f aca="false" ca="false" dt2D="false" dtr="false" t="normal">+A672+1</f>
        <v>651</v>
      </c>
      <c r="B673" s="117" t="n">
        <f aca="false" ca="false" dt2D="false" dtr="false" t="normal">+B672+1</f>
        <v>191</v>
      </c>
      <c r="C673" s="104" t="s">
        <v>111</v>
      </c>
      <c r="D673" s="117" t="s">
        <v>389</v>
      </c>
      <c r="E673" s="113" t="n">
        <f aca="false" ca="true" dt2D="false" dtr="false" t="normal">SUBTOTAL(9, F673:T673)</f>
        <v>2420008.8</v>
      </c>
      <c r="F673" s="106" t="n"/>
      <c r="G673" s="114" t="n"/>
      <c r="H673" s="114" t="n"/>
      <c r="I673" s="114" t="n"/>
      <c r="J673" s="114" t="n">
        <v>2420008.8</v>
      </c>
      <c r="K673" s="114" t="n"/>
      <c r="L673" s="106" t="n"/>
      <c r="M673" s="114" t="n"/>
      <c r="N673" s="114" t="n"/>
      <c r="O673" s="114" t="n"/>
      <c r="P673" s="114" t="n"/>
      <c r="Q673" s="114" t="n"/>
      <c r="R673" s="114" t="n"/>
      <c r="S673" s="114" t="n"/>
      <c r="T673" s="303" t="n"/>
    </row>
    <row customFormat="true" hidden="false" ht="15" outlineLevel="0" r="674" s="1">
      <c r="A674" s="116" t="n">
        <f aca="false" ca="false" dt2D="false" dtr="false" t="normal">+A673+1</f>
        <v>652</v>
      </c>
      <c r="B674" s="117" t="n">
        <f aca="false" ca="false" dt2D="false" dtr="false" t="normal">+B673+1</f>
        <v>192</v>
      </c>
      <c r="C674" s="117" t="s">
        <v>643</v>
      </c>
      <c r="D674" s="104" t="s">
        <v>642</v>
      </c>
      <c r="E674" s="186" t="n">
        <f aca="false" ca="true" dt2D="false" dtr="false" t="normal">SUBTOTAL(9, F674:T674)</f>
        <v>6068202.44</v>
      </c>
      <c r="F674" s="106" t="n">
        <v>6068202.44</v>
      </c>
      <c r="G674" s="114" t="n">
        <v>0</v>
      </c>
      <c r="H674" s="114" t="n">
        <v>0</v>
      </c>
      <c r="I674" s="114" t="n">
        <v>0</v>
      </c>
      <c r="J674" s="114" t="n">
        <v>0</v>
      </c>
      <c r="K674" s="114" t="n">
        <v>0</v>
      </c>
      <c r="L674" s="106" t="n"/>
      <c r="M674" s="114" t="n">
        <v>0</v>
      </c>
      <c r="N674" s="114" t="n">
        <v>0</v>
      </c>
      <c r="O674" s="114" t="n">
        <v>0</v>
      </c>
      <c r="P674" s="114" t="n">
        <v>0</v>
      </c>
      <c r="Q674" s="114" t="n">
        <v>0</v>
      </c>
      <c r="R674" s="114" t="n"/>
      <c r="S674" s="114" t="n"/>
      <c r="T674" s="303" t="n"/>
    </row>
    <row customFormat="true" hidden="false" ht="15" outlineLevel="0" r="675" s="1">
      <c r="A675" s="116" t="n">
        <f aca="false" ca="false" dt2D="false" dtr="false" t="normal">+A674+1</f>
        <v>653</v>
      </c>
      <c r="B675" s="117" t="n">
        <f aca="false" ca="false" dt2D="false" dtr="false" t="normal">+B674+1</f>
        <v>193</v>
      </c>
      <c r="C675" s="104" t="s">
        <v>111</v>
      </c>
      <c r="D675" s="104" t="s">
        <v>390</v>
      </c>
      <c r="E675" s="186" t="n">
        <f aca="false" ca="true" dt2D="false" dtr="false" t="normal">SUBTOTAL(9, F675:T675)</f>
        <v>14362144.85</v>
      </c>
      <c r="F675" s="106" t="n">
        <v>0</v>
      </c>
      <c r="G675" s="114" t="n">
        <v>1739799.32</v>
      </c>
      <c r="H675" s="114" t="n">
        <v>0</v>
      </c>
      <c r="I675" s="114" t="n">
        <v>956618.14</v>
      </c>
      <c r="J675" s="114" t="n">
        <v>1007894.07</v>
      </c>
      <c r="K675" s="114" t="n"/>
      <c r="L675" s="106" t="n"/>
      <c r="M675" s="114" t="n">
        <v>0</v>
      </c>
      <c r="N675" s="114" t="n">
        <v>0</v>
      </c>
      <c r="O675" s="114" t="n">
        <v>0</v>
      </c>
      <c r="P675" s="114" t="n">
        <v>10657833.32</v>
      </c>
      <c r="Q675" s="114" t="n"/>
      <c r="R675" s="304" t="n"/>
      <c r="S675" s="304" t="n"/>
      <c r="T675" s="303" t="n"/>
    </row>
    <row customFormat="true" hidden="false" ht="15" outlineLevel="0" r="676" s="206">
      <c r="A676" s="116" t="n">
        <f aca="false" ca="false" dt2D="false" dtr="false" t="normal">+A675+1</f>
        <v>654</v>
      </c>
      <c r="B676" s="117" t="n">
        <f aca="false" ca="false" dt2D="false" dtr="false" t="normal">+B675+1</f>
        <v>194</v>
      </c>
      <c r="C676" s="104" t="s">
        <v>111</v>
      </c>
      <c r="D676" s="104" t="s">
        <v>644</v>
      </c>
      <c r="E676" s="113" t="n">
        <f aca="false" ca="true" dt2D="false" dtr="false" t="normal">SUBTOTAL(9, F676:T676)</f>
        <v>1878920.4</v>
      </c>
      <c r="F676" s="106" t="n"/>
      <c r="G676" s="114" t="n"/>
      <c r="H676" s="114" t="n"/>
      <c r="I676" s="114" t="n"/>
      <c r="J676" s="114" t="n">
        <v>1878920.4</v>
      </c>
      <c r="K676" s="114" t="n"/>
      <c r="L676" s="106" t="n"/>
      <c r="M676" s="114" t="n"/>
      <c r="N676" s="114" t="n"/>
      <c r="O676" s="114" t="n"/>
      <c r="P676" s="114" t="n"/>
      <c r="Q676" s="114" t="n"/>
      <c r="R676" s="304" t="n"/>
      <c r="S676" s="304" t="n"/>
      <c r="T676" s="303" t="n"/>
    </row>
    <row customFormat="true" hidden="false" ht="15" outlineLevel="0" r="677" s="206">
      <c r="A677" s="116" t="n">
        <f aca="false" ca="false" dt2D="false" dtr="false" t="normal">+A676+1</f>
        <v>655</v>
      </c>
      <c r="B677" s="117" t="n">
        <f aca="false" ca="false" dt2D="false" dtr="false" t="normal">+B676+1</f>
        <v>195</v>
      </c>
      <c r="C677" s="104" t="s">
        <v>111</v>
      </c>
      <c r="D677" s="104" t="s">
        <v>645</v>
      </c>
      <c r="E677" s="113" t="n">
        <f aca="false" ca="true" dt2D="false" dtr="false" t="normal">SUBTOTAL(9, F677:T677)</f>
        <v>1882425.6</v>
      </c>
      <c r="F677" s="106" t="n"/>
      <c r="G677" s="114" t="n"/>
      <c r="H677" s="114" t="n"/>
      <c r="I677" s="114" t="n"/>
      <c r="J677" s="114" t="n">
        <v>1882425.6</v>
      </c>
      <c r="K677" s="114" t="n"/>
      <c r="L677" s="106" t="n"/>
      <c r="M677" s="114" t="n"/>
      <c r="N677" s="114" t="n"/>
      <c r="O677" s="114" t="n"/>
      <c r="P677" s="114" t="n"/>
      <c r="Q677" s="114" t="n"/>
      <c r="R677" s="304" t="n"/>
      <c r="S677" s="304" t="n"/>
      <c r="T677" s="303" t="n"/>
    </row>
    <row customFormat="true" hidden="false" ht="15" outlineLevel="0" r="678" s="206">
      <c r="A678" s="116" t="n">
        <f aca="false" ca="false" dt2D="false" dtr="false" t="normal">+A677+1</f>
        <v>656</v>
      </c>
      <c r="B678" s="117" t="n">
        <f aca="false" ca="false" dt2D="false" dtr="false" t="normal">+B677+1</f>
        <v>196</v>
      </c>
      <c r="C678" s="104" t="s">
        <v>111</v>
      </c>
      <c r="D678" s="117" t="s">
        <v>391</v>
      </c>
      <c r="E678" s="113" t="n">
        <f aca="false" ca="true" dt2D="false" dtr="false" t="normal">SUBTOTAL(9, F678:T678)</f>
        <v>10207701.33</v>
      </c>
      <c r="F678" s="106" t="n"/>
      <c r="G678" s="114" t="n"/>
      <c r="H678" s="114" t="n"/>
      <c r="I678" s="114" t="n"/>
      <c r="J678" s="114" t="n"/>
      <c r="K678" s="114" t="n"/>
      <c r="L678" s="106" t="n"/>
      <c r="M678" s="114" t="n"/>
      <c r="N678" s="114" t="n"/>
      <c r="O678" s="114" t="n"/>
      <c r="P678" s="114" t="n">
        <v>10207701.33</v>
      </c>
      <c r="Q678" s="114" t="n"/>
      <c r="R678" s="304" t="n"/>
      <c r="S678" s="304" t="n"/>
      <c r="T678" s="303" t="n"/>
      <c r="U678" s="0" t="n"/>
      <c r="V678" s="0" t="n"/>
      <c r="W678" s="0" t="n"/>
      <c r="X678" s="0" t="n"/>
      <c r="Y678" s="0" t="n"/>
      <c r="Z678" s="0" t="n"/>
      <c r="AA678" s="0" t="n"/>
      <c r="AB678" s="0" t="n"/>
      <c r="AC678" s="0" t="n"/>
      <c r="AD678" s="0" t="n"/>
      <c r="AE678" s="0" t="n"/>
      <c r="AF678" s="0" t="n"/>
      <c r="AG678" s="0" t="n"/>
      <c r="AH678" s="0" t="n"/>
      <c r="AI678" s="0" t="n"/>
      <c r="AJ678" s="0" t="n"/>
      <c r="AK678" s="0" t="n"/>
      <c r="AL678" s="0" t="n"/>
      <c r="AM678" s="0" t="n"/>
      <c r="AN678" s="0" t="n"/>
      <c r="AO678" s="0" t="n"/>
      <c r="AP678" s="0" t="n"/>
      <c r="AQ678" s="0" t="n"/>
      <c r="AR678" s="0" t="n"/>
      <c r="AS678" s="0" t="n"/>
      <c r="AT678" s="0" t="n"/>
      <c r="AU678" s="0" t="n"/>
      <c r="AV678" s="0" t="n"/>
      <c r="AW678" s="0" t="n"/>
      <c r="AX678" s="0" t="n"/>
      <c r="AY678" s="0" t="n"/>
      <c r="AZ678" s="0" t="n"/>
      <c r="BA678" s="0" t="n"/>
      <c r="BB678" s="0" t="n"/>
      <c r="BC678" s="0" t="n"/>
      <c r="BD678" s="0" t="n"/>
      <c r="BE678" s="0" t="n"/>
      <c r="BF678" s="0" t="n"/>
      <c r="BG678" s="0" t="n"/>
      <c r="BH678" s="0" t="n"/>
      <c r="BI678" s="0" t="n"/>
      <c r="BJ678" s="0" t="n"/>
      <c r="BK678" s="0" t="n"/>
      <c r="BL678" s="0" t="n"/>
      <c r="BM678" s="0" t="n"/>
      <c r="BN678" s="0" t="n"/>
      <c r="BO678" s="0" t="n"/>
      <c r="BP678" s="0" t="n"/>
    </row>
    <row customFormat="true" hidden="false" ht="15" outlineLevel="0" r="679" s="1">
      <c r="A679" s="116" t="n">
        <f aca="false" ca="false" dt2D="false" dtr="false" t="normal">+A678+1</f>
        <v>657</v>
      </c>
      <c r="B679" s="117" t="n">
        <f aca="false" ca="false" dt2D="false" dtr="false" t="normal">+B678+1</f>
        <v>197</v>
      </c>
      <c r="C679" s="104" t="s">
        <v>111</v>
      </c>
      <c r="D679" s="104" t="s">
        <v>197</v>
      </c>
      <c r="E679" s="113" t="n">
        <f aca="false" ca="true" dt2D="false" dtr="false" t="normal">SUBTOTAL(9, F679:T679)</f>
        <v>8826631.18</v>
      </c>
      <c r="F679" s="106" t="n"/>
      <c r="G679" s="114" t="n">
        <v>5132408.83</v>
      </c>
      <c r="H679" s="114" t="n"/>
      <c r="I679" s="114" t="n">
        <v>2627357.42</v>
      </c>
      <c r="J679" s="114" t="n"/>
      <c r="K679" s="114" t="n"/>
      <c r="L679" s="106" t="n"/>
      <c r="M679" s="114" t="n">
        <v>0</v>
      </c>
      <c r="N679" s="114" t="n"/>
      <c r="O679" s="114" t="n">
        <v>0</v>
      </c>
      <c r="P679" s="114" t="n"/>
      <c r="Q679" s="114" t="n">
        <v>980536.67</v>
      </c>
      <c r="R679" s="114" t="n"/>
      <c r="S679" s="114" t="n"/>
      <c r="T679" s="115" t="n">
        <v>86328.26</v>
      </c>
    </row>
    <row customFormat="true" hidden="false" ht="15" outlineLevel="0" r="680" s="1">
      <c r="A680" s="116" t="n">
        <f aca="false" ca="false" dt2D="false" dtr="false" t="normal">+A679+1</f>
        <v>658</v>
      </c>
      <c r="B680" s="117" t="n">
        <f aca="false" ca="false" dt2D="false" dtr="false" t="normal">+B679+1</f>
        <v>198</v>
      </c>
      <c r="C680" s="104" t="s">
        <v>111</v>
      </c>
      <c r="D680" s="104" t="s">
        <v>198</v>
      </c>
      <c r="E680" s="113" t="n">
        <f aca="false" ca="true" dt2D="false" dtr="false" t="normal">SUBTOTAL(9, F680:T680)</f>
        <v>3095074.3600000003</v>
      </c>
      <c r="F680" s="106" t="n"/>
      <c r="G680" s="114" t="n">
        <v>1950514.3</v>
      </c>
      <c r="H680" s="114" t="n"/>
      <c r="I680" s="114" t="n"/>
      <c r="J680" s="114" t="n"/>
      <c r="K680" s="114" t="n"/>
      <c r="L680" s="106" t="n"/>
      <c r="M680" s="114" t="n"/>
      <c r="N680" s="114" t="n"/>
      <c r="O680" s="114" t="n"/>
      <c r="P680" s="114" t="n"/>
      <c r="Q680" s="114" t="n">
        <v>1144560.06</v>
      </c>
      <c r="R680" s="114" t="n"/>
      <c r="S680" s="114" t="n"/>
      <c r="T680" s="303" t="n"/>
    </row>
    <row customFormat="true" hidden="false" ht="15" outlineLevel="0" r="681" s="1">
      <c r="A681" s="116" t="n">
        <f aca="false" ca="false" dt2D="false" dtr="false" t="normal">+A680+1</f>
        <v>659</v>
      </c>
      <c r="B681" s="117" t="n">
        <f aca="false" ca="false" dt2D="false" dtr="false" t="normal">+B680+1</f>
        <v>199</v>
      </c>
      <c r="C681" s="104" t="s">
        <v>111</v>
      </c>
      <c r="D681" s="104" t="s">
        <v>199</v>
      </c>
      <c r="E681" s="186" t="n">
        <f aca="false" ca="true" dt2D="false" dtr="false" t="normal">SUBTOTAL(9, F681:T681)</f>
        <v>15560179.21</v>
      </c>
      <c r="F681" s="106" t="n">
        <v>3719699.05</v>
      </c>
      <c r="G681" s="114" t="n">
        <v>1397547.49</v>
      </c>
      <c r="H681" s="114" t="n"/>
      <c r="I681" s="114" t="n"/>
      <c r="J681" s="114" t="n"/>
      <c r="K681" s="114" t="n"/>
      <c r="L681" s="106" t="n"/>
      <c r="M681" s="114" t="n">
        <v>0</v>
      </c>
      <c r="N681" s="114" t="n">
        <v>0</v>
      </c>
      <c r="O681" s="114" t="n">
        <v>0</v>
      </c>
      <c r="P681" s="114" t="n">
        <v>10442932.67</v>
      </c>
      <c r="Q681" s="114" t="n">
        <v>0</v>
      </c>
      <c r="R681" s="114" t="n"/>
      <c r="S681" s="114" t="n"/>
      <c r="T681" s="303" t="n"/>
    </row>
    <row customFormat="true" hidden="false" ht="15" outlineLevel="0" r="682" s="1">
      <c r="A682" s="116" t="n">
        <f aca="false" ca="false" dt2D="false" dtr="false" t="normal">+A681+1</f>
        <v>660</v>
      </c>
      <c r="B682" s="117" t="n">
        <f aca="false" ca="false" dt2D="false" dtr="false" t="normal">+B681+1</f>
        <v>200</v>
      </c>
      <c r="C682" s="104" t="s">
        <v>111</v>
      </c>
      <c r="D682" s="104" t="s">
        <v>194</v>
      </c>
      <c r="E682" s="186" t="n">
        <f aca="false" ca="true" dt2D="false" dtr="false" t="normal">SUBTOTAL(9, F682:T682)</f>
        <v>11595064.25</v>
      </c>
      <c r="F682" s="106" t="n"/>
      <c r="G682" s="114" t="n">
        <v>1063489.17</v>
      </c>
      <c r="H682" s="114" t="n">
        <v>0</v>
      </c>
      <c r="I682" s="114" t="n">
        <v>1045305.74</v>
      </c>
      <c r="J682" s="114" t="n"/>
      <c r="K682" s="114" t="n"/>
      <c r="L682" s="106" t="n"/>
      <c r="M682" s="114" t="n">
        <v>0</v>
      </c>
      <c r="N682" s="114" t="n">
        <v>0</v>
      </c>
      <c r="O682" s="114" t="n">
        <v>0</v>
      </c>
      <c r="P682" s="114" t="n">
        <v>9486269.34</v>
      </c>
      <c r="Q682" s="114" t="n">
        <v>0</v>
      </c>
      <c r="R682" s="114" t="n"/>
      <c r="S682" s="114" t="n"/>
      <c r="T682" s="303" t="n"/>
    </row>
    <row customFormat="true" hidden="false" ht="15" outlineLevel="0" r="683" s="1">
      <c r="A683" s="116" t="n">
        <f aca="false" ca="false" dt2D="false" dtr="false" t="normal">+A682+1</f>
        <v>661</v>
      </c>
      <c r="B683" s="117" t="n">
        <f aca="false" ca="false" dt2D="false" dtr="false" t="normal">+B682+1</f>
        <v>201</v>
      </c>
      <c r="C683" s="104" t="s">
        <v>111</v>
      </c>
      <c r="D683" s="104" t="s">
        <v>393</v>
      </c>
      <c r="E683" s="186" t="n">
        <f aca="false" ca="true" dt2D="false" dtr="false" t="normal">SUBTOTAL(9, F683:T683)</f>
        <v>20501220.560000002</v>
      </c>
      <c r="F683" s="106" t="n">
        <v>3719699.05</v>
      </c>
      <c r="G683" s="114" t="n">
        <v>1063489.17</v>
      </c>
      <c r="H683" s="114" t="n"/>
      <c r="I683" s="114" t="n">
        <v>1307914.63</v>
      </c>
      <c r="J683" s="114" t="n"/>
      <c r="K683" s="114" t="n"/>
      <c r="L683" s="106" t="n"/>
      <c r="M683" s="114" t="n">
        <v>0</v>
      </c>
      <c r="N683" s="114" t="n">
        <v>0</v>
      </c>
      <c r="O683" s="114" t="n">
        <v>0</v>
      </c>
      <c r="P683" s="114" t="n">
        <v>14410117.71</v>
      </c>
      <c r="Q683" s="114" t="n">
        <v>0</v>
      </c>
      <c r="R683" s="114" t="n"/>
      <c r="S683" s="114" t="n"/>
      <c r="T683" s="303" t="n"/>
    </row>
    <row customFormat="true" hidden="false" ht="15" outlineLevel="0" r="684" s="1">
      <c r="A684" s="116" t="n">
        <f aca="false" ca="false" dt2D="false" dtr="false" t="normal">+A683+1</f>
        <v>662</v>
      </c>
      <c r="B684" s="117" t="n">
        <f aca="false" ca="false" dt2D="false" dtr="false" t="normal">+B683+1</f>
        <v>202</v>
      </c>
      <c r="C684" s="104" t="s">
        <v>111</v>
      </c>
      <c r="D684" s="104" t="s">
        <v>196</v>
      </c>
      <c r="E684" s="186" t="n">
        <f aca="false" ca="true" dt2D="false" dtr="false" t="normal">SUBTOTAL(9, F684:T684)</f>
        <v>67141180.3</v>
      </c>
      <c r="F684" s="106" t="n">
        <v>17221734.28</v>
      </c>
      <c r="G684" s="114" t="n">
        <v>6964417.8</v>
      </c>
      <c r="H684" s="114" t="n">
        <v>7361880.42</v>
      </c>
      <c r="I684" s="114" t="n">
        <v>5613454.08</v>
      </c>
      <c r="J684" s="114" t="n"/>
      <c r="K684" s="114" t="n"/>
      <c r="L684" s="106" t="n"/>
      <c r="M684" s="114" t="n">
        <v>0</v>
      </c>
      <c r="N684" s="114" t="n">
        <v>0</v>
      </c>
      <c r="O684" s="114" t="n">
        <v>0</v>
      </c>
      <c r="P684" s="114" t="n">
        <v>29979693.72</v>
      </c>
      <c r="Q684" s="114" t="n"/>
      <c r="R684" s="304" t="n"/>
      <c r="S684" s="114" t="n"/>
      <c r="T684" s="303" t="n"/>
    </row>
    <row customFormat="true" hidden="false" ht="15" outlineLevel="0" r="685" s="1">
      <c r="A685" s="116" t="n">
        <f aca="false" ca="false" dt2D="false" dtr="false" t="normal">+A684+1</f>
        <v>663</v>
      </c>
      <c r="B685" s="117" t="n">
        <f aca="false" ca="false" dt2D="false" dtr="false" t="normal">+B684+1</f>
        <v>203</v>
      </c>
      <c r="C685" s="104" t="s">
        <v>111</v>
      </c>
      <c r="D685" s="104" t="s">
        <v>646</v>
      </c>
      <c r="E685" s="186" t="n">
        <f aca="false" ca="true" dt2D="false" dtr="false" t="normal">SUBTOTAL(9, F685:T685)</f>
        <v>10257734.729999999</v>
      </c>
      <c r="F685" s="106" t="n">
        <v>4901618.18</v>
      </c>
      <c r="G685" s="114" t="n">
        <v>2145933.83</v>
      </c>
      <c r="H685" s="114" t="n">
        <v>1409651.11</v>
      </c>
      <c r="I685" s="114" t="n">
        <v>1800531.61</v>
      </c>
      <c r="J685" s="114" t="n">
        <v>0</v>
      </c>
      <c r="K685" s="114" t="n"/>
      <c r="L685" s="106" t="n"/>
      <c r="M685" s="114" t="n">
        <v>0</v>
      </c>
      <c r="N685" s="114" t="n"/>
      <c r="O685" s="114" t="n"/>
      <c r="P685" s="114" t="n"/>
      <c r="Q685" s="114" t="n">
        <v>0</v>
      </c>
      <c r="R685" s="114" t="n"/>
      <c r="S685" s="114" t="n"/>
      <c r="T685" s="303" t="n"/>
    </row>
    <row customFormat="true" hidden="false" ht="15" outlineLevel="0" r="686" s="1">
      <c r="A686" s="116" t="n">
        <f aca="false" ca="false" dt2D="false" dtr="false" t="normal">+A685+1</f>
        <v>664</v>
      </c>
      <c r="B686" s="117" t="n">
        <f aca="false" ca="false" dt2D="false" dtr="false" t="normal">+B685+1</f>
        <v>204</v>
      </c>
      <c r="C686" s="104" t="s">
        <v>647</v>
      </c>
      <c r="D686" s="252" t="s">
        <v>648</v>
      </c>
      <c r="E686" s="186" t="n">
        <f aca="false" ca="true" dt2D="false" dtr="false" t="normal">SUBTOTAL(9, F686:T686)</f>
        <v>13003553.2</v>
      </c>
      <c r="F686" s="106" t="n"/>
      <c r="G686" s="114" t="n"/>
      <c r="H686" s="114" t="n"/>
      <c r="I686" s="114" t="n"/>
      <c r="J686" s="114" t="n"/>
      <c r="K686" s="114" t="n"/>
      <c r="L686" s="106" t="n"/>
      <c r="M686" s="114" t="n"/>
      <c r="N686" s="114" t="n">
        <v>4706853.21</v>
      </c>
      <c r="O686" s="114" t="n"/>
      <c r="P686" s="114" t="n">
        <v>8296699.99</v>
      </c>
      <c r="Q686" s="114" t="n"/>
      <c r="R686" s="114" t="n"/>
      <c r="S686" s="304" t="n"/>
      <c r="T686" s="303" t="n"/>
    </row>
    <row customFormat="true" hidden="false" ht="15" outlineLevel="0" r="687" s="1">
      <c r="A687" s="116" t="n">
        <f aca="false" ca="false" dt2D="false" dtr="false" t="normal">+A686+1</f>
        <v>665</v>
      </c>
      <c r="B687" s="117" t="n">
        <f aca="false" ca="false" dt2D="false" dtr="false" t="normal">+B686+1</f>
        <v>205</v>
      </c>
      <c r="C687" s="104" t="s">
        <v>647</v>
      </c>
      <c r="D687" s="255" t="s">
        <v>649</v>
      </c>
      <c r="E687" s="186" t="n">
        <f aca="false" ca="true" dt2D="false" dtr="false" t="normal">SUBTOTAL(9, F687:T687)</f>
        <v>13865435.19</v>
      </c>
      <c r="F687" s="106" t="n"/>
      <c r="G687" s="114" t="n"/>
      <c r="H687" s="114" t="n"/>
      <c r="I687" s="114" t="n"/>
      <c r="J687" s="114" t="n"/>
      <c r="K687" s="114" t="n"/>
      <c r="L687" s="106" t="n"/>
      <c r="M687" s="114" t="n"/>
      <c r="N687" s="114" t="n">
        <v>5086438.15</v>
      </c>
      <c r="O687" s="114" t="n"/>
      <c r="P687" s="114" t="n">
        <v>8778997.04</v>
      </c>
      <c r="Q687" s="114" t="n"/>
      <c r="R687" s="114" t="n"/>
      <c r="S687" s="304" t="n"/>
      <c r="T687" s="303" t="n"/>
    </row>
    <row customFormat="true" hidden="false" ht="15" outlineLevel="0" r="688" s="1">
      <c r="A688" s="116" t="n">
        <f aca="false" ca="false" dt2D="false" dtr="false" t="normal">+A687+1</f>
        <v>666</v>
      </c>
      <c r="B688" s="117" t="n">
        <f aca="false" ca="false" dt2D="false" dtr="false" t="normal">+B687+1</f>
        <v>206</v>
      </c>
      <c r="C688" s="104" t="s">
        <v>647</v>
      </c>
      <c r="D688" s="257" t="s">
        <v>650</v>
      </c>
      <c r="E688" s="186" t="n">
        <f aca="false" ca="true" dt2D="false" dtr="false" t="normal">SUBTOTAL(9, F688:T688)</f>
        <v>13562505.36</v>
      </c>
      <c r="F688" s="106" t="n"/>
      <c r="G688" s="114" t="n"/>
      <c r="H688" s="114" t="n"/>
      <c r="I688" s="114" t="n"/>
      <c r="J688" s="114" t="n"/>
      <c r="K688" s="114" t="n"/>
      <c r="L688" s="106" t="n"/>
      <c r="M688" s="114" t="n"/>
      <c r="N688" s="114" t="n">
        <v>5031838.62</v>
      </c>
      <c r="O688" s="114" t="n"/>
      <c r="P688" s="114" t="n">
        <v>8530666.74</v>
      </c>
      <c r="Q688" s="114" t="n"/>
      <c r="R688" s="114" t="n"/>
      <c r="S688" s="304" t="n"/>
      <c r="T688" s="303" t="n"/>
    </row>
    <row customFormat="true" hidden="false" ht="15" outlineLevel="0" r="689" s="1">
      <c r="A689" s="116" t="n">
        <f aca="false" ca="false" dt2D="false" dtr="false" t="normal">+A688+1</f>
        <v>667</v>
      </c>
      <c r="B689" s="117" t="n">
        <f aca="false" ca="false" dt2D="false" dtr="false" t="normal">+B688+1</f>
        <v>207</v>
      </c>
      <c r="C689" s="104" t="s">
        <v>396</v>
      </c>
      <c r="D689" s="104" t="s">
        <v>651</v>
      </c>
      <c r="E689" s="186" t="n">
        <f aca="false" ca="true" dt2D="false" dtr="false" t="normal">SUBTOTAL(9, F689:T689)</f>
        <v>607107.58</v>
      </c>
      <c r="F689" s="106" t="n"/>
      <c r="G689" s="114" t="n"/>
      <c r="H689" s="114" t="n">
        <v>607107.58</v>
      </c>
      <c r="I689" s="114" t="n"/>
      <c r="J689" s="114" t="n"/>
      <c r="K689" s="114" t="n"/>
      <c r="L689" s="106" t="n"/>
      <c r="M689" s="114" t="n">
        <v>0</v>
      </c>
      <c r="N689" s="114" t="n">
        <v>0</v>
      </c>
      <c r="O689" s="114" t="n">
        <v>0</v>
      </c>
      <c r="P689" s="114" t="n">
        <v>0</v>
      </c>
      <c r="Q689" s="114" t="n">
        <v>0</v>
      </c>
      <c r="R689" s="114" t="n"/>
      <c r="S689" s="114" t="n"/>
      <c r="T689" s="303" t="n"/>
    </row>
    <row customFormat="true" hidden="false" ht="15" outlineLevel="0" r="690" s="1">
      <c r="A690" s="116" t="n">
        <f aca="false" ca="false" dt2D="false" dtr="false" t="normal">+A689+1</f>
        <v>668</v>
      </c>
      <c r="B690" s="117" t="n">
        <f aca="false" ca="false" dt2D="false" dtr="false" t="normal">+B689+1</f>
        <v>208</v>
      </c>
      <c r="C690" s="104" t="s">
        <v>207</v>
      </c>
      <c r="D690" s="104" t="s">
        <v>652</v>
      </c>
      <c r="E690" s="186" t="n">
        <f aca="false" ca="true" dt2D="false" dtr="false" t="normal">SUBTOTAL(9, F690:T690)</f>
        <v>1320268.99</v>
      </c>
      <c r="F690" s="106" t="n"/>
      <c r="G690" s="114" t="n">
        <v>0</v>
      </c>
      <c r="H690" s="114" t="n">
        <v>712801.24</v>
      </c>
      <c r="I690" s="114" t="n">
        <v>607467.75</v>
      </c>
      <c r="J690" s="114" t="n">
        <v>0</v>
      </c>
      <c r="K690" s="114" t="n"/>
      <c r="L690" s="106" t="n"/>
      <c r="M690" s="114" t="n">
        <v>0</v>
      </c>
      <c r="N690" s="114" t="n">
        <v>0</v>
      </c>
      <c r="O690" s="114" t="n">
        <v>0</v>
      </c>
      <c r="P690" s="114" t="n">
        <v>0</v>
      </c>
      <c r="Q690" s="114" t="n">
        <v>0</v>
      </c>
      <c r="R690" s="114" t="n"/>
      <c r="S690" s="114" t="n"/>
      <c r="T690" s="303" t="n"/>
    </row>
    <row customFormat="true" hidden="false" ht="15" outlineLevel="0" r="691" s="1">
      <c r="A691" s="116" t="n">
        <f aca="false" ca="false" dt2D="false" dtr="false" t="normal">+A690+1</f>
        <v>669</v>
      </c>
      <c r="B691" s="117" t="n">
        <f aca="false" ca="false" dt2D="false" dtr="false" t="normal">+B690+1</f>
        <v>209</v>
      </c>
      <c r="C691" s="104" t="s">
        <v>207</v>
      </c>
      <c r="D691" s="104" t="s">
        <v>208</v>
      </c>
      <c r="E691" s="186" t="n">
        <f aca="false" ca="true" dt2D="false" dtr="false" t="normal">SUBTOTAL(9, F691:T691)</f>
        <v>839224.62</v>
      </c>
      <c r="F691" s="106" t="n"/>
      <c r="G691" s="114" t="n"/>
      <c r="H691" s="114" t="n">
        <v>839224.62</v>
      </c>
      <c r="I691" s="114" t="n"/>
      <c r="J691" s="114" t="n">
        <v>0</v>
      </c>
      <c r="K691" s="114" t="n"/>
      <c r="L691" s="106" t="n"/>
      <c r="M691" s="114" t="n">
        <v>0</v>
      </c>
      <c r="N691" s="114" t="n">
        <v>0</v>
      </c>
      <c r="O691" s="114" t="n">
        <v>0</v>
      </c>
      <c r="P691" s="114" t="n">
        <v>0</v>
      </c>
      <c r="Q691" s="114" t="n">
        <v>0</v>
      </c>
      <c r="R691" s="114" t="n"/>
      <c r="S691" s="114" t="n"/>
      <c r="T691" s="303" t="n"/>
    </row>
    <row customFormat="true" hidden="false" ht="15" outlineLevel="0" r="692" s="1">
      <c r="A692" s="116" t="n">
        <f aca="false" ca="false" dt2D="false" dtr="false" t="normal">+A691+1</f>
        <v>670</v>
      </c>
      <c r="B692" s="117" t="n">
        <f aca="false" ca="false" dt2D="false" dtr="false" t="normal">+B691+1</f>
        <v>210</v>
      </c>
      <c r="C692" s="104" t="s">
        <v>207</v>
      </c>
      <c r="D692" s="117" t="s">
        <v>496</v>
      </c>
      <c r="E692" s="113" t="n">
        <f aca="false" ca="true" dt2D="false" dtr="false" t="normal">SUBTOTAL(9, F692:T692)</f>
        <v>1282797.7</v>
      </c>
      <c r="F692" s="106" t="n"/>
      <c r="G692" s="114" t="n"/>
      <c r="H692" s="114" t="n">
        <v>1282797.7</v>
      </c>
      <c r="I692" s="114" t="n"/>
      <c r="J692" s="114" t="n">
        <v>0</v>
      </c>
      <c r="K692" s="114" t="n"/>
      <c r="L692" s="106" t="n"/>
      <c r="M692" s="114" t="n">
        <v>0</v>
      </c>
      <c r="N692" s="114" t="n">
        <v>0</v>
      </c>
      <c r="O692" s="114" t="n">
        <v>0</v>
      </c>
      <c r="P692" s="114" t="n">
        <v>0</v>
      </c>
      <c r="Q692" s="114" t="n">
        <v>0</v>
      </c>
      <c r="R692" s="304" t="n"/>
      <c r="S692" s="304" t="n"/>
      <c r="T692" s="303" t="n"/>
      <c r="U692" s="0" t="n"/>
      <c r="V692" s="0" t="n"/>
      <c r="W692" s="0" t="n"/>
      <c r="X692" s="0" t="n"/>
      <c r="Y692" s="0" t="n"/>
      <c r="Z692" s="0" t="n"/>
      <c r="AA692" s="0" t="n"/>
      <c r="AB692" s="0" t="n"/>
      <c r="AC692" s="0" t="n"/>
      <c r="AD692" s="0" t="n"/>
      <c r="AE692" s="0" t="n"/>
      <c r="AF692" s="0" t="n"/>
      <c r="AG692" s="0" t="n"/>
      <c r="AH692" s="0" t="n"/>
      <c r="AI692" s="0" t="n"/>
      <c r="AJ692" s="0" t="n"/>
      <c r="AK692" s="0" t="n"/>
      <c r="AL692" s="0" t="n"/>
      <c r="AM692" s="0" t="n"/>
      <c r="AN692" s="0" t="n"/>
      <c r="AO692" s="0" t="n"/>
      <c r="AP692" s="0" t="n"/>
      <c r="AQ692" s="0" t="n"/>
      <c r="AR692" s="0" t="n"/>
      <c r="AS692" s="0" t="n"/>
      <c r="AT692" s="0" t="n"/>
      <c r="AU692" s="0" t="n"/>
      <c r="AV692" s="0" t="n"/>
      <c r="AW692" s="0" t="n"/>
      <c r="AX692" s="0" t="n"/>
      <c r="AY692" s="0" t="n"/>
      <c r="AZ692" s="0" t="n"/>
      <c r="BA692" s="0" t="n"/>
      <c r="BB692" s="0" t="n"/>
      <c r="BC692" s="0" t="n"/>
      <c r="BD692" s="0" t="n"/>
      <c r="BE692" s="0" t="n"/>
      <c r="BF692" s="0" t="n"/>
      <c r="BG692" s="0" t="n"/>
      <c r="BH692" s="0" t="n"/>
      <c r="BI692" s="0" t="n"/>
      <c r="BJ692" s="0" t="n"/>
      <c r="BK692" s="0" t="n"/>
      <c r="BL692" s="0" t="n"/>
      <c r="BM692" s="0" t="n"/>
      <c r="BN692" s="0" t="n"/>
      <c r="BO692" s="0" t="n"/>
      <c r="BP692" s="0" t="n"/>
    </row>
    <row customFormat="true" hidden="false" ht="15" outlineLevel="0" r="693" s="1">
      <c r="A693" s="116" t="n">
        <f aca="false" ca="false" dt2D="false" dtr="false" t="normal">+A692+1</f>
        <v>671</v>
      </c>
      <c r="B693" s="117" t="n">
        <f aca="false" ca="false" dt2D="false" dtr="false" t="normal">+B692+1</f>
        <v>211</v>
      </c>
      <c r="C693" s="104" t="s">
        <v>653</v>
      </c>
      <c r="D693" s="104" t="s">
        <v>654</v>
      </c>
      <c r="E693" s="186" t="n">
        <f aca="false" ca="true" dt2D="false" dtr="false" t="normal">SUBTOTAL(9, F693:T693)</f>
        <v>900615.42</v>
      </c>
      <c r="F693" s="106" t="n"/>
      <c r="G693" s="114" t="n">
        <v>183871.73</v>
      </c>
      <c r="H693" s="114" t="n">
        <v>379638.95</v>
      </c>
      <c r="I693" s="114" t="n">
        <v>337104.74</v>
      </c>
      <c r="J693" s="114" t="n">
        <v>0</v>
      </c>
      <c r="K693" s="114" t="n"/>
      <c r="L693" s="106" t="n"/>
      <c r="M693" s="114" t="n">
        <v>0</v>
      </c>
      <c r="N693" s="114" t="n">
        <v>0</v>
      </c>
      <c r="O693" s="114" t="n">
        <v>0</v>
      </c>
      <c r="P693" s="114" t="n">
        <v>0</v>
      </c>
      <c r="Q693" s="114" t="n">
        <v>0</v>
      </c>
      <c r="R693" s="304" t="n"/>
      <c r="S693" s="304" t="n"/>
      <c r="T693" s="303" t="n"/>
    </row>
    <row customFormat="true" hidden="false" ht="15" outlineLevel="0" r="694" s="1">
      <c r="A694" s="116" t="n">
        <f aca="false" ca="false" dt2D="false" dtr="false" t="normal">+A693+1</f>
        <v>672</v>
      </c>
      <c r="B694" s="117" t="n">
        <f aca="false" ca="false" dt2D="false" dtr="false" t="normal">+B693+1</f>
        <v>212</v>
      </c>
      <c r="C694" s="104" t="s">
        <v>653</v>
      </c>
      <c r="D694" s="104" t="s">
        <v>655</v>
      </c>
      <c r="E694" s="186" t="n">
        <f aca="false" ca="true" dt2D="false" dtr="false" t="normal">SUBTOTAL(9, F694:T694)</f>
        <v>1052893.32</v>
      </c>
      <c r="F694" s="106" t="n"/>
      <c r="G694" s="114" t="n">
        <v>1052893.32</v>
      </c>
      <c r="H694" s="114" t="n">
        <v>0</v>
      </c>
      <c r="I694" s="114" t="n">
        <v>0</v>
      </c>
      <c r="J694" s="114" t="n">
        <v>0</v>
      </c>
      <c r="K694" s="114" t="n"/>
      <c r="L694" s="106" t="n"/>
      <c r="M694" s="114" t="n">
        <v>0</v>
      </c>
      <c r="N694" s="114" t="n"/>
      <c r="O694" s="114" t="n">
        <v>0</v>
      </c>
      <c r="P694" s="114" t="n">
        <v>0</v>
      </c>
      <c r="Q694" s="114" t="n">
        <v>0</v>
      </c>
      <c r="R694" s="304" t="n"/>
      <c r="S694" s="304" t="n"/>
      <c r="T694" s="303" t="n"/>
    </row>
    <row customFormat="true" hidden="false" ht="15" outlineLevel="0" r="695" s="1">
      <c r="A695" s="116" t="n">
        <f aca="false" ca="false" dt2D="false" dtr="false" t="normal">+A694+1</f>
        <v>673</v>
      </c>
      <c r="B695" s="117" t="n">
        <f aca="false" ca="false" dt2D="false" dtr="false" t="normal">+B694+1</f>
        <v>213</v>
      </c>
      <c r="C695" s="104" t="s">
        <v>653</v>
      </c>
      <c r="D695" s="104" t="s">
        <v>656</v>
      </c>
      <c r="E695" s="186" t="n">
        <f aca="false" ca="true" dt2D="false" dtr="false" t="normal">SUBTOTAL(9, F695:T695)</f>
        <v>4249676.14</v>
      </c>
      <c r="F695" s="106" t="n">
        <v>1948256.76</v>
      </c>
      <c r="G695" s="114" t="n">
        <v>1252899.45</v>
      </c>
      <c r="H695" s="114" t="n">
        <v>545392.82</v>
      </c>
      <c r="I695" s="114" t="n">
        <v>503127.11</v>
      </c>
      <c r="J695" s="114" t="n">
        <v>0</v>
      </c>
      <c r="K695" s="114" t="n"/>
      <c r="L695" s="106" t="n"/>
      <c r="M695" s="114" t="n">
        <v>0</v>
      </c>
      <c r="N695" s="114" t="n">
        <v>0</v>
      </c>
      <c r="O695" s="114" t="n">
        <v>0</v>
      </c>
      <c r="P695" s="114" t="n">
        <v>0</v>
      </c>
      <c r="Q695" s="114" t="n">
        <v>0</v>
      </c>
      <c r="R695" s="114" t="n"/>
      <c r="S695" s="114" t="n"/>
      <c r="T695" s="303" t="n"/>
    </row>
    <row customFormat="true" hidden="false" ht="15" outlineLevel="0" r="696" s="1">
      <c r="A696" s="116" t="n">
        <f aca="false" ca="false" dt2D="false" dtr="false" t="normal">+A695+1</f>
        <v>674</v>
      </c>
      <c r="B696" s="117" t="n">
        <f aca="false" ca="false" dt2D="false" dtr="false" t="normal">+B695+1</f>
        <v>214</v>
      </c>
      <c r="C696" s="104" t="s">
        <v>209</v>
      </c>
      <c r="D696" s="104" t="s">
        <v>657</v>
      </c>
      <c r="E696" s="186" t="n">
        <f aca="false" ca="true" dt2D="false" dtr="false" t="normal">SUBTOTAL(9, F696:T696)</f>
        <v>733127.66</v>
      </c>
      <c r="F696" s="106" t="n">
        <v>0</v>
      </c>
      <c r="G696" s="114" t="n">
        <v>0</v>
      </c>
      <c r="H696" s="114" t="n">
        <v>733127.66</v>
      </c>
      <c r="I696" s="114" t="n">
        <v>0</v>
      </c>
      <c r="J696" s="114" t="n">
        <v>0</v>
      </c>
      <c r="K696" s="114" t="n"/>
      <c r="L696" s="106" t="n"/>
      <c r="M696" s="114" t="n">
        <v>0</v>
      </c>
      <c r="N696" s="114" t="n">
        <v>0</v>
      </c>
      <c r="O696" s="114" t="n">
        <v>0</v>
      </c>
      <c r="P696" s="114" t="n">
        <v>0</v>
      </c>
      <c r="Q696" s="114" t="n">
        <v>0</v>
      </c>
      <c r="R696" s="114" t="n"/>
      <c r="S696" s="114" t="n"/>
      <c r="T696" s="303" t="n"/>
    </row>
    <row customFormat="true" hidden="false" ht="15" outlineLevel="0" r="697" s="1">
      <c r="A697" s="116" t="n">
        <f aca="false" ca="false" dt2D="false" dtr="false" t="normal">+A696+1</f>
        <v>675</v>
      </c>
      <c r="B697" s="117" t="n">
        <f aca="false" ca="false" dt2D="false" dtr="false" t="normal">+B696+1</f>
        <v>215</v>
      </c>
      <c r="C697" s="104" t="s">
        <v>209</v>
      </c>
      <c r="D697" s="104" t="s">
        <v>658</v>
      </c>
      <c r="E697" s="186" t="n">
        <f aca="false" ca="true" dt2D="false" dtr="false" t="normal">SUBTOTAL(9, F697:T697)</f>
        <v>669073.39</v>
      </c>
      <c r="F697" s="106" t="n">
        <v>0</v>
      </c>
      <c r="G697" s="114" t="n">
        <v>0</v>
      </c>
      <c r="H697" s="114" t="n">
        <v>669073.39</v>
      </c>
      <c r="I697" s="114" t="n">
        <v>0</v>
      </c>
      <c r="J697" s="114" t="n">
        <v>0</v>
      </c>
      <c r="K697" s="114" t="n"/>
      <c r="L697" s="106" t="n"/>
      <c r="M697" s="114" t="n">
        <v>0</v>
      </c>
      <c r="N697" s="114" t="n">
        <v>0</v>
      </c>
      <c r="O697" s="114" t="n">
        <v>0</v>
      </c>
      <c r="P697" s="114" t="n">
        <v>0</v>
      </c>
      <c r="Q697" s="114" t="n">
        <v>0</v>
      </c>
      <c r="R697" s="114" t="n"/>
      <c r="S697" s="114" t="n"/>
      <c r="T697" s="303" t="n"/>
    </row>
    <row customFormat="true" hidden="false" ht="15" outlineLevel="0" r="698" s="1">
      <c r="A698" s="116" t="n">
        <f aca="false" ca="false" dt2D="false" dtr="false" t="normal">+A697+1</f>
        <v>676</v>
      </c>
      <c r="B698" s="117" t="n">
        <f aca="false" ca="false" dt2D="false" dtr="false" t="normal">+B697+1</f>
        <v>216</v>
      </c>
      <c r="C698" s="104" t="s">
        <v>209</v>
      </c>
      <c r="D698" s="104" t="s">
        <v>498</v>
      </c>
      <c r="E698" s="113" t="n">
        <f aca="false" ca="true" dt2D="false" dtr="false" t="normal">SUBTOTAL(9, F698:T698)</f>
        <v>2221722.06</v>
      </c>
      <c r="F698" s="106" t="n">
        <v>2221722.06</v>
      </c>
      <c r="G698" s="114" t="n"/>
      <c r="H698" s="114" t="n"/>
      <c r="I698" s="114" t="n"/>
      <c r="J698" s="114" t="n">
        <v>0</v>
      </c>
      <c r="K698" s="114" t="n"/>
      <c r="L698" s="106" t="n"/>
      <c r="M698" s="114" t="n">
        <v>0</v>
      </c>
      <c r="N698" s="114" t="n"/>
      <c r="O698" s="114" t="n">
        <v>0</v>
      </c>
      <c r="P698" s="114" t="n">
        <v>0</v>
      </c>
      <c r="Q698" s="114" t="n">
        <v>0</v>
      </c>
      <c r="R698" s="304" t="n"/>
      <c r="S698" s="304" t="n"/>
      <c r="T698" s="303" t="n"/>
    </row>
    <row customFormat="true" hidden="false" ht="15" outlineLevel="0" r="699" s="1">
      <c r="A699" s="116" t="n">
        <f aca="false" ca="false" dt2D="false" dtr="false" t="normal">+A698+1</f>
        <v>677</v>
      </c>
      <c r="B699" s="117" t="n">
        <f aca="false" ca="false" dt2D="false" dtr="false" t="normal">+B698+1</f>
        <v>217</v>
      </c>
      <c r="C699" s="104" t="s">
        <v>209</v>
      </c>
      <c r="D699" s="104" t="s">
        <v>659</v>
      </c>
      <c r="E699" s="186" t="n">
        <f aca="false" ca="true" dt2D="false" dtr="false" t="normal">SUBTOTAL(9, F699:T699)</f>
        <v>4466239.9799999995</v>
      </c>
      <c r="F699" s="106" t="n">
        <v>2463106.8</v>
      </c>
      <c r="G699" s="114" t="n">
        <v>850803.38</v>
      </c>
      <c r="H699" s="114" t="n">
        <v>705997.3</v>
      </c>
      <c r="I699" s="114" t="n">
        <v>446332.5</v>
      </c>
      <c r="J699" s="114" t="n">
        <v>0</v>
      </c>
      <c r="K699" s="114" t="n"/>
      <c r="L699" s="106" t="n"/>
      <c r="M699" s="114" t="n">
        <v>0</v>
      </c>
      <c r="N699" s="114" t="n">
        <v>0</v>
      </c>
      <c r="O699" s="114" t="n">
        <v>0</v>
      </c>
      <c r="P699" s="114" t="n">
        <v>0</v>
      </c>
      <c r="Q699" s="114" t="n">
        <v>0</v>
      </c>
      <c r="R699" s="114" t="n"/>
      <c r="S699" s="114" t="n"/>
      <c r="T699" s="303" t="n"/>
    </row>
    <row customFormat="true" hidden="false" ht="15" outlineLevel="0" r="700" s="1">
      <c r="A700" s="116" t="n">
        <f aca="false" ca="false" dt2D="false" dtr="false" t="normal">+A699+1</f>
        <v>678</v>
      </c>
      <c r="B700" s="117" t="n">
        <f aca="false" ca="false" dt2D="false" dtr="false" t="normal">+B699+1</f>
        <v>218</v>
      </c>
      <c r="C700" s="104" t="s">
        <v>209</v>
      </c>
      <c r="D700" s="104" t="s">
        <v>660</v>
      </c>
      <c r="E700" s="186" t="n">
        <f aca="false" ca="true" dt2D="false" dtr="false" t="normal">SUBTOTAL(9, F700:T700)</f>
        <v>692386.02</v>
      </c>
      <c r="F700" s="106" t="n">
        <v>0</v>
      </c>
      <c r="G700" s="114" t="n">
        <v>0</v>
      </c>
      <c r="H700" s="114" t="n">
        <v>692386.02</v>
      </c>
      <c r="I700" s="114" t="n">
        <v>0</v>
      </c>
      <c r="J700" s="114" t="n">
        <v>0</v>
      </c>
      <c r="K700" s="114" t="n"/>
      <c r="L700" s="106" t="n"/>
      <c r="M700" s="114" t="n">
        <v>0</v>
      </c>
      <c r="N700" s="114" t="n">
        <v>0</v>
      </c>
      <c r="O700" s="114" t="n">
        <v>0</v>
      </c>
      <c r="P700" s="114" t="n">
        <v>0</v>
      </c>
      <c r="Q700" s="114" t="n">
        <v>0</v>
      </c>
      <c r="R700" s="114" t="n"/>
      <c r="S700" s="114" t="n"/>
      <c r="T700" s="303" t="n"/>
    </row>
    <row customFormat="true" hidden="false" ht="15" outlineLevel="0" r="701" s="1">
      <c r="A701" s="116" t="n">
        <f aca="false" ca="false" dt2D="false" dtr="false" t="normal">+A700+1</f>
        <v>679</v>
      </c>
      <c r="B701" s="117" t="n">
        <f aca="false" ca="false" dt2D="false" dtr="false" t="normal">+B700+1</f>
        <v>219</v>
      </c>
      <c r="C701" s="104" t="s">
        <v>209</v>
      </c>
      <c r="D701" s="104" t="s">
        <v>661</v>
      </c>
      <c r="E701" s="186" t="n">
        <f aca="false" ca="true" dt2D="false" dtr="false" t="normal">SUBTOTAL(9, F701:T701)</f>
        <v>2084627.56</v>
      </c>
      <c r="F701" s="106" t="n">
        <v>0</v>
      </c>
      <c r="G701" s="114" t="n">
        <v>0</v>
      </c>
      <c r="H701" s="114" t="n"/>
      <c r="I701" s="114" t="n">
        <v>0</v>
      </c>
      <c r="J701" s="114" t="n">
        <v>0</v>
      </c>
      <c r="K701" s="114" t="n"/>
      <c r="L701" s="106" t="n"/>
      <c r="M701" s="114" t="n">
        <v>0</v>
      </c>
      <c r="N701" s="114" t="n">
        <v>0</v>
      </c>
      <c r="O701" s="114" t="n">
        <v>0</v>
      </c>
      <c r="P701" s="114" t="n">
        <v>0</v>
      </c>
      <c r="Q701" s="114" t="n">
        <v>2084627.56</v>
      </c>
      <c r="R701" s="114" t="n"/>
      <c r="S701" s="114" t="n"/>
      <c r="T701" s="303" t="n"/>
    </row>
    <row customFormat="true" hidden="false" ht="15" outlineLevel="0" r="702" s="1">
      <c r="A702" s="116" t="n">
        <f aca="false" ca="false" dt2D="false" dtr="false" t="normal">+A701+1</f>
        <v>680</v>
      </c>
      <c r="B702" s="117" t="n">
        <f aca="false" ca="false" dt2D="false" dtr="false" t="normal">+B701+1</f>
        <v>220</v>
      </c>
      <c r="C702" s="104" t="s">
        <v>209</v>
      </c>
      <c r="D702" s="104" t="s">
        <v>662</v>
      </c>
      <c r="E702" s="186" t="n">
        <f aca="false" ca="true" dt2D="false" dtr="false" t="normal">SUBTOTAL(9, F702:T702)</f>
        <v>3065754.45</v>
      </c>
      <c r="F702" s="106" t="n">
        <v>0</v>
      </c>
      <c r="G702" s="114" t="n">
        <v>0</v>
      </c>
      <c r="H702" s="114" t="n">
        <v>3056156.72</v>
      </c>
      <c r="I702" s="114" t="n">
        <v>0</v>
      </c>
      <c r="J702" s="114" t="n">
        <v>0</v>
      </c>
      <c r="K702" s="114" t="n"/>
      <c r="L702" s="106" t="n"/>
      <c r="M702" s="114" t="n">
        <v>0</v>
      </c>
      <c r="N702" s="114" t="n">
        <v>0</v>
      </c>
      <c r="O702" s="114" t="n">
        <v>0</v>
      </c>
      <c r="P702" s="114" t="n">
        <v>0</v>
      </c>
      <c r="Q702" s="114" t="n">
        <v>0</v>
      </c>
      <c r="R702" s="114" t="n"/>
      <c r="S702" s="114" t="n"/>
      <c r="T702" s="115" t="n">
        <v>9597.73</v>
      </c>
    </row>
    <row customFormat="true" hidden="false" ht="15" outlineLevel="0" r="703" s="1">
      <c r="A703" s="116" t="n">
        <f aca="false" ca="false" dt2D="false" dtr="false" t="normal">+A702+1</f>
        <v>681</v>
      </c>
      <c r="B703" s="117" t="n">
        <f aca="false" ca="false" dt2D="false" dtr="false" t="normal">+B702+1</f>
        <v>221</v>
      </c>
      <c r="C703" s="104" t="s">
        <v>209</v>
      </c>
      <c r="D703" s="104" t="s">
        <v>663</v>
      </c>
      <c r="E703" s="186" t="n">
        <f aca="false" ca="true" dt2D="false" dtr="false" t="normal">SUBTOTAL(9, F703:T703)</f>
        <v>489770.73</v>
      </c>
      <c r="F703" s="106" t="n">
        <v>0</v>
      </c>
      <c r="G703" s="114" t="n">
        <v>0</v>
      </c>
      <c r="H703" s="114" t="n">
        <v>489770.73</v>
      </c>
      <c r="I703" s="114" t="n">
        <v>0</v>
      </c>
      <c r="J703" s="114" t="n">
        <v>0</v>
      </c>
      <c r="K703" s="114" t="n"/>
      <c r="L703" s="106" t="n"/>
      <c r="M703" s="114" t="n">
        <v>0</v>
      </c>
      <c r="N703" s="114" t="n">
        <v>0</v>
      </c>
      <c r="O703" s="114" t="n">
        <v>0</v>
      </c>
      <c r="P703" s="114" t="n">
        <v>0</v>
      </c>
      <c r="Q703" s="114" t="n">
        <v>0</v>
      </c>
      <c r="R703" s="114" t="n"/>
      <c r="S703" s="114" t="n"/>
      <c r="T703" s="303" t="n"/>
    </row>
    <row customFormat="true" hidden="false" ht="15" outlineLevel="0" r="704" s="1">
      <c r="A704" s="116" t="n">
        <f aca="false" ca="false" dt2D="false" dtr="false" t="normal">+A703+1</f>
        <v>682</v>
      </c>
      <c r="B704" s="117" t="n">
        <f aca="false" ca="false" dt2D="false" dtr="false" t="normal">+B703+1</f>
        <v>222</v>
      </c>
      <c r="C704" s="104" t="s">
        <v>209</v>
      </c>
      <c r="D704" s="104" t="s">
        <v>664</v>
      </c>
      <c r="E704" s="186" t="n">
        <f aca="false" ca="true" dt2D="false" dtr="false" t="normal">SUBTOTAL(9, F704:T704)</f>
        <v>512319.15</v>
      </c>
      <c r="F704" s="106" t="n">
        <v>0</v>
      </c>
      <c r="G704" s="114" t="n">
        <v>0</v>
      </c>
      <c r="H704" s="114" t="n">
        <v>512319.15</v>
      </c>
      <c r="I704" s="114" t="n">
        <v>0</v>
      </c>
      <c r="J704" s="114" t="n">
        <v>0</v>
      </c>
      <c r="K704" s="114" t="n"/>
      <c r="L704" s="106" t="n"/>
      <c r="M704" s="114" t="n">
        <v>0</v>
      </c>
      <c r="N704" s="114" t="n">
        <v>0</v>
      </c>
      <c r="O704" s="114" t="n">
        <v>0</v>
      </c>
      <c r="P704" s="114" t="n">
        <v>0</v>
      </c>
      <c r="Q704" s="114" t="n">
        <v>0</v>
      </c>
      <c r="R704" s="114" t="n"/>
      <c r="S704" s="114" t="n"/>
      <c r="T704" s="303" t="n"/>
    </row>
    <row customFormat="true" hidden="false" ht="15" outlineLevel="0" r="705" s="1">
      <c r="A705" s="116" t="n">
        <f aca="false" ca="false" dt2D="false" dtr="false" t="normal">+A704+1</f>
        <v>683</v>
      </c>
      <c r="B705" s="117" t="n">
        <f aca="false" ca="false" dt2D="false" dtr="false" t="normal">+B704+1</f>
        <v>223</v>
      </c>
      <c r="C705" s="104" t="s">
        <v>209</v>
      </c>
      <c r="D705" s="104" t="s">
        <v>665</v>
      </c>
      <c r="E705" s="186" t="n">
        <f aca="false" ca="true" dt2D="false" dtr="false" t="normal">SUBTOTAL(9, F705:T705)</f>
        <v>510478.46</v>
      </c>
      <c r="F705" s="106" t="n">
        <v>0</v>
      </c>
      <c r="G705" s="114" t="n">
        <v>0</v>
      </c>
      <c r="H705" s="114" t="n">
        <v>510478.46</v>
      </c>
      <c r="I705" s="114" t="n">
        <v>0</v>
      </c>
      <c r="J705" s="114" t="n">
        <v>0</v>
      </c>
      <c r="K705" s="114" t="n"/>
      <c r="L705" s="106" t="n"/>
      <c r="M705" s="114" t="n">
        <v>0</v>
      </c>
      <c r="N705" s="114" t="n">
        <v>0</v>
      </c>
      <c r="O705" s="114" t="n">
        <v>0</v>
      </c>
      <c r="P705" s="114" t="n">
        <v>0</v>
      </c>
      <c r="Q705" s="114" t="n">
        <v>0</v>
      </c>
      <c r="R705" s="114" t="n"/>
      <c r="S705" s="114" t="n"/>
      <c r="T705" s="303" t="n"/>
    </row>
    <row customFormat="true" hidden="false" ht="15" outlineLevel="0" r="706" s="1">
      <c r="A706" s="116" t="n">
        <f aca="false" ca="false" dt2D="false" dtr="false" t="normal">+A705+1</f>
        <v>684</v>
      </c>
      <c r="B706" s="117" t="n">
        <f aca="false" ca="false" dt2D="false" dtr="false" t="normal">+B705+1</f>
        <v>224</v>
      </c>
      <c r="C706" s="104" t="s">
        <v>404</v>
      </c>
      <c r="D706" s="104" t="s">
        <v>666</v>
      </c>
      <c r="E706" s="113" t="n">
        <f aca="false" ca="true" dt2D="false" dtr="false" t="normal">SUBTOTAL(9, F706:T706)</f>
        <v>3828166.3</v>
      </c>
      <c r="F706" s="106" t="n">
        <v>3828166.3</v>
      </c>
      <c r="G706" s="114" t="n"/>
      <c r="H706" s="114" t="n"/>
      <c r="I706" s="114" t="n"/>
      <c r="J706" s="114" t="n">
        <v>0</v>
      </c>
      <c r="K706" s="114" t="n"/>
      <c r="L706" s="106" t="n"/>
      <c r="M706" s="114" t="n">
        <v>0</v>
      </c>
      <c r="N706" s="114" t="n">
        <v>0</v>
      </c>
      <c r="O706" s="114" t="n">
        <v>0</v>
      </c>
      <c r="P706" s="114" t="n">
        <v>0</v>
      </c>
      <c r="Q706" s="114" t="n">
        <v>0</v>
      </c>
      <c r="R706" s="114" t="n"/>
      <c r="S706" s="114" t="n"/>
      <c r="T706" s="303" t="n"/>
    </row>
    <row customFormat="true" hidden="false" ht="15" outlineLevel="0" r="707" s="1">
      <c r="A707" s="116" t="n">
        <f aca="false" ca="false" dt2D="false" dtr="false" t="normal">+A706+1</f>
        <v>685</v>
      </c>
      <c r="B707" s="117" t="n">
        <f aca="false" ca="false" dt2D="false" dtr="false" t="normal">+B706+1</f>
        <v>225</v>
      </c>
      <c r="C707" s="104" t="s">
        <v>404</v>
      </c>
      <c r="D707" s="117" t="s">
        <v>667</v>
      </c>
      <c r="E707" s="113" t="n">
        <f aca="false" ca="true" dt2D="false" dtr="false" t="normal">SUBTOTAL(9, F707:T707)</f>
        <v>520542.46</v>
      </c>
      <c r="F707" s="106" t="n"/>
      <c r="G707" s="114" t="n"/>
      <c r="H707" s="114" t="n"/>
      <c r="I707" s="114" t="n">
        <v>520542.46</v>
      </c>
      <c r="J707" s="114" t="n"/>
      <c r="K707" s="114" t="n"/>
      <c r="L707" s="106" t="n"/>
      <c r="M707" s="114" t="n"/>
      <c r="N707" s="114" t="n"/>
      <c r="O707" s="114" t="n"/>
      <c r="P707" s="114" t="n"/>
      <c r="Q707" s="114" t="n"/>
      <c r="R707" s="114" t="n"/>
      <c r="S707" s="114" t="n"/>
      <c r="T707" s="115" t="n"/>
      <c r="U707" s="0" t="n"/>
      <c r="V707" s="0" t="n"/>
      <c r="W707" s="0" t="n"/>
      <c r="X707" s="0" t="n"/>
      <c r="Y707" s="0" t="n"/>
      <c r="Z707" s="0" t="n"/>
      <c r="AA707" s="0" t="n"/>
      <c r="AB707" s="0" t="n"/>
      <c r="AC707" s="0" t="n"/>
      <c r="AD707" s="0" t="n"/>
      <c r="AE707" s="0" t="n"/>
      <c r="AF707" s="0" t="n"/>
      <c r="AG707" s="0" t="n"/>
      <c r="AH707" s="0" t="n"/>
      <c r="AI707" s="0" t="n"/>
      <c r="AJ707" s="0" t="n"/>
      <c r="AK707" s="0" t="n"/>
      <c r="AL707" s="0" t="n"/>
      <c r="AM707" s="0" t="n"/>
      <c r="AN707" s="0" t="n"/>
      <c r="AO707" s="0" t="n"/>
      <c r="AP707" s="0" t="n"/>
      <c r="AQ707" s="0" t="n"/>
      <c r="AR707" s="0" t="n"/>
      <c r="AS707" s="0" t="n"/>
      <c r="AT707" s="0" t="n"/>
      <c r="AU707" s="0" t="n"/>
      <c r="AV707" s="0" t="n"/>
      <c r="AW707" s="0" t="n"/>
      <c r="AX707" s="0" t="n"/>
      <c r="AY707" s="0" t="n"/>
      <c r="AZ707" s="0" t="n"/>
      <c r="BA707" s="0" t="n"/>
      <c r="BB707" s="0" t="n"/>
      <c r="BC707" s="0" t="n"/>
      <c r="BD707" s="0" t="n"/>
      <c r="BE707" s="0" t="n"/>
      <c r="BF707" s="0" t="n"/>
      <c r="BG707" s="0" t="n"/>
      <c r="BH707" s="0" t="n"/>
      <c r="BI707" s="0" t="n"/>
      <c r="BJ707" s="0" t="n"/>
      <c r="BK707" s="0" t="n"/>
      <c r="BL707" s="0" t="n"/>
      <c r="BM707" s="0" t="n"/>
      <c r="BN707" s="0" t="n"/>
      <c r="BO707" s="0" t="n"/>
      <c r="BP707" s="0" t="n"/>
    </row>
    <row customFormat="true" hidden="false" ht="15" outlineLevel="0" r="708" s="1">
      <c r="A708" s="116" t="n">
        <f aca="false" ca="false" dt2D="false" dtr="false" t="normal">+A707+1</f>
        <v>686</v>
      </c>
      <c r="B708" s="117" t="n">
        <f aca="false" ca="false" dt2D="false" dtr="false" t="normal">+B707+1</f>
        <v>226</v>
      </c>
      <c r="C708" s="104" t="s">
        <v>404</v>
      </c>
      <c r="D708" s="104" t="s">
        <v>668</v>
      </c>
      <c r="E708" s="113" t="n">
        <f aca="false" ca="true" dt2D="false" dtr="false" t="normal">SUBTOTAL(9, F708:T708)</f>
        <v>1910484.53</v>
      </c>
      <c r="F708" s="106" t="n"/>
      <c r="G708" s="114" t="n"/>
      <c r="H708" s="114" t="n">
        <v>1910484.53</v>
      </c>
      <c r="I708" s="114" t="n">
        <v>0</v>
      </c>
      <c r="J708" s="114" t="n">
        <v>0</v>
      </c>
      <c r="K708" s="114" t="n"/>
      <c r="L708" s="106" t="n"/>
      <c r="M708" s="114" t="n">
        <v>0</v>
      </c>
      <c r="N708" s="114" t="n">
        <v>0</v>
      </c>
      <c r="O708" s="114" t="n">
        <v>0</v>
      </c>
      <c r="P708" s="114" t="n">
        <v>0</v>
      </c>
      <c r="Q708" s="114" t="n">
        <v>0</v>
      </c>
      <c r="R708" s="114" t="n"/>
      <c r="S708" s="114" t="n"/>
      <c r="T708" s="303" t="n"/>
    </row>
    <row customFormat="true" hidden="false" ht="15" outlineLevel="0" r="709" s="1">
      <c r="A709" s="116" t="n">
        <f aca="false" ca="false" dt2D="false" dtr="false" t="normal">+A708+1</f>
        <v>687</v>
      </c>
      <c r="B709" s="117" t="n">
        <f aca="false" ca="false" dt2D="false" dtr="false" t="normal">+B708+1</f>
        <v>227</v>
      </c>
      <c r="C709" s="104" t="s">
        <v>404</v>
      </c>
      <c r="D709" s="104" t="s">
        <v>669</v>
      </c>
      <c r="E709" s="113" t="n">
        <f aca="false" ca="true" dt2D="false" dtr="false" t="normal">SUBTOTAL(9, F709:T709)</f>
        <v>1342966.97</v>
      </c>
      <c r="F709" s="106" t="n"/>
      <c r="G709" s="114" t="n"/>
      <c r="H709" s="114" t="n">
        <v>1342966.97</v>
      </c>
      <c r="I709" s="114" t="n">
        <v>0</v>
      </c>
      <c r="J709" s="114" t="n">
        <v>0</v>
      </c>
      <c r="K709" s="114" t="n"/>
      <c r="L709" s="106" t="n"/>
      <c r="M709" s="114" t="n">
        <v>0</v>
      </c>
      <c r="N709" s="114" t="n">
        <v>0</v>
      </c>
      <c r="O709" s="114" t="n">
        <v>0</v>
      </c>
      <c r="P709" s="114" t="n">
        <v>0</v>
      </c>
      <c r="Q709" s="114" t="n">
        <v>0</v>
      </c>
      <c r="R709" s="114" t="n"/>
      <c r="S709" s="114" t="n"/>
      <c r="T709" s="303" t="n"/>
    </row>
    <row customFormat="true" hidden="false" ht="15" outlineLevel="0" r="710" s="1">
      <c r="A710" s="116" t="n">
        <f aca="false" ca="false" dt2D="false" dtr="false" t="normal">+A709+1</f>
        <v>688</v>
      </c>
      <c r="B710" s="117" t="n">
        <f aca="false" ca="false" dt2D="false" dtr="false" t="normal">+B709+1</f>
        <v>228</v>
      </c>
      <c r="C710" s="104" t="s">
        <v>404</v>
      </c>
      <c r="D710" s="117" t="s">
        <v>670</v>
      </c>
      <c r="E710" s="113" t="n">
        <f aca="false" ca="true" dt2D="false" dtr="false" t="normal">SUBTOTAL(9, F710:T710)</f>
        <v>4731043.07</v>
      </c>
      <c r="F710" s="106" t="n">
        <v>0</v>
      </c>
      <c r="G710" s="114" t="n">
        <v>0</v>
      </c>
      <c r="H710" s="114" t="n">
        <v>2252096.81</v>
      </c>
      <c r="I710" s="114" t="n">
        <v>2478946.26</v>
      </c>
      <c r="J710" s="114" t="n">
        <v>0</v>
      </c>
      <c r="K710" s="114" t="n"/>
      <c r="L710" s="106" t="n"/>
      <c r="M710" s="114" t="n">
        <v>0</v>
      </c>
      <c r="N710" s="114" t="n">
        <v>0</v>
      </c>
      <c r="O710" s="114" t="n">
        <v>0</v>
      </c>
      <c r="P710" s="114" t="n">
        <v>0</v>
      </c>
      <c r="Q710" s="114" t="n">
        <v>0</v>
      </c>
      <c r="R710" s="114" t="n"/>
      <c r="S710" s="114" t="n"/>
      <c r="T710" s="303" t="n"/>
      <c r="U710" s="0" t="n"/>
      <c r="V710" s="0" t="n"/>
      <c r="W710" s="0" t="n"/>
      <c r="X710" s="0" t="n"/>
      <c r="Y710" s="0" t="n"/>
      <c r="Z710" s="0" t="n"/>
      <c r="AA710" s="0" t="n"/>
      <c r="AB710" s="0" t="n"/>
      <c r="AC710" s="0" t="n"/>
      <c r="AD710" s="0" t="n"/>
      <c r="AE710" s="0" t="n"/>
      <c r="AF710" s="0" t="n"/>
      <c r="AG710" s="0" t="n"/>
      <c r="AH710" s="0" t="n"/>
      <c r="AI710" s="0" t="n"/>
      <c r="AJ710" s="0" t="n"/>
      <c r="AK710" s="0" t="n"/>
      <c r="AL710" s="0" t="n"/>
      <c r="AM710" s="0" t="n"/>
      <c r="AN710" s="0" t="n"/>
      <c r="AO710" s="0" t="n"/>
      <c r="AP710" s="0" t="n"/>
      <c r="AQ710" s="0" t="n"/>
      <c r="AR710" s="0" t="n"/>
      <c r="AS710" s="0" t="n"/>
      <c r="AT710" s="0" t="n"/>
      <c r="AU710" s="0" t="n"/>
      <c r="AV710" s="0" t="n"/>
      <c r="AW710" s="0" t="n"/>
      <c r="AX710" s="0" t="n"/>
      <c r="AY710" s="0" t="n"/>
      <c r="AZ710" s="0" t="n"/>
      <c r="BA710" s="0" t="n"/>
      <c r="BB710" s="0" t="n"/>
      <c r="BC710" s="0" t="n"/>
      <c r="BD710" s="0" t="n"/>
      <c r="BE710" s="0" t="n"/>
      <c r="BF710" s="0" t="n"/>
      <c r="BG710" s="0" t="n"/>
      <c r="BH710" s="0" t="n"/>
      <c r="BI710" s="0" t="n"/>
      <c r="BJ710" s="0" t="n"/>
      <c r="BK710" s="0" t="n"/>
      <c r="BL710" s="0" t="n"/>
      <c r="BM710" s="0" t="n"/>
      <c r="BN710" s="0" t="n"/>
      <c r="BO710" s="0" t="n"/>
      <c r="BP710" s="0" t="n"/>
    </row>
    <row customFormat="true" hidden="false" ht="15" outlineLevel="0" r="711" s="1">
      <c r="A711" s="116" t="n">
        <f aca="false" ca="false" dt2D="false" dtr="false" t="normal">+A710+1</f>
        <v>689</v>
      </c>
      <c r="B711" s="117" t="n">
        <f aca="false" ca="false" dt2D="false" dtr="false" t="normal">+B710+1</f>
        <v>229</v>
      </c>
      <c r="C711" s="104" t="s">
        <v>404</v>
      </c>
      <c r="D711" s="117" t="s">
        <v>671</v>
      </c>
      <c r="E711" s="113" t="n">
        <f aca="false" ca="true" dt2D="false" dtr="false" t="normal">SUBTOTAL(9, F711:T711)</f>
        <v>887392.74</v>
      </c>
      <c r="F711" s="106" t="n">
        <v>0</v>
      </c>
      <c r="G711" s="114" t="n">
        <v>0</v>
      </c>
      <c r="H711" s="114" t="n">
        <v>887392.74</v>
      </c>
      <c r="I711" s="114" t="n">
        <v>0</v>
      </c>
      <c r="J711" s="114" t="n">
        <v>0</v>
      </c>
      <c r="K711" s="114" t="n"/>
      <c r="L711" s="106" t="n"/>
      <c r="M711" s="114" t="n">
        <v>0</v>
      </c>
      <c r="N711" s="114" t="n">
        <v>0</v>
      </c>
      <c r="O711" s="114" t="n">
        <v>0</v>
      </c>
      <c r="P711" s="114" t="n">
        <v>0</v>
      </c>
      <c r="Q711" s="114" t="n">
        <v>0</v>
      </c>
      <c r="R711" s="114" t="n"/>
      <c r="S711" s="114" t="n"/>
      <c r="T711" s="303" t="n"/>
    </row>
    <row customFormat="true" hidden="false" ht="15" outlineLevel="0" r="712" s="1">
      <c r="A712" s="116" t="n">
        <f aca="false" ca="false" dt2D="false" dtr="false" t="normal">+A711+1</f>
        <v>690</v>
      </c>
      <c r="B712" s="117" t="n">
        <f aca="false" ca="false" dt2D="false" dtr="false" t="normal">+B711+1</f>
        <v>230</v>
      </c>
      <c r="C712" s="104" t="s">
        <v>404</v>
      </c>
      <c r="D712" s="104" t="s">
        <v>672</v>
      </c>
      <c r="E712" s="113" t="n">
        <f aca="false" ca="true" dt2D="false" dtr="false" t="normal">SUBTOTAL(9, F712:T712)</f>
        <v>1097208.89</v>
      </c>
      <c r="F712" s="106" t="n">
        <v>0</v>
      </c>
      <c r="G712" s="114" t="n">
        <v>0</v>
      </c>
      <c r="H712" s="114" t="n">
        <v>1097208.89</v>
      </c>
      <c r="I712" s="114" t="n">
        <v>0</v>
      </c>
      <c r="J712" s="114" t="n">
        <v>0</v>
      </c>
      <c r="K712" s="114" t="n"/>
      <c r="L712" s="106" t="n"/>
      <c r="M712" s="114" t="n">
        <v>0</v>
      </c>
      <c r="N712" s="114" t="n">
        <v>0</v>
      </c>
      <c r="O712" s="114" t="n">
        <v>0</v>
      </c>
      <c r="P712" s="114" t="n">
        <v>0</v>
      </c>
      <c r="Q712" s="114" t="n">
        <v>0</v>
      </c>
      <c r="R712" s="114" t="n"/>
      <c r="S712" s="114" t="n"/>
      <c r="T712" s="303" t="n"/>
    </row>
    <row customFormat="true" hidden="false" ht="15" outlineLevel="0" r="713" s="1">
      <c r="A713" s="116" t="n">
        <f aca="false" ca="false" dt2D="false" dtr="false" t="normal">+A712+1</f>
        <v>691</v>
      </c>
      <c r="B713" s="117" t="n">
        <f aca="false" ca="false" dt2D="false" dtr="false" t="normal">+B712+1</f>
        <v>231</v>
      </c>
      <c r="C713" s="104" t="s">
        <v>404</v>
      </c>
      <c r="D713" s="104" t="s">
        <v>673</v>
      </c>
      <c r="E713" s="113" t="n">
        <f aca="false" ca="true" dt2D="false" dtr="false" t="normal">SUBTOTAL(9, F713:T713)</f>
        <v>7670993.42</v>
      </c>
      <c r="F713" s="106" t="n">
        <v>0</v>
      </c>
      <c r="G713" s="114" t="n">
        <v>0</v>
      </c>
      <c r="H713" s="114" t="n">
        <v>0</v>
      </c>
      <c r="I713" s="114" t="n">
        <v>0</v>
      </c>
      <c r="J713" s="114" t="n">
        <v>0</v>
      </c>
      <c r="K713" s="114" t="n"/>
      <c r="L713" s="106" t="n"/>
      <c r="M713" s="114" t="n">
        <v>0</v>
      </c>
      <c r="N713" s="114" t="n">
        <v>7670993.42</v>
      </c>
      <c r="O713" s="114" t="n">
        <v>0</v>
      </c>
      <c r="P713" s="114" t="n">
        <v>0</v>
      </c>
      <c r="Q713" s="114" t="n">
        <v>0</v>
      </c>
      <c r="R713" s="114" t="n"/>
      <c r="S713" s="114" t="n"/>
      <c r="T713" s="303" t="n"/>
    </row>
    <row customFormat="true" hidden="false" ht="15" outlineLevel="0" r="714" s="1">
      <c r="A714" s="116" t="n">
        <f aca="false" ca="false" dt2D="false" dtr="false" t="normal">+A713+1</f>
        <v>692</v>
      </c>
      <c r="B714" s="117" t="n">
        <f aca="false" ca="false" dt2D="false" dtr="false" t="normal">+B713+1</f>
        <v>232</v>
      </c>
      <c r="C714" s="104" t="s">
        <v>404</v>
      </c>
      <c r="D714" s="104" t="s">
        <v>674</v>
      </c>
      <c r="E714" s="113" t="n">
        <f aca="false" ca="true" dt2D="false" dtr="false" t="normal">SUBTOTAL(9, F714:T714)</f>
        <v>1247379.54</v>
      </c>
      <c r="F714" s="106" t="n"/>
      <c r="G714" s="114" t="n"/>
      <c r="H714" s="114" t="n">
        <v>1247379.54</v>
      </c>
      <c r="I714" s="114" t="n">
        <v>0</v>
      </c>
      <c r="J714" s="114" t="n">
        <v>0</v>
      </c>
      <c r="K714" s="114" t="n"/>
      <c r="L714" s="106" t="n"/>
      <c r="M714" s="114" t="n">
        <v>0</v>
      </c>
      <c r="N714" s="114" t="n">
        <v>0</v>
      </c>
      <c r="O714" s="114" t="n">
        <v>0</v>
      </c>
      <c r="P714" s="114" t="n"/>
      <c r="Q714" s="114" t="n">
        <v>0</v>
      </c>
      <c r="R714" s="114" t="n"/>
      <c r="S714" s="114" t="n"/>
      <c r="T714" s="303" t="n"/>
    </row>
    <row customFormat="true" hidden="false" ht="15" outlineLevel="0" r="715" s="1">
      <c r="A715" s="116" t="n">
        <f aca="false" ca="false" dt2D="false" dtr="false" t="normal">+A714+1</f>
        <v>693</v>
      </c>
      <c r="B715" s="117" t="n">
        <f aca="false" ca="false" dt2D="false" dtr="false" t="normal">+B714+1</f>
        <v>233</v>
      </c>
      <c r="C715" s="104" t="s">
        <v>404</v>
      </c>
      <c r="D715" s="117" t="s">
        <v>675</v>
      </c>
      <c r="E715" s="113" t="n">
        <f aca="false" ca="true" dt2D="false" dtr="false" t="normal">SUBTOTAL(9, F715:T715)</f>
        <v>4580283.72</v>
      </c>
      <c r="F715" s="106" t="n"/>
      <c r="G715" s="114" t="n"/>
      <c r="H715" s="114" t="n">
        <v>1419024.89</v>
      </c>
      <c r="I715" s="114" t="n">
        <v>0</v>
      </c>
      <c r="J715" s="114" t="n">
        <v>0</v>
      </c>
      <c r="K715" s="114" t="n"/>
      <c r="L715" s="106" t="n"/>
      <c r="M715" s="114" t="n">
        <v>0</v>
      </c>
      <c r="N715" s="114" t="n">
        <v>3161258.83</v>
      </c>
      <c r="O715" s="114" t="n">
        <v>0</v>
      </c>
      <c r="P715" s="114" t="n"/>
      <c r="Q715" s="114" t="n">
        <v>0</v>
      </c>
      <c r="R715" s="114" t="n"/>
      <c r="S715" s="114" t="n"/>
      <c r="T715" s="303" t="n"/>
    </row>
    <row customFormat="true" hidden="false" ht="15" outlineLevel="0" r="716" s="1">
      <c r="A716" s="116" t="n">
        <f aca="false" ca="false" dt2D="false" dtr="false" t="normal">+A715+1</f>
        <v>694</v>
      </c>
      <c r="B716" s="117" t="n">
        <f aca="false" ca="false" dt2D="false" dtr="false" t="normal">+B715+1</f>
        <v>234</v>
      </c>
      <c r="C716" s="104" t="s">
        <v>404</v>
      </c>
      <c r="D716" s="117" t="s">
        <v>501</v>
      </c>
      <c r="E716" s="113" t="n">
        <f aca="false" ca="true" dt2D="false" dtr="false" t="normal">SUBTOTAL(9, F716:T716)</f>
        <v>2425802.77</v>
      </c>
      <c r="F716" s="106" t="n">
        <v>0</v>
      </c>
      <c r="G716" s="114" t="n">
        <v>0</v>
      </c>
      <c r="H716" s="114" t="n">
        <v>2425802.77</v>
      </c>
      <c r="I716" s="114" t="n"/>
      <c r="J716" s="114" t="n">
        <v>0</v>
      </c>
      <c r="K716" s="114" t="n"/>
      <c r="L716" s="106" t="n"/>
      <c r="M716" s="114" t="n">
        <v>0</v>
      </c>
      <c r="N716" s="114" t="n">
        <v>0</v>
      </c>
      <c r="O716" s="114" t="n">
        <v>0</v>
      </c>
      <c r="P716" s="114" t="n">
        <v>0</v>
      </c>
      <c r="Q716" s="114" t="n">
        <v>0</v>
      </c>
      <c r="R716" s="114" t="n"/>
      <c r="S716" s="114" t="n"/>
      <c r="T716" s="303" t="n"/>
    </row>
    <row customFormat="true" hidden="false" ht="15" outlineLevel="0" r="717" s="1">
      <c r="A717" s="116" t="n">
        <f aca="false" ca="false" dt2D="false" dtr="false" t="normal">+A716+1</f>
        <v>695</v>
      </c>
      <c r="B717" s="117" t="n">
        <f aca="false" ca="false" dt2D="false" dtr="false" t="normal">+B716+1</f>
        <v>235</v>
      </c>
      <c r="C717" s="104" t="s">
        <v>404</v>
      </c>
      <c r="D717" s="104" t="s">
        <v>676</v>
      </c>
      <c r="E717" s="113" t="n">
        <f aca="false" ca="true" dt2D="false" dtr="false" t="normal">SUBTOTAL(9, F717:T717)</f>
        <v>2477308.49</v>
      </c>
      <c r="F717" s="106" t="n">
        <v>0</v>
      </c>
      <c r="G717" s="114" t="n">
        <v>0</v>
      </c>
      <c r="H717" s="114" t="n">
        <v>2477308.49</v>
      </c>
      <c r="I717" s="114" t="n">
        <v>0</v>
      </c>
      <c r="J717" s="114" t="n">
        <v>0</v>
      </c>
      <c r="K717" s="114" t="n"/>
      <c r="L717" s="106" t="n"/>
      <c r="M717" s="114" t="n">
        <v>0</v>
      </c>
      <c r="N717" s="114" t="n">
        <v>0</v>
      </c>
      <c r="O717" s="114" t="n">
        <v>0</v>
      </c>
      <c r="P717" s="114" t="n">
        <v>0</v>
      </c>
      <c r="Q717" s="114" t="n">
        <v>0</v>
      </c>
      <c r="R717" s="114" t="n"/>
      <c r="S717" s="114" t="n"/>
      <c r="T717" s="303" t="n"/>
    </row>
    <row customFormat="true" hidden="false" ht="15" outlineLevel="0" r="718" s="1">
      <c r="A718" s="116" t="n">
        <f aca="false" ca="false" dt2D="false" dtr="false" t="normal">+A717+1</f>
        <v>696</v>
      </c>
      <c r="B718" s="117" t="n">
        <f aca="false" ca="false" dt2D="false" dtr="false" t="normal">+B717+1</f>
        <v>236</v>
      </c>
      <c r="C718" s="104" t="s">
        <v>404</v>
      </c>
      <c r="D718" s="117" t="s">
        <v>677</v>
      </c>
      <c r="E718" s="113" t="n">
        <f aca="false" ca="true" dt2D="false" dtr="false" t="normal">SUBTOTAL(9, F718:T718)</f>
        <v>640276.6</v>
      </c>
      <c r="F718" s="106" t="n"/>
      <c r="G718" s="114" t="n"/>
      <c r="H718" s="114" t="n"/>
      <c r="I718" s="114" t="n">
        <v>640276.6</v>
      </c>
      <c r="J718" s="114" t="n"/>
      <c r="K718" s="114" t="n"/>
      <c r="L718" s="106" t="n"/>
      <c r="M718" s="114" t="n"/>
      <c r="N718" s="114" t="n"/>
      <c r="O718" s="114" t="n"/>
      <c r="P718" s="114" t="n"/>
      <c r="Q718" s="114" t="n"/>
      <c r="R718" s="114" t="n"/>
      <c r="S718" s="114" t="n"/>
      <c r="T718" s="115" t="n"/>
    </row>
    <row customFormat="true" hidden="false" ht="15" outlineLevel="0" r="719" s="1">
      <c r="A719" s="116" t="n">
        <f aca="false" ca="false" dt2D="false" dtr="false" t="normal">+A718+1</f>
        <v>697</v>
      </c>
      <c r="B719" s="117" t="n">
        <f aca="false" ca="false" dt2D="false" dtr="false" t="normal">+B718+1</f>
        <v>237</v>
      </c>
      <c r="C719" s="104" t="s">
        <v>404</v>
      </c>
      <c r="D719" s="104" t="s">
        <v>678</v>
      </c>
      <c r="E719" s="113" t="n">
        <f aca="false" ca="true" dt2D="false" dtr="false" t="normal">SUBTOTAL(9, F719:T719)</f>
        <v>3067621.24</v>
      </c>
      <c r="F719" s="106" t="n">
        <v>0</v>
      </c>
      <c r="G719" s="114" t="n">
        <v>0</v>
      </c>
      <c r="H719" s="114" t="n">
        <v>3067621.24</v>
      </c>
      <c r="I719" s="114" t="n">
        <v>0</v>
      </c>
      <c r="J719" s="114" t="n">
        <v>0</v>
      </c>
      <c r="K719" s="114" t="n"/>
      <c r="L719" s="106" t="n"/>
      <c r="M719" s="114" t="n">
        <v>0</v>
      </c>
      <c r="N719" s="114" t="n">
        <v>0</v>
      </c>
      <c r="O719" s="114" t="n">
        <v>0</v>
      </c>
      <c r="P719" s="114" t="n">
        <v>0</v>
      </c>
      <c r="Q719" s="114" t="n">
        <v>0</v>
      </c>
      <c r="R719" s="114" t="n"/>
      <c r="S719" s="114" t="n"/>
      <c r="T719" s="303" t="n"/>
    </row>
    <row customFormat="true" hidden="false" ht="15" outlineLevel="0" r="720" s="1">
      <c r="A720" s="116" t="n">
        <f aca="false" ca="false" dt2D="false" dtr="false" t="normal">+A719+1</f>
        <v>698</v>
      </c>
      <c r="B720" s="117" t="n">
        <f aca="false" ca="false" dt2D="false" dtr="false" t="normal">+B719+1</f>
        <v>238</v>
      </c>
      <c r="C720" s="104" t="s">
        <v>404</v>
      </c>
      <c r="D720" s="117" t="s">
        <v>679</v>
      </c>
      <c r="E720" s="113" t="n">
        <f aca="false" ca="true" dt2D="false" dtr="false" t="normal">SUBTOTAL(9, F720:T720)</f>
        <v>1357157.63</v>
      </c>
      <c r="F720" s="106" t="n"/>
      <c r="G720" s="114" t="n"/>
      <c r="H720" s="114" t="n"/>
      <c r="I720" s="114" t="n">
        <v>1357157.63</v>
      </c>
      <c r="J720" s="114" t="n"/>
      <c r="K720" s="114" t="n"/>
      <c r="L720" s="106" t="n"/>
      <c r="M720" s="114" t="n"/>
      <c r="N720" s="114" t="n"/>
      <c r="O720" s="114" t="n"/>
      <c r="P720" s="114" t="n"/>
      <c r="Q720" s="114" t="n"/>
      <c r="R720" s="114" t="n"/>
      <c r="S720" s="114" t="n"/>
      <c r="T720" s="115" t="n"/>
    </row>
    <row customFormat="true" hidden="false" ht="15" outlineLevel="0" r="721" s="1">
      <c r="A721" s="116" t="n">
        <f aca="false" ca="false" dt2D="false" dtr="false" t="normal">+A720+1</f>
        <v>699</v>
      </c>
      <c r="B721" s="117" t="n">
        <f aca="false" ca="false" dt2D="false" dtr="false" t="normal">+B720+1</f>
        <v>239</v>
      </c>
      <c r="C721" s="104" t="s">
        <v>404</v>
      </c>
      <c r="D721" s="117" t="s">
        <v>680</v>
      </c>
      <c r="E721" s="113" t="n">
        <f aca="false" ca="true" dt2D="false" dtr="false" t="normal">SUBTOTAL(9, F721:T721)</f>
        <v>530132.51</v>
      </c>
      <c r="F721" s="106" t="n"/>
      <c r="G721" s="114" t="n"/>
      <c r="H721" s="114" t="n"/>
      <c r="I721" s="114" t="n">
        <v>530132.51</v>
      </c>
      <c r="J721" s="114" t="n"/>
      <c r="K721" s="114" t="n"/>
      <c r="L721" s="106" t="n"/>
      <c r="M721" s="114" t="n"/>
      <c r="N721" s="114" t="n"/>
      <c r="O721" s="114" t="n"/>
      <c r="P721" s="114" t="n"/>
      <c r="Q721" s="114" t="n"/>
      <c r="R721" s="114" t="n"/>
      <c r="S721" s="114" t="n"/>
      <c r="T721" s="115" t="n"/>
    </row>
    <row customFormat="true" hidden="false" ht="15" outlineLevel="0" r="722" s="1">
      <c r="A722" s="116" t="n">
        <f aca="false" ca="false" dt2D="false" dtr="false" t="normal">+A721+1</f>
        <v>700</v>
      </c>
      <c r="B722" s="117" t="n">
        <f aca="false" ca="false" dt2D="false" dtr="false" t="normal">+B721+1</f>
        <v>240</v>
      </c>
      <c r="C722" s="104" t="s">
        <v>215</v>
      </c>
      <c r="D722" s="117" t="s">
        <v>681</v>
      </c>
      <c r="E722" s="113" t="n">
        <f aca="false" ca="true" dt2D="false" dtr="false" t="normal">SUBTOTAL(9, F722:T722)</f>
        <v>1825581.15</v>
      </c>
      <c r="F722" s="106" t="n">
        <v>0</v>
      </c>
      <c r="G722" s="114" t="n">
        <v>0</v>
      </c>
      <c r="H722" s="114" t="n">
        <v>0</v>
      </c>
      <c r="I722" s="114" t="n">
        <v>0</v>
      </c>
      <c r="J722" s="114" t="n">
        <v>0</v>
      </c>
      <c r="K722" s="114" t="n"/>
      <c r="L722" s="106" t="n"/>
      <c r="M722" s="114" t="n">
        <v>0</v>
      </c>
      <c r="N722" s="114" t="n"/>
      <c r="O722" s="114" t="n">
        <v>0</v>
      </c>
      <c r="P722" s="114" t="n">
        <v>0</v>
      </c>
      <c r="Q722" s="114" t="n">
        <v>1825581.15</v>
      </c>
      <c r="R722" s="114" t="n"/>
      <c r="S722" s="114" t="n"/>
      <c r="T722" s="303" t="n"/>
    </row>
    <row customFormat="true" customHeight="true" hidden="false" ht="13.5" outlineLevel="0" r="723" s="1">
      <c r="A723" s="116" t="n">
        <f aca="false" ca="false" dt2D="false" dtr="false" t="normal">+A722+1</f>
        <v>701</v>
      </c>
      <c r="B723" s="117" t="n">
        <f aca="false" ca="false" dt2D="false" dtr="false" t="normal">+B722+1</f>
        <v>241</v>
      </c>
      <c r="C723" s="104" t="s">
        <v>215</v>
      </c>
      <c r="D723" s="104" t="s">
        <v>682</v>
      </c>
      <c r="E723" s="186" t="n">
        <f aca="false" ca="true" dt2D="false" dtr="false" t="normal">SUBTOTAL(9, F723:T723)</f>
        <v>7913665.7299999995</v>
      </c>
      <c r="F723" s="106" t="n">
        <v>7187290.38</v>
      </c>
      <c r="G723" s="114" t="n"/>
      <c r="H723" s="114" t="n"/>
      <c r="I723" s="114" t="n"/>
      <c r="J723" s="114" t="n"/>
      <c r="K723" s="114" t="n"/>
      <c r="L723" s="106" t="n"/>
      <c r="M723" s="114" t="n"/>
      <c r="N723" s="114" t="n"/>
      <c r="O723" s="114" t="n"/>
      <c r="P723" s="114" t="n"/>
      <c r="Q723" s="114" t="n"/>
      <c r="R723" s="106" t="n">
        <v>645666.98</v>
      </c>
      <c r="S723" s="106" t="n">
        <v>80708.37</v>
      </c>
      <c r="T723" s="303" t="n"/>
    </row>
    <row customFormat="true" hidden="false" ht="15" outlineLevel="0" r="724" s="1">
      <c r="A724" s="116" t="n">
        <f aca="false" ca="false" dt2D="false" dtr="false" t="normal">+A723+1</f>
        <v>702</v>
      </c>
      <c r="B724" s="117" t="n">
        <f aca="false" ca="false" dt2D="false" dtr="false" t="normal">+B723+1</f>
        <v>242</v>
      </c>
      <c r="C724" s="104" t="s">
        <v>215</v>
      </c>
      <c r="D724" s="104" t="s">
        <v>684</v>
      </c>
      <c r="E724" s="113" t="n">
        <f aca="false" ca="true" dt2D="false" dtr="false" t="normal">SUBTOTAL(9, F724:T724)</f>
        <v>1385891.1</v>
      </c>
      <c r="F724" s="106" t="n"/>
      <c r="G724" s="114" t="n"/>
      <c r="H724" s="114" t="n">
        <v>758098.38</v>
      </c>
      <c r="I724" s="114" t="n">
        <v>627792.72</v>
      </c>
      <c r="J724" s="114" t="n">
        <v>0</v>
      </c>
      <c r="K724" s="114" t="n"/>
      <c r="L724" s="106" t="n"/>
      <c r="M724" s="114" t="n">
        <v>0</v>
      </c>
      <c r="N724" s="114" t="n"/>
      <c r="O724" s="114" t="n">
        <v>0</v>
      </c>
      <c r="P724" s="114" t="n">
        <v>0</v>
      </c>
      <c r="Q724" s="114" t="n">
        <v>0</v>
      </c>
      <c r="R724" s="114" t="n"/>
      <c r="S724" s="114" t="n"/>
      <c r="T724" s="303" t="n"/>
    </row>
    <row customFormat="true" hidden="false" ht="15" outlineLevel="0" r="725" s="1">
      <c r="A725" s="116" t="n">
        <f aca="false" ca="false" dt2D="false" dtr="false" t="normal">+A724+1</f>
        <v>703</v>
      </c>
      <c r="B725" s="117" t="n">
        <f aca="false" ca="false" dt2D="false" dtr="false" t="normal">+B724+1</f>
        <v>243</v>
      </c>
      <c r="C725" s="104" t="s">
        <v>221</v>
      </c>
      <c r="D725" s="104" t="s">
        <v>409</v>
      </c>
      <c r="E725" s="186" t="n">
        <f aca="false" ca="true" dt2D="false" dtr="false" t="normal">SUBTOTAL(9, F725:T725)</f>
        <v>1041448.46</v>
      </c>
      <c r="F725" s="106" t="n">
        <v>0</v>
      </c>
      <c r="G725" s="114" t="n">
        <v>0</v>
      </c>
      <c r="H725" s="114" t="n"/>
      <c r="I725" s="114" t="n">
        <v>0</v>
      </c>
      <c r="J725" s="114" t="n">
        <v>0</v>
      </c>
      <c r="K725" s="114" t="n"/>
      <c r="L725" s="106" t="n"/>
      <c r="M725" s="114" t="n">
        <v>0</v>
      </c>
      <c r="N725" s="114" t="n">
        <v>0</v>
      </c>
      <c r="O725" s="114" t="n">
        <v>1041448.46</v>
      </c>
      <c r="P725" s="114" t="n">
        <v>0</v>
      </c>
      <c r="Q725" s="114" t="n"/>
      <c r="R725" s="114" t="n"/>
      <c r="S725" s="114" t="n"/>
      <c r="T725" s="303" t="n"/>
    </row>
    <row customFormat="true" hidden="false" ht="15" outlineLevel="0" r="726" s="1">
      <c r="A726" s="116" t="n">
        <f aca="false" ca="false" dt2D="false" dtr="false" t="normal">+A725+1</f>
        <v>704</v>
      </c>
      <c r="B726" s="117" t="n">
        <f aca="false" ca="false" dt2D="false" dtr="false" t="normal">+B725+1</f>
        <v>244</v>
      </c>
      <c r="C726" s="104" t="s">
        <v>221</v>
      </c>
      <c r="D726" s="104" t="s">
        <v>685</v>
      </c>
      <c r="E726" s="186" t="n">
        <f aca="false" ca="true" dt2D="false" dtr="false" t="normal">SUBTOTAL(9, F726:T726)</f>
        <v>6106727.5200000005</v>
      </c>
      <c r="F726" s="106" t="n">
        <v>0</v>
      </c>
      <c r="G726" s="114" t="n">
        <v>0</v>
      </c>
      <c r="H726" s="114" t="n">
        <v>1349826.58</v>
      </c>
      <c r="I726" s="114" t="n">
        <v>0</v>
      </c>
      <c r="J726" s="114" t="n">
        <v>0</v>
      </c>
      <c r="K726" s="114" t="n"/>
      <c r="L726" s="106" t="n"/>
      <c r="M726" s="114" t="n">
        <v>0</v>
      </c>
      <c r="N726" s="114" t="n">
        <v>0</v>
      </c>
      <c r="O726" s="114" t="n">
        <v>1047206.53</v>
      </c>
      <c r="P726" s="114" t="n">
        <v>0</v>
      </c>
      <c r="Q726" s="114" t="n">
        <v>3709694.41</v>
      </c>
      <c r="R726" s="114" t="n"/>
      <c r="S726" s="114" t="n"/>
      <c r="T726" s="303" t="n"/>
    </row>
    <row customFormat="true" hidden="false" ht="15" outlineLevel="0" r="727" s="1">
      <c r="A727" s="116" t="n">
        <f aca="false" ca="false" dt2D="false" dtr="false" t="normal">+A726+1</f>
        <v>705</v>
      </c>
      <c r="B727" s="117" t="n">
        <f aca="false" ca="false" dt2D="false" dtr="false" t="normal">+B726+1</f>
        <v>245</v>
      </c>
      <c r="C727" s="104" t="s">
        <v>221</v>
      </c>
      <c r="D727" s="104" t="s">
        <v>223</v>
      </c>
      <c r="E727" s="186" t="n">
        <f aca="false" ca="true" dt2D="false" dtr="false" t="normal">SUBTOTAL(9, F727:T727)</f>
        <v>1722929.35</v>
      </c>
      <c r="F727" s="106" t="n"/>
      <c r="G727" s="114" t="n"/>
      <c r="H727" s="114" t="n">
        <v>1722929.35</v>
      </c>
      <c r="I727" s="114" t="n">
        <v>0</v>
      </c>
      <c r="J727" s="114" t="n">
        <v>0</v>
      </c>
      <c r="K727" s="114" t="n"/>
      <c r="L727" s="106" t="n"/>
      <c r="M727" s="114" t="n">
        <v>0</v>
      </c>
      <c r="N727" s="114" t="n">
        <v>0</v>
      </c>
      <c r="O727" s="114" t="n">
        <v>0</v>
      </c>
      <c r="P727" s="114" t="n">
        <v>0</v>
      </c>
      <c r="Q727" s="114" t="n">
        <v>0</v>
      </c>
      <c r="R727" s="114" t="n"/>
      <c r="S727" s="114" t="n"/>
      <c r="T727" s="303" t="n"/>
    </row>
    <row customFormat="true" hidden="false" ht="15" outlineLevel="0" r="728" s="1">
      <c r="A728" s="116" t="n">
        <f aca="false" ca="false" dt2D="false" dtr="false" t="normal">+A727+1</f>
        <v>706</v>
      </c>
      <c r="B728" s="117" t="n">
        <f aca="false" ca="false" dt2D="false" dtr="false" t="normal">+B727+1</f>
        <v>246</v>
      </c>
      <c r="C728" s="104" t="s">
        <v>221</v>
      </c>
      <c r="D728" s="117" t="s">
        <v>413</v>
      </c>
      <c r="E728" s="186" t="n">
        <f aca="false" ca="true" dt2D="false" dtr="false" t="normal">SUBTOTAL(9, F728:T728)</f>
        <v>20939871.77</v>
      </c>
      <c r="F728" s="106" t="n"/>
      <c r="G728" s="114" t="n">
        <v>4985424.9</v>
      </c>
      <c r="H728" s="114" t="n"/>
      <c r="I728" s="114" t="n">
        <v>1839863.46</v>
      </c>
      <c r="J728" s="114" t="n">
        <v>0</v>
      </c>
      <c r="K728" s="114" t="n"/>
      <c r="L728" s="106" t="n"/>
      <c r="M728" s="114" t="n">
        <v>0</v>
      </c>
      <c r="N728" s="114" t="n">
        <v>14114583.41</v>
      </c>
      <c r="O728" s="114" t="n">
        <v>0</v>
      </c>
      <c r="P728" s="114" t="n"/>
      <c r="Q728" s="114" t="n"/>
      <c r="R728" s="114" t="n"/>
      <c r="S728" s="114" t="n"/>
      <c r="T728" s="303" t="n"/>
    </row>
    <row customFormat="true" hidden="false" ht="15" outlineLevel="0" r="729" s="1">
      <c r="A729" s="116" t="n">
        <f aca="false" ca="false" dt2D="false" dtr="false" t="normal">+A728+1</f>
        <v>707</v>
      </c>
      <c r="B729" s="117" t="n">
        <f aca="false" ca="false" dt2D="false" dtr="false" t="normal">+B728+1</f>
        <v>247</v>
      </c>
      <c r="C729" s="104" t="s">
        <v>221</v>
      </c>
      <c r="D729" s="104" t="s">
        <v>224</v>
      </c>
      <c r="E729" s="186" t="n">
        <f aca="false" ca="true" dt2D="false" dtr="false" t="normal">SUBTOTAL(9, F729:T729)</f>
        <v>12461220.950000001</v>
      </c>
      <c r="F729" s="106" t="n"/>
      <c r="G729" s="114" t="n"/>
      <c r="H729" s="114" t="n">
        <v>1303632.49</v>
      </c>
      <c r="I729" s="114" t="n"/>
      <c r="J729" s="114" t="n"/>
      <c r="K729" s="114" t="n"/>
      <c r="L729" s="106" t="n"/>
      <c r="M729" s="114" t="n">
        <v>0</v>
      </c>
      <c r="N729" s="114" t="n">
        <v>11157588.46</v>
      </c>
      <c r="O729" s="114" t="n">
        <v>0</v>
      </c>
      <c r="P729" s="114" t="n"/>
      <c r="Q729" s="114" t="n"/>
      <c r="R729" s="114" t="n"/>
      <c r="S729" s="114" t="n"/>
      <c r="T729" s="303" t="n"/>
    </row>
    <row customFormat="true" hidden="false" ht="15" outlineLevel="0" r="730" s="1">
      <c r="A730" s="116" t="n">
        <f aca="false" ca="false" dt2D="false" dtr="false" t="normal">+A729+1</f>
        <v>708</v>
      </c>
      <c r="B730" s="117" t="n">
        <f aca="false" ca="false" dt2D="false" dtr="false" t="normal">+B729+1</f>
        <v>248</v>
      </c>
      <c r="C730" s="104" t="s">
        <v>221</v>
      </c>
      <c r="D730" s="104" t="s">
        <v>416</v>
      </c>
      <c r="E730" s="186" t="n">
        <f aca="false" ca="true" dt2D="false" dtr="false" t="normal">SUBTOTAL(9, F730:T730)</f>
        <v>6359724.42</v>
      </c>
      <c r="F730" s="106" t="n">
        <v>5046463.3</v>
      </c>
      <c r="G730" s="114" t="n"/>
      <c r="H730" s="114" t="n">
        <v>1313261.12</v>
      </c>
      <c r="I730" s="114" t="n"/>
      <c r="J730" s="114" t="n">
        <v>0</v>
      </c>
      <c r="K730" s="114" t="n"/>
      <c r="L730" s="106" t="n"/>
      <c r="M730" s="114" t="n">
        <v>0</v>
      </c>
      <c r="N730" s="114" t="n"/>
      <c r="O730" s="114" t="n">
        <v>0</v>
      </c>
      <c r="P730" s="114" t="n"/>
      <c r="Q730" s="114" t="n"/>
      <c r="R730" s="114" t="n"/>
      <c r="S730" s="114" t="n"/>
      <c r="T730" s="303" t="n"/>
    </row>
    <row customFormat="true" hidden="false" ht="15" outlineLevel="0" r="731" s="1">
      <c r="A731" s="116" t="n">
        <f aca="false" ca="false" dt2D="false" dtr="false" t="normal">+A730+1</f>
        <v>709</v>
      </c>
      <c r="B731" s="117" t="n">
        <f aca="false" ca="false" dt2D="false" dtr="false" t="normal">+B730+1</f>
        <v>249</v>
      </c>
      <c r="C731" s="104" t="s">
        <v>221</v>
      </c>
      <c r="D731" s="104" t="s">
        <v>417</v>
      </c>
      <c r="E731" s="186" t="n">
        <f aca="false" ca="true" dt2D="false" dtr="false" t="normal">SUBTOTAL(9, F731:T731)</f>
        <v>15380104.45</v>
      </c>
      <c r="F731" s="106" t="n">
        <v>3583619.26</v>
      </c>
      <c r="G731" s="114" t="n">
        <v>2218742.45</v>
      </c>
      <c r="H731" s="114" t="n"/>
      <c r="I731" s="114" t="n">
        <v>906414.56</v>
      </c>
      <c r="J731" s="114" t="n">
        <v>0</v>
      </c>
      <c r="K731" s="114" t="n"/>
      <c r="L731" s="106" t="n"/>
      <c r="M731" s="114" t="n">
        <v>0</v>
      </c>
      <c r="N731" s="114" t="n"/>
      <c r="O731" s="114" t="n">
        <v>0</v>
      </c>
      <c r="P731" s="114" t="n">
        <v>8671328.18</v>
      </c>
      <c r="Q731" s="114" t="n"/>
      <c r="R731" s="114" t="n"/>
      <c r="S731" s="114" t="n"/>
      <c r="T731" s="303" t="n"/>
    </row>
    <row customFormat="true" hidden="false" ht="15" outlineLevel="0" r="732" s="1">
      <c r="A732" s="116" t="n">
        <f aca="false" ca="false" dt2D="false" dtr="false" t="normal">+A731+1</f>
        <v>710</v>
      </c>
      <c r="B732" s="117" t="n">
        <f aca="false" ca="false" dt2D="false" dtr="false" t="normal">+B731+1</f>
        <v>250</v>
      </c>
      <c r="C732" s="104" t="s">
        <v>221</v>
      </c>
      <c r="D732" s="104" t="s">
        <v>418</v>
      </c>
      <c r="E732" s="186" t="n">
        <f aca="false" ca="true" dt2D="false" dtr="false" t="normal">SUBTOTAL(9, F732:T732)</f>
        <v>15531686.02</v>
      </c>
      <c r="F732" s="106" t="n">
        <v>3617984.03</v>
      </c>
      <c r="G732" s="114" t="n">
        <v>2231790.38</v>
      </c>
      <c r="H732" s="114" t="n"/>
      <c r="I732" s="114" t="n">
        <v>912769.66</v>
      </c>
      <c r="J732" s="114" t="n">
        <v>0</v>
      </c>
      <c r="K732" s="114" t="n"/>
      <c r="L732" s="106" t="n"/>
      <c r="M732" s="114" t="n">
        <v>0</v>
      </c>
      <c r="N732" s="114" t="n"/>
      <c r="O732" s="114" t="n">
        <v>0</v>
      </c>
      <c r="P732" s="114" t="n">
        <v>8769141.95</v>
      </c>
      <c r="Q732" s="114" t="n"/>
      <c r="R732" s="114" t="n"/>
      <c r="S732" s="114" t="n"/>
      <c r="T732" s="303" t="n"/>
    </row>
    <row customFormat="true" hidden="false" ht="15" outlineLevel="0" r="733" s="1">
      <c r="A733" s="116" t="n">
        <f aca="false" ca="false" dt2D="false" dtr="false" t="normal">+A732+1</f>
        <v>711</v>
      </c>
      <c r="B733" s="117" t="n">
        <f aca="false" ca="false" dt2D="false" dtr="false" t="normal">+B732+1</f>
        <v>251</v>
      </c>
      <c r="C733" s="104" t="s">
        <v>221</v>
      </c>
      <c r="D733" s="104" t="s">
        <v>686</v>
      </c>
      <c r="E733" s="186" t="n">
        <f aca="false" ca="true" dt2D="false" dtr="false" t="normal">SUBTOTAL(9, F733:T733)</f>
        <v>20077512.990000002</v>
      </c>
      <c r="F733" s="106" t="n">
        <v>3823646.79</v>
      </c>
      <c r="G733" s="114" t="n">
        <v>1377432.69</v>
      </c>
      <c r="H733" s="114" t="n">
        <v>1299925.64</v>
      </c>
      <c r="I733" s="114" t="n">
        <v>926339.46</v>
      </c>
      <c r="J733" s="114" t="n">
        <v>0</v>
      </c>
      <c r="K733" s="114" t="n"/>
      <c r="L733" s="106" t="n"/>
      <c r="M733" s="114" t="n">
        <v>0</v>
      </c>
      <c r="N733" s="114" t="n">
        <v>8641835.74</v>
      </c>
      <c r="O733" s="114" t="n"/>
      <c r="P733" s="114" t="n"/>
      <c r="Q733" s="114" t="n">
        <v>4008332.67</v>
      </c>
      <c r="R733" s="114" t="n"/>
      <c r="S733" s="114" t="n"/>
      <c r="T733" s="303" t="n"/>
    </row>
    <row customFormat="true" hidden="false" ht="15" outlineLevel="0" r="734" s="1">
      <c r="A734" s="116" t="n">
        <f aca="false" ca="false" dt2D="false" dtr="false" t="normal">+A733+1</f>
        <v>712</v>
      </c>
      <c r="B734" s="117" t="n">
        <f aca="false" ca="false" dt2D="false" dtr="false" t="normal">+B733+1</f>
        <v>252</v>
      </c>
      <c r="C734" s="104" t="s">
        <v>221</v>
      </c>
      <c r="D734" s="104" t="s">
        <v>687</v>
      </c>
      <c r="E734" s="186" t="n">
        <f aca="false" ca="true" dt2D="false" dtr="false" t="normal">SUBTOTAL(9, F734:T734)</f>
        <v>36743337.849999994</v>
      </c>
      <c r="F734" s="106" t="n">
        <v>9150018.92</v>
      </c>
      <c r="G734" s="114" t="n">
        <v>3322771.24</v>
      </c>
      <c r="H734" s="114" t="n">
        <v>3507760.11</v>
      </c>
      <c r="I734" s="114" t="n">
        <v>2240831.52</v>
      </c>
      <c r="J734" s="114" t="n">
        <v>0</v>
      </c>
      <c r="K734" s="114" t="n"/>
      <c r="L734" s="106" t="n"/>
      <c r="M734" s="114" t="n">
        <v>0</v>
      </c>
      <c r="N734" s="114" t="n">
        <v>8901708.08</v>
      </c>
      <c r="O734" s="114" t="n"/>
      <c r="P734" s="114" t="n"/>
      <c r="Q734" s="114" t="n">
        <v>9620247.98</v>
      </c>
      <c r="R734" s="114" t="n"/>
      <c r="S734" s="114" t="n"/>
      <c r="T734" s="303" t="n"/>
    </row>
    <row customFormat="true" hidden="false" ht="15" outlineLevel="0" r="735" s="1">
      <c r="A735" s="116" t="n">
        <f aca="false" ca="false" dt2D="false" dtr="false" t="normal">+A734+1</f>
        <v>713</v>
      </c>
      <c r="B735" s="117" t="n">
        <f aca="false" ca="false" dt2D="false" dtr="false" t="normal">+B734+1</f>
        <v>253</v>
      </c>
      <c r="C735" s="104" t="s">
        <v>221</v>
      </c>
      <c r="D735" s="104" t="s">
        <v>419</v>
      </c>
      <c r="E735" s="186" t="n">
        <f aca="false" ca="true" dt2D="false" dtr="false" t="normal">SUBTOTAL(9, F735:T735)</f>
        <v>22238361.36</v>
      </c>
      <c r="F735" s="106" t="n">
        <v>10537075.37</v>
      </c>
      <c r="G735" s="114" t="n">
        <v>3835013.48</v>
      </c>
      <c r="H735" s="114" t="n">
        <v>4042843.39</v>
      </c>
      <c r="I735" s="114" t="n">
        <v>2587058.61</v>
      </c>
      <c r="J735" s="114" t="n">
        <v>0</v>
      </c>
      <c r="K735" s="114" t="n"/>
      <c r="L735" s="106" t="n"/>
      <c r="M735" s="114" t="n">
        <v>0</v>
      </c>
      <c r="N735" s="114" t="n">
        <v>1236370.51</v>
      </c>
      <c r="O735" s="114" t="n"/>
      <c r="P735" s="114" t="n"/>
      <c r="Q735" s="114" t="n"/>
      <c r="R735" s="114" t="n"/>
      <c r="S735" s="114" t="n"/>
      <c r="T735" s="303" t="n"/>
    </row>
    <row customFormat="true" hidden="false" ht="15" outlineLevel="0" r="736" s="1">
      <c r="A736" s="116" t="n">
        <f aca="false" ca="false" dt2D="false" dtr="false" t="normal">+A735+1</f>
        <v>714</v>
      </c>
      <c r="B736" s="117" t="n">
        <f aca="false" ca="false" dt2D="false" dtr="false" t="normal">+B735+1</f>
        <v>254</v>
      </c>
      <c r="C736" s="104" t="s">
        <v>221</v>
      </c>
      <c r="D736" s="104" t="s">
        <v>420</v>
      </c>
      <c r="E736" s="113" t="n">
        <f aca="false" ca="true" dt2D="false" dtr="false" t="normal">SUBTOTAL(9, F736:T736)</f>
        <v>2579824.22</v>
      </c>
      <c r="F736" s="106" t="n"/>
      <c r="G736" s="114" t="n">
        <v>812378.4</v>
      </c>
      <c r="H736" s="114" t="n">
        <v>1020805.68</v>
      </c>
      <c r="I736" s="114" t="n">
        <v>341058.14</v>
      </c>
      <c r="J736" s="114" t="n">
        <v>0</v>
      </c>
      <c r="K736" s="114" t="n"/>
      <c r="L736" s="106" t="n"/>
      <c r="M736" s="114" t="n">
        <v>0</v>
      </c>
      <c r="N736" s="114" t="n"/>
      <c r="O736" s="114" t="n">
        <v>0</v>
      </c>
      <c r="P736" s="114" t="n"/>
      <c r="Q736" s="114" t="n">
        <v>405582</v>
      </c>
      <c r="R736" s="114" t="n"/>
      <c r="S736" s="114" t="n"/>
      <c r="T736" s="303" t="n"/>
      <c r="X736" s="206" t="n"/>
    </row>
    <row customFormat="true" hidden="false" ht="15" outlineLevel="0" r="737" s="1">
      <c r="A737" s="116" t="n">
        <f aca="false" ca="false" dt2D="false" dtr="false" t="normal">+A736+1</f>
        <v>715</v>
      </c>
      <c r="B737" s="117" t="n">
        <f aca="false" ca="false" dt2D="false" dtr="false" t="normal">+B736+1</f>
        <v>255</v>
      </c>
      <c r="C737" s="104" t="s">
        <v>221</v>
      </c>
      <c r="D737" s="104" t="s">
        <v>421</v>
      </c>
      <c r="E737" s="186" t="n">
        <f aca="false" ca="true" dt2D="false" dtr="false" t="normal">SUBTOTAL(9, F737:T737)</f>
        <v>14939332.680000002</v>
      </c>
      <c r="F737" s="106" t="n">
        <v>3347005.19</v>
      </c>
      <c r="G737" s="114" t="n">
        <v>2036602.79</v>
      </c>
      <c r="H737" s="114" t="n"/>
      <c r="I737" s="114" t="n">
        <v>837192.48</v>
      </c>
      <c r="J737" s="114" t="n">
        <v>0</v>
      </c>
      <c r="K737" s="114" t="n"/>
      <c r="L737" s="106" t="n"/>
      <c r="M737" s="114" t="n">
        <v>0</v>
      </c>
      <c r="N737" s="114" t="n"/>
      <c r="O737" s="114" t="n">
        <v>0</v>
      </c>
      <c r="P737" s="114" t="n">
        <v>8718532.22</v>
      </c>
      <c r="Q737" s="114" t="n"/>
      <c r="R737" s="114" t="n"/>
      <c r="S737" s="114" t="n"/>
      <c r="T737" s="303" t="n"/>
    </row>
    <row customFormat="true" hidden="false" ht="15" outlineLevel="0" r="738" s="1">
      <c r="A738" s="116" t="n">
        <f aca="false" ca="false" dt2D="false" dtr="false" t="normal">+A737+1</f>
        <v>716</v>
      </c>
      <c r="B738" s="117" t="n">
        <f aca="false" ca="false" dt2D="false" dtr="false" t="normal">+B737+1</f>
        <v>256</v>
      </c>
      <c r="C738" s="104" t="s">
        <v>221</v>
      </c>
      <c r="D738" s="104" t="s">
        <v>688</v>
      </c>
      <c r="E738" s="186" t="n">
        <f aca="false" ca="true" dt2D="false" dtr="false" t="normal">SUBTOTAL(9, F738:T738)</f>
        <v>8366611.1</v>
      </c>
      <c r="F738" s="106" t="n"/>
      <c r="G738" s="114" t="n"/>
      <c r="H738" s="114" t="n"/>
      <c r="I738" s="114" t="n"/>
      <c r="J738" s="114" t="n"/>
      <c r="K738" s="114" t="n"/>
      <c r="L738" s="106" t="n"/>
      <c r="M738" s="114" t="n">
        <v>8024927.1</v>
      </c>
      <c r="N738" s="114" t="n"/>
      <c r="O738" s="114" t="n"/>
      <c r="P738" s="114" t="n"/>
      <c r="Q738" s="114" t="n"/>
      <c r="R738" s="114" t="n">
        <v>256263</v>
      </c>
      <c r="S738" s="114" t="n">
        <v>85421</v>
      </c>
      <c r="T738" s="303" t="n"/>
    </row>
    <row customFormat="true" hidden="false" ht="15" outlineLevel="0" r="739" s="1">
      <c r="A739" s="116" t="n">
        <f aca="false" ca="false" dt2D="false" dtr="false" t="normal">+A738+1</f>
        <v>717</v>
      </c>
      <c r="B739" s="117" t="n">
        <f aca="false" ca="false" dt2D="false" dtr="false" t="normal">+B738+1</f>
        <v>257</v>
      </c>
      <c r="C739" s="104" t="s">
        <v>221</v>
      </c>
      <c r="D739" s="117" t="s">
        <v>225</v>
      </c>
      <c r="E739" s="186" t="n">
        <f aca="false" ca="true" dt2D="false" dtr="false" t="normal">SUBTOTAL(9, F739:T739)</f>
        <v>14373809.799999999</v>
      </c>
      <c r="F739" s="106" t="n">
        <v>3852549.4</v>
      </c>
      <c r="G739" s="114" t="n"/>
      <c r="H739" s="114" t="n"/>
      <c r="I739" s="114" t="n"/>
      <c r="J739" s="114" t="n">
        <v>0</v>
      </c>
      <c r="K739" s="114" t="n"/>
      <c r="L739" s="106" t="n"/>
      <c r="M739" s="114" t="n">
        <v>0</v>
      </c>
      <c r="N739" s="114" t="n">
        <v>9738193.2</v>
      </c>
      <c r="O739" s="114" t="n"/>
      <c r="P739" s="114" t="n"/>
      <c r="Q739" s="114" t="n">
        <v>783067.2</v>
      </c>
      <c r="R739" s="114" t="n"/>
      <c r="S739" s="114" t="n"/>
      <c r="T739" s="303" t="n"/>
    </row>
    <row customFormat="true" hidden="false" ht="15" outlineLevel="0" r="740" s="1">
      <c r="A740" s="116" t="n">
        <f aca="false" ca="false" dt2D="false" dtr="false" t="normal">+A739+1</f>
        <v>718</v>
      </c>
      <c r="B740" s="117" t="n">
        <f aca="false" ca="false" dt2D="false" dtr="false" t="normal">+B739+1</f>
        <v>258</v>
      </c>
      <c r="C740" s="104" t="s">
        <v>221</v>
      </c>
      <c r="D740" s="104" t="s">
        <v>423</v>
      </c>
      <c r="E740" s="186" t="n">
        <f aca="false" ca="true" dt2D="false" dtr="false" t="normal">SUBTOTAL(9, F740:T740)</f>
        <v>6075169.149999999</v>
      </c>
      <c r="F740" s="106" t="n">
        <v>3770666.24</v>
      </c>
      <c r="G740" s="114" t="n">
        <v>1375290.94</v>
      </c>
      <c r="H740" s="114" t="n"/>
      <c r="I740" s="114" t="n">
        <v>929211.97</v>
      </c>
      <c r="J740" s="114" t="n">
        <v>0</v>
      </c>
      <c r="K740" s="114" t="n"/>
      <c r="L740" s="106" t="n"/>
      <c r="M740" s="114" t="n">
        <v>0</v>
      </c>
      <c r="N740" s="114" t="n"/>
      <c r="O740" s="114" t="n">
        <v>0</v>
      </c>
      <c r="P740" s="114" t="n">
        <v>0</v>
      </c>
      <c r="Q740" s="114" t="n"/>
      <c r="R740" s="114" t="n"/>
      <c r="S740" s="114" t="n"/>
      <c r="T740" s="303" t="n"/>
    </row>
    <row customFormat="true" hidden="false" ht="15" outlineLevel="0" r="741" s="1">
      <c r="A741" s="116" t="n">
        <f aca="false" ca="false" dt2D="false" dtr="false" t="normal">+A740+1</f>
        <v>719</v>
      </c>
      <c r="B741" s="117" t="n">
        <f aca="false" ca="false" dt2D="false" dtr="false" t="normal">+B740+1</f>
        <v>259</v>
      </c>
      <c r="C741" s="104" t="s">
        <v>221</v>
      </c>
      <c r="D741" s="104" t="s">
        <v>226</v>
      </c>
      <c r="E741" s="186" t="n">
        <f aca="false" ca="true" dt2D="false" dtr="false" t="normal">SUBTOTAL(9, F741:T741)</f>
        <v>13398089.84</v>
      </c>
      <c r="F741" s="106" t="n">
        <v>3770666.24</v>
      </c>
      <c r="G741" s="114" t="n">
        <v>0</v>
      </c>
      <c r="H741" s="114" t="n"/>
      <c r="I741" s="114" t="n"/>
      <c r="J741" s="114" t="n">
        <v>0</v>
      </c>
      <c r="K741" s="114" t="n"/>
      <c r="L741" s="106" t="n"/>
      <c r="M741" s="114" t="n">
        <v>0</v>
      </c>
      <c r="N741" s="114" t="n">
        <v>9128750.4</v>
      </c>
      <c r="O741" s="114" t="n">
        <v>0</v>
      </c>
      <c r="P741" s="114" t="n"/>
      <c r="Q741" s="114" t="n">
        <v>498673.2</v>
      </c>
      <c r="R741" s="114" t="n"/>
      <c r="S741" s="114" t="n"/>
      <c r="T741" s="303" t="n"/>
    </row>
    <row customFormat="true" hidden="false" ht="15" outlineLevel="0" r="742" s="1">
      <c r="A742" s="116" t="n">
        <f aca="false" ca="false" dt2D="false" dtr="false" t="normal">+A741+1</f>
        <v>720</v>
      </c>
      <c r="B742" s="117" t="n">
        <f aca="false" ca="false" dt2D="false" dtr="false" t="normal">+B741+1</f>
        <v>260</v>
      </c>
      <c r="C742" s="104" t="s">
        <v>221</v>
      </c>
      <c r="D742" s="104" t="s">
        <v>690</v>
      </c>
      <c r="E742" s="186" t="n">
        <f aca="false" ca="true" dt2D="false" dtr="false" t="normal">SUBTOTAL(9, F742:T742)</f>
        <v>21520886.78</v>
      </c>
      <c r="F742" s="106" t="n"/>
      <c r="G742" s="114" t="n"/>
      <c r="H742" s="114" t="n"/>
      <c r="I742" s="114" t="n"/>
      <c r="J742" s="114" t="n"/>
      <c r="K742" s="114" t="n"/>
      <c r="L742" s="106" t="n"/>
      <c r="M742" s="114" t="n"/>
      <c r="N742" s="114" t="n">
        <v>19326534.88</v>
      </c>
      <c r="O742" s="114" t="n">
        <v>0</v>
      </c>
      <c r="P742" s="114" t="n">
        <v>0</v>
      </c>
      <c r="Q742" s="114" t="n">
        <v>0</v>
      </c>
      <c r="R742" s="114" t="n">
        <v>1974916.71</v>
      </c>
      <c r="S742" s="114" t="n">
        <v>219435.19</v>
      </c>
      <c r="T742" s="303" t="n"/>
    </row>
    <row customFormat="true" hidden="false" ht="15" outlineLevel="0" r="743" s="1">
      <c r="A743" s="116" t="n">
        <f aca="false" ca="false" dt2D="false" dtr="false" t="normal">+A742+1</f>
        <v>721</v>
      </c>
      <c r="B743" s="117" t="n">
        <f aca="false" ca="false" dt2D="false" dtr="false" t="normal">+B742+1</f>
        <v>261</v>
      </c>
      <c r="C743" s="104" t="s">
        <v>227</v>
      </c>
      <c r="D743" s="104" t="s">
        <v>691</v>
      </c>
      <c r="E743" s="186" t="n">
        <f aca="false" ca="true" dt2D="false" dtr="false" t="normal">SUBTOTAL(9, F743:T743)</f>
        <v>22018918.549999997</v>
      </c>
      <c r="F743" s="106" t="n">
        <v>10346375.1</v>
      </c>
      <c r="G743" s="114" t="n">
        <v>0</v>
      </c>
      <c r="H743" s="114" t="n">
        <v>0</v>
      </c>
      <c r="I743" s="114" t="n">
        <v>0</v>
      </c>
      <c r="J743" s="114" t="n">
        <v>0</v>
      </c>
      <c r="K743" s="114" t="n"/>
      <c r="L743" s="106" t="n"/>
      <c r="M743" s="114" t="n">
        <v>0</v>
      </c>
      <c r="N743" s="114" t="n">
        <v>0</v>
      </c>
      <c r="O743" s="114" t="n">
        <v>0</v>
      </c>
      <c r="P743" s="114" t="n">
        <v>0</v>
      </c>
      <c r="Q743" s="114" t="n">
        <v>11672543.45</v>
      </c>
      <c r="R743" s="114" t="n"/>
      <c r="S743" s="114" t="n"/>
      <c r="T743" s="303" t="n"/>
    </row>
    <row customFormat="true" hidden="false" ht="15" outlineLevel="0" r="744" s="1">
      <c r="A744" s="116" t="n">
        <f aca="false" ca="false" dt2D="false" dtr="false" t="normal">+A743+1</f>
        <v>722</v>
      </c>
      <c r="B744" s="117" t="n">
        <f aca="false" ca="false" dt2D="false" dtr="false" t="normal">+B743+1</f>
        <v>262</v>
      </c>
      <c r="C744" s="104" t="s">
        <v>227</v>
      </c>
      <c r="D744" s="104" t="s">
        <v>692</v>
      </c>
      <c r="E744" s="186" t="n">
        <f aca="false" ca="true" dt2D="false" dtr="false" t="normal">SUBTOTAL(9, F744:T744)</f>
        <v>10265999.69</v>
      </c>
      <c r="F744" s="106" t="n"/>
      <c r="G744" s="114" t="n"/>
      <c r="H744" s="114" t="n">
        <v>1226548.33</v>
      </c>
      <c r="I744" s="114" t="n">
        <v>2281408.9</v>
      </c>
      <c r="J744" s="114" t="n">
        <v>0</v>
      </c>
      <c r="K744" s="114" t="n"/>
      <c r="L744" s="106" t="n"/>
      <c r="M744" s="114" t="n">
        <v>0</v>
      </c>
      <c r="N744" s="114" t="n"/>
      <c r="O744" s="114" t="n">
        <v>0</v>
      </c>
      <c r="P744" s="114" t="n"/>
      <c r="Q744" s="114" t="n">
        <v>6758042.46</v>
      </c>
      <c r="R744" s="114" t="n"/>
      <c r="S744" s="114" t="n"/>
      <c r="T744" s="303" t="n"/>
    </row>
    <row customFormat="true" hidden="false" ht="15" outlineLevel="0" r="745" s="1">
      <c r="A745" s="116" t="n">
        <f aca="false" ca="false" dt2D="false" dtr="false" t="normal">+A744+1</f>
        <v>723</v>
      </c>
      <c r="B745" s="117" t="n">
        <f aca="false" ca="false" dt2D="false" dtr="false" t="normal">+B744+1</f>
        <v>263</v>
      </c>
      <c r="C745" s="104" t="s">
        <v>227</v>
      </c>
      <c r="D745" s="104" t="s">
        <v>693</v>
      </c>
      <c r="E745" s="186" t="n">
        <f aca="false" ca="true" dt2D="false" dtr="false" t="normal">SUBTOTAL(9, F745:T745)</f>
        <v>6000036.89</v>
      </c>
      <c r="F745" s="106" t="n"/>
      <c r="G745" s="114" t="n"/>
      <c r="H745" s="114" t="n"/>
      <c r="I745" s="114" t="n"/>
      <c r="J745" s="114" t="n"/>
      <c r="K745" s="114" t="n"/>
      <c r="L745" s="106" t="n"/>
      <c r="M745" s="114" t="n">
        <v>5658352.89</v>
      </c>
      <c r="N745" s="114" t="n"/>
      <c r="O745" s="114" t="n"/>
      <c r="P745" s="114" t="n"/>
      <c r="Q745" s="114" t="n"/>
      <c r="R745" s="114" t="n">
        <v>256263</v>
      </c>
      <c r="S745" s="114" t="n">
        <v>85421</v>
      </c>
      <c r="T745" s="303" t="n"/>
    </row>
    <row customFormat="true" hidden="false" ht="15" outlineLevel="0" r="746" s="1">
      <c r="A746" s="116" t="n">
        <f aca="false" ca="false" dt2D="false" dtr="false" t="normal">+A745+1</f>
        <v>724</v>
      </c>
      <c r="B746" s="117" t="n">
        <f aca="false" ca="false" dt2D="false" dtr="false" t="normal">+B745+1</f>
        <v>264</v>
      </c>
      <c r="C746" s="104" t="s">
        <v>227</v>
      </c>
      <c r="D746" s="104" t="s">
        <v>694</v>
      </c>
      <c r="E746" s="186" t="n">
        <f aca="false" ca="true" dt2D="false" dtr="false" t="normal">SUBTOTAL(9, F746:T746)</f>
        <v>6469940.16</v>
      </c>
      <c r="F746" s="106" t="n"/>
      <c r="G746" s="114" t="n"/>
      <c r="H746" s="114" t="n">
        <v>3279759.72</v>
      </c>
      <c r="I746" s="114" t="n"/>
      <c r="J746" s="114" t="n"/>
      <c r="K746" s="114" t="n"/>
      <c r="L746" s="106" t="n"/>
      <c r="M746" s="114" t="n">
        <v>2848496.44</v>
      </c>
      <c r="N746" s="114" t="n"/>
      <c r="O746" s="114" t="n"/>
      <c r="P746" s="114" t="n"/>
      <c r="Q746" s="114" t="n"/>
      <c r="R746" s="114" t="n">
        <v>256263</v>
      </c>
      <c r="S746" s="114" t="n">
        <v>85421</v>
      </c>
      <c r="T746" s="303" t="n"/>
    </row>
    <row customFormat="true" hidden="false" ht="15" outlineLevel="0" r="747" s="1">
      <c r="A747" s="116" t="n">
        <f aca="false" ca="false" dt2D="false" dtr="false" t="normal">+A746+1</f>
        <v>725</v>
      </c>
      <c r="B747" s="117" t="n">
        <f aca="false" ca="false" dt2D="false" dtr="false" t="normal">+B746+1</f>
        <v>265</v>
      </c>
      <c r="C747" s="104" t="s">
        <v>227</v>
      </c>
      <c r="D747" s="104" t="s">
        <v>424</v>
      </c>
      <c r="E747" s="186" t="n">
        <f aca="false" ca="true" dt2D="false" dtr="false" t="normal">SUBTOTAL(9, F747:T747)</f>
        <v>43820711.339999996</v>
      </c>
      <c r="F747" s="106" t="n">
        <v>18516250.19</v>
      </c>
      <c r="G747" s="114" t="n">
        <v>12234264.95</v>
      </c>
      <c r="H747" s="114" t="n"/>
      <c r="I747" s="114" t="n">
        <v>7411843.32</v>
      </c>
      <c r="J747" s="114" t="n">
        <v>0</v>
      </c>
      <c r="K747" s="114" t="n"/>
      <c r="L747" s="106" t="n"/>
      <c r="M747" s="114" t="n">
        <v>5494580.05</v>
      </c>
      <c r="N747" s="114" t="n">
        <v>0</v>
      </c>
      <c r="O747" s="114" t="n">
        <v>0</v>
      </c>
      <c r="P747" s="114" t="n"/>
      <c r="Q747" s="114" t="n">
        <v>0</v>
      </c>
      <c r="R747" s="114" t="n">
        <v>126233.29</v>
      </c>
      <c r="S747" s="114" t="n">
        <v>37539.54</v>
      </c>
      <c r="T747" s="303" t="n"/>
    </row>
    <row customFormat="true" hidden="false" ht="15" outlineLevel="0" r="748" s="1">
      <c r="A748" s="116" t="n">
        <f aca="false" ca="false" dt2D="false" dtr="false" t="normal">+A747+1</f>
        <v>726</v>
      </c>
      <c r="B748" s="117" t="n">
        <f aca="false" ca="false" dt2D="false" dtr="false" t="normal">+B747+1</f>
        <v>266</v>
      </c>
      <c r="C748" s="104" t="s">
        <v>227</v>
      </c>
      <c r="D748" s="117" t="s">
        <v>230</v>
      </c>
      <c r="E748" s="113" t="n">
        <f aca="false" ca="true" dt2D="false" dtr="false" t="normal">SUBTOTAL(9, F748:T748)</f>
        <v>13963940.49</v>
      </c>
      <c r="F748" s="106" t="n">
        <v>13963940.49</v>
      </c>
      <c r="G748" s="114" t="n"/>
      <c r="H748" s="114" t="n"/>
      <c r="I748" s="114" t="n"/>
      <c r="J748" s="114" t="n">
        <v>0</v>
      </c>
      <c r="K748" s="114" t="n"/>
      <c r="L748" s="106" t="n"/>
      <c r="M748" s="114" t="n">
        <v>0</v>
      </c>
      <c r="N748" s="114" t="n"/>
      <c r="O748" s="114" t="n">
        <v>0</v>
      </c>
      <c r="P748" s="114" t="n"/>
      <c r="Q748" s="114" t="n"/>
      <c r="R748" s="114" t="n"/>
      <c r="S748" s="114" t="n"/>
      <c r="T748" s="303" t="n"/>
    </row>
    <row customFormat="true" hidden="false" ht="15" outlineLevel="0" r="749" s="1">
      <c r="A749" s="116" t="n">
        <f aca="false" ca="false" dt2D="false" dtr="false" t="normal">+A748+1</f>
        <v>727</v>
      </c>
      <c r="B749" s="117" t="n">
        <f aca="false" ca="false" dt2D="false" dtr="false" t="normal">+B748+1</f>
        <v>267</v>
      </c>
      <c r="C749" s="104" t="s">
        <v>227</v>
      </c>
      <c r="D749" s="104" t="s">
        <v>695</v>
      </c>
      <c r="E749" s="113" t="n">
        <f aca="false" ca="true" dt2D="false" dtr="false" t="normal">SUBTOTAL(9, F749:T749)</f>
        <v>14071338.059999999</v>
      </c>
      <c r="F749" s="106" t="n">
        <v>4695224.66</v>
      </c>
      <c r="G749" s="114" t="n">
        <v>3264310.72</v>
      </c>
      <c r="H749" s="114" t="n">
        <v>1988887.44</v>
      </c>
      <c r="I749" s="114" t="n">
        <v>1830087.63</v>
      </c>
      <c r="J749" s="114" t="n">
        <v>0</v>
      </c>
      <c r="K749" s="114" t="n"/>
      <c r="L749" s="106" t="n"/>
      <c r="M749" s="114" t="n">
        <v>0</v>
      </c>
      <c r="N749" s="114" t="n">
        <v>2292827.61</v>
      </c>
      <c r="O749" s="114" t="n">
        <v>0</v>
      </c>
      <c r="P749" s="114" t="n">
        <v>0</v>
      </c>
      <c r="Q749" s="114" t="n">
        <v>0</v>
      </c>
      <c r="R749" s="114" t="n"/>
      <c r="S749" s="114" t="n"/>
      <c r="T749" s="303" t="n"/>
    </row>
    <row customFormat="true" hidden="false" ht="15" outlineLevel="0" r="750" s="1">
      <c r="A750" s="116" t="n">
        <f aca="false" ca="false" dt2D="false" dtr="false" t="normal">+A749+1</f>
        <v>728</v>
      </c>
      <c r="B750" s="117" t="n">
        <f aca="false" ca="false" dt2D="false" dtr="false" t="normal">+B749+1</f>
        <v>268</v>
      </c>
      <c r="C750" s="104" t="s">
        <v>227</v>
      </c>
      <c r="D750" s="104" t="s">
        <v>696</v>
      </c>
      <c r="E750" s="186" t="n">
        <f aca="false" ca="true" dt2D="false" dtr="false" t="normal">SUBTOTAL(9, F750:T750)</f>
        <v>2405433.04</v>
      </c>
      <c r="F750" s="106" t="n">
        <v>0</v>
      </c>
      <c r="G750" s="114" t="n">
        <v>0</v>
      </c>
      <c r="H750" s="114" t="n">
        <v>0</v>
      </c>
      <c r="I750" s="114" t="n">
        <v>0</v>
      </c>
      <c r="J750" s="114" t="n">
        <v>0</v>
      </c>
      <c r="K750" s="114" t="n"/>
      <c r="L750" s="106" t="n"/>
      <c r="M750" s="114" t="n">
        <v>0</v>
      </c>
      <c r="N750" s="114" t="n">
        <v>2405433.04</v>
      </c>
      <c r="O750" s="114" t="n">
        <v>0</v>
      </c>
      <c r="P750" s="114" t="n">
        <v>0</v>
      </c>
      <c r="Q750" s="114" t="n">
        <v>0</v>
      </c>
      <c r="R750" s="114" t="n"/>
      <c r="S750" s="114" t="n"/>
      <c r="T750" s="303" t="n"/>
    </row>
    <row customFormat="true" hidden="false" ht="15" outlineLevel="0" r="751" s="1">
      <c r="A751" s="116" t="n">
        <f aca="false" ca="false" dt2D="false" dtr="false" t="normal">+A750+1</f>
        <v>729</v>
      </c>
      <c r="B751" s="117" t="n">
        <f aca="false" ca="false" dt2D="false" dtr="false" t="normal">+B750+1</f>
        <v>269</v>
      </c>
      <c r="C751" s="104" t="s">
        <v>227</v>
      </c>
      <c r="D751" s="104" t="s">
        <v>697</v>
      </c>
      <c r="E751" s="113" t="n">
        <f aca="false" ca="true" dt2D="false" dtr="false" t="normal">SUBTOTAL(9, F751:T751)</f>
        <v>2894040.3</v>
      </c>
      <c r="F751" s="106" t="n">
        <v>0</v>
      </c>
      <c r="G751" s="114" t="n">
        <v>0</v>
      </c>
      <c r="H751" s="114" t="n">
        <v>0</v>
      </c>
      <c r="I751" s="114" t="n">
        <v>0</v>
      </c>
      <c r="J751" s="114" t="n">
        <v>0</v>
      </c>
      <c r="K751" s="114" t="n"/>
      <c r="L751" s="106" t="n"/>
      <c r="M751" s="114" t="n">
        <v>0</v>
      </c>
      <c r="N751" s="114" t="n">
        <v>2894040.3</v>
      </c>
      <c r="O751" s="114" t="n">
        <v>0</v>
      </c>
      <c r="P751" s="114" t="n">
        <v>0</v>
      </c>
      <c r="Q751" s="114" t="n">
        <v>0</v>
      </c>
      <c r="R751" s="114" t="n"/>
      <c r="S751" s="114" t="n"/>
      <c r="T751" s="303" t="n"/>
    </row>
    <row customFormat="true" hidden="false" ht="15" outlineLevel="0" r="752" s="1">
      <c r="A752" s="116" t="n">
        <f aca="false" ca="false" dt2D="false" dtr="false" t="normal">+A751+1</f>
        <v>730</v>
      </c>
      <c r="B752" s="117" t="n">
        <f aca="false" ca="false" dt2D="false" dtr="false" t="normal">+B751+1</f>
        <v>270</v>
      </c>
      <c r="C752" s="104" t="s">
        <v>227</v>
      </c>
      <c r="D752" s="117" t="s">
        <v>698</v>
      </c>
      <c r="E752" s="186" t="n">
        <f aca="false" ca="true" dt2D="false" dtr="false" t="normal">SUBTOTAL(9, F752:T752)</f>
        <v>15751391.83</v>
      </c>
      <c r="F752" s="106" t="n">
        <v>4903713.12</v>
      </c>
      <c r="G752" s="114" t="n">
        <v>3409820.7</v>
      </c>
      <c r="H752" s="114" t="n">
        <v>0</v>
      </c>
      <c r="I752" s="114" t="n">
        <v>1911644.19</v>
      </c>
      <c r="J752" s="114" t="n">
        <v>0</v>
      </c>
      <c r="K752" s="114" t="n"/>
      <c r="L752" s="106" t="n"/>
      <c r="M752" s="114" t="n">
        <v>0</v>
      </c>
      <c r="N752" s="114" t="n"/>
      <c r="O752" s="114" t="n"/>
      <c r="P752" s="114" t="n"/>
      <c r="Q752" s="114" t="n">
        <v>5526213.82</v>
      </c>
      <c r="R752" s="114" t="n"/>
      <c r="S752" s="114" t="n"/>
      <c r="T752" s="303" t="n"/>
    </row>
    <row customFormat="true" hidden="false" ht="15" outlineLevel="0" r="753" s="1">
      <c r="A753" s="116" t="n">
        <f aca="false" ca="false" dt2D="false" dtr="false" t="normal">+A752+1</f>
        <v>731</v>
      </c>
      <c r="B753" s="117" t="n">
        <f aca="false" ca="false" dt2D="false" dtr="false" t="normal">+B752+1</f>
        <v>271</v>
      </c>
      <c r="C753" s="104" t="s">
        <v>227</v>
      </c>
      <c r="D753" s="104" t="s">
        <v>699</v>
      </c>
      <c r="E753" s="186" t="n">
        <f aca="false" ca="true" dt2D="false" dtr="false" t="normal">SUBTOTAL(9, F753:T753)</f>
        <v>13009126.6</v>
      </c>
      <c r="F753" s="106" t="n">
        <v>5984992.84</v>
      </c>
      <c r="G753" s="114" t="n"/>
      <c r="H753" s="114" t="n">
        <v>1115132.33</v>
      </c>
      <c r="I753" s="114" t="n"/>
      <c r="J753" s="114" t="n">
        <v>0</v>
      </c>
      <c r="K753" s="114" t="n"/>
      <c r="L753" s="106" t="n"/>
      <c r="M753" s="114" t="n">
        <v>0</v>
      </c>
      <c r="N753" s="114" t="n">
        <v>5909001.43</v>
      </c>
      <c r="O753" s="114" t="n">
        <v>0</v>
      </c>
      <c r="P753" s="114" t="n">
        <v>0</v>
      </c>
      <c r="Q753" s="114" t="n">
        <v>0</v>
      </c>
      <c r="R753" s="114" t="n"/>
      <c r="S753" s="114" t="n"/>
      <c r="T753" s="303" t="n"/>
    </row>
    <row customFormat="true" hidden="false" ht="15" outlineLevel="0" r="754" s="1">
      <c r="A754" s="116" t="n">
        <f aca="false" ca="false" dt2D="false" dtr="false" t="normal">+A753+1</f>
        <v>732</v>
      </c>
      <c r="B754" s="117" t="n">
        <f aca="false" ca="false" dt2D="false" dtr="false" t="normal">+B753+1</f>
        <v>272</v>
      </c>
      <c r="C754" s="104" t="s">
        <v>227</v>
      </c>
      <c r="D754" s="104" t="s">
        <v>700</v>
      </c>
      <c r="E754" s="113" t="n">
        <f aca="false" ca="true" dt2D="false" dtr="false" t="normal">SUBTOTAL(9, F754:T754)</f>
        <v>2393150.12</v>
      </c>
      <c r="F754" s="106" t="n">
        <v>0</v>
      </c>
      <c r="G754" s="114" t="n">
        <v>0</v>
      </c>
      <c r="H754" s="114" t="n">
        <v>0</v>
      </c>
      <c r="I754" s="114" t="n">
        <v>0</v>
      </c>
      <c r="J754" s="114" t="n">
        <v>0</v>
      </c>
      <c r="K754" s="114" t="n"/>
      <c r="L754" s="106" t="n"/>
      <c r="M754" s="114" t="n">
        <v>0</v>
      </c>
      <c r="N754" s="114" t="n">
        <v>2393150.12</v>
      </c>
      <c r="O754" s="114" t="n">
        <v>0</v>
      </c>
      <c r="P754" s="114" t="n">
        <v>0</v>
      </c>
      <c r="Q754" s="114" t="n">
        <v>0</v>
      </c>
      <c r="R754" s="114" t="n"/>
      <c r="S754" s="114" t="n"/>
      <c r="T754" s="303" t="n"/>
    </row>
    <row customFormat="true" hidden="false" ht="15" outlineLevel="0" r="755" s="1">
      <c r="A755" s="116" t="n">
        <f aca="false" ca="false" dt2D="false" dtr="false" t="normal">+A754+1</f>
        <v>733</v>
      </c>
      <c r="B755" s="117" t="n">
        <f aca="false" ca="false" dt2D="false" dtr="false" t="normal">+B754+1</f>
        <v>273</v>
      </c>
      <c r="C755" s="104" t="s">
        <v>227</v>
      </c>
      <c r="D755" s="104" t="s">
        <v>701</v>
      </c>
      <c r="E755" s="186" t="n">
        <f aca="false" ca="true" dt2D="false" dtr="false" t="normal">SUBTOTAL(9, F755:T755)</f>
        <v>26252655.77</v>
      </c>
      <c r="F755" s="106" t="n">
        <v>6785155.64</v>
      </c>
      <c r="G755" s="114" t="n">
        <v>5341814.82</v>
      </c>
      <c r="H755" s="114" t="n">
        <v>1480113.38</v>
      </c>
      <c r="I755" s="114" t="n"/>
      <c r="J755" s="114" t="n">
        <v>0</v>
      </c>
      <c r="K755" s="114" t="n"/>
      <c r="L755" s="106" t="n"/>
      <c r="M755" s="114" t="n">
        <v>0</v>
      </c>
      <c r="N755" s="114" t="n">
        <v>12645571.93</v>
      </c>
      <c r="O755" s="114" t="n">
        <v>0</v>
      </c>
      <c r="P755" s="114" t="n">
        <v>0</v>
      </c>
      <c r="Q755" s="114" t="n">
        <v>0</v>
      </c>
      <c r="R755" s="114" t="n"/>
      <c r="S755" s="114" t="n"/>
      <c r="T755" s="303" t="n"/>
    </row>
    <row customFormat="true" hidden="false" ht="15" outlineLevel="0" r="756" s="1">
      <c r="A756" s="116" t="n">
        <f aca="false" ca="false" dt2D="false" dtr="false" t="normal">+A755+1</f>
        <v>734</v>
      </c>
      <c r="B756" s="117" t="n">
        <f aca="false" ca="false" dt2D="false" dtr="false" t="normal">+B755+1</f>
        <v>274</v>
      </c>
      <c r="C756" s="104" t="s">
        <v>227</v>
      </c>
      <c r="D756" s="104" t="s">
        <v>702</v>
      </c>
      <c r="E756" s="186" t="n">
        <f aca="false" ca="true" dt2D="false" dtr="false" t="normal">SUBTOTAL(9, F756:T756)</f>
        <v>9837825.510000002</v>
      </c>
      <c r="F756" s="106" t="n">
        <v>4332206.65</v>
      </c>
      <c r="G756" s="114" t="n"/>
      <c r="H756" s="114" t="n">
        <v>1146753.78</v>
      </c>
      <c r="I756" s="114" t="n"/>
      <c r="J756" s="114" t="n">
        <v>0</v>
      </c>
      <c r="K756" s="114" t="n"/>
      <c r="L756" s="106" t="n"/>
      <c r="M756" s="114" t="n">
        <v>0</v>
      </c>
      <c r="N756" s="114" t="n">
        <v>4358865.08</v>
      </c>
      <c r="O756" s="114" t="n">
        <v>0</v>
      </c>
      <c r="P756" s="114" t="n">
        <v>0</v>
      </c>
      <c r="Q756" s="114" t="n">
        <v>0</v>
      </c>
      <c r="R756" s="114" t="n"/>
      <c r="S756" s="114" t="n"/>
      <c r="T756" s="303" t="n"/>
    </row>
    <row customFormat="true" hidden="false" ht="15" outlineLevel="0" r="757" s="1">
      <c r="A757" s="116" t="n">
        <f aca="false" ca="false" dt2D="false" dtr="false" t="normal">+A756+1</f>
        <v>735</v>
      </c>
      <c r="B757" s="117" t="n">
        <f aca="false" ca="false" dt2D="false" dtr="false" t="normal">+B756+1</f>
        <v>275</v>
      </c>
      <c r="C757" s="104" t="s">
        <v>227</v>
      </c>
      <c r="D757" s="104" t="s">
        <v>703</v>
      </c>
      <c r="E757" s="186" t="n">
        <f aca="false" ca="true" dt2D="false" dtr="false" t="normal">SUBTOTAL(9, F757:T757)</f>
        <v>11426950.71</v>
      </c>
      <c r="F757" s="106" t="n">
        <v>5307164.59</v>
      </c>
      <c r="G757" s="114" t="n">
        <v>4670595</v>
      </c>
      <c r="H757" s="114" t="n">
        <v>1449191.12</v>
      </c>
      <c r="I757" s="114" t="n"/>
      <c r="J757" s="114" t="n">
        <v>0</v>
      </c>
      <c r="K757" s="114" t="n"/>
      <c r="L757" s="106" t="n"/>
      <c r="M757" s="114" t="n">
        <v>0</v>
      </c>
      <c r="N757" s="114" t="n">
        <v>0</v>
      </c>
      <c r="O757" s="114" t="n">
        <v>0</v>
      </c>
      <c r="P757" s="114" t="n">
        <v>0</v>
      </c>
      <c r="Q757" s="114" t="n">
        <v>0</v>
      </c>
      <c r="R757" s="114" t="n"/>
      <c r="S757" s="114" t="n"/>
      <c r="T757" s="303" t="n"/>
    </row>
    <row customFormat="true" hidden="false" ht="15" outlineLevel="0" r="758" s="1">
      <c r="A758" s="116" t="n">
        <f aca="false" ca="false" dt2D="false" dtr="false" t="normal">+A757+1</f>
        <v>736</v>
      </c>
      <c r="B758" s="117" t="n">
        <f aca="false" ca="false" dt2D="false" dtr="false" t="normal">+B757+1</f>
        <v>276</v>
      </c>
      <c r="C758" s="104" t="s">
        <v>227</v>
      </c>
      <c r="D758" s="104" t="s">
        <v>704</v>
      </c>
      <c r="E758" s="186" t="n">
        <f aca="false" ca="true" dt2D="false" dtr="false" t="normal">SUBTOTAL(9, F758:T758)</f>
        <v>5542561.75</v>
      </c>
      <c r="F758" s="106" t="n">
        <v>4283386.4</v>
      </c>
      <c r="G758" s="114" t="n"/>
      <c r="H758" s="114" t="n">
        <v>1259175.35</v>
      </c>
      <c r="I758" s="114" t="n"/>
      <c r="J758" s="114" t="n">
        <v>0</v>
      </c>
      <c r="K758" s="114" t="n"/>
      <c r="L758" s="106" t="n"/>
      <c r="M758" s="114" t="n">
        <v>0</v>
      </c>
      <c r="N758" s="114" t="n">
        <v>0</v>
      </c>
      <c r="O758" s="114" t="n">
        <v>0</v>
      </c>
      <c r="P758" s="114" t="n">
        <v>0</v>
      </c>
      <c r="Q758" s="114" t="n">
        <v>0</v>
      </c>
      <c r="R758" s="114" t="n"/>
      <c r="S758" s="114" t="n"/>
      <c r="T758" s="303" t="n"/>
    </row>
    <row customFormat="true" hidden="false" ht="15" outlineLevel="0" r="759" s="1">
      <c r="A759" s="116" t="n">
        <f aca="false" ca="false" dt2D="false" dtr="false" t="normal">+A758+1</f>
        <v>737</v>
      </c>
      <c r="B759" s="117" t="n">
        <f aca="false" ca="false" dt2D="false" dtr="false" t="normal">+B758+1</f>
        <v>277</v>
      </c>
      <c r="C759" s="104" t="s">
        <v>227</v>
      </c>
      <c r="D759" s="104" t="s">
        <v>705</v>
      </c>
      <c r="E759" s="113" t="n">
        <f aca="false" ca="true" dt2D="false" dtr="false" t="normal">SUBTOTAL(9, F759:T759)</f>
        <v>985453.7</v>
      </c>
      <c r="F759" s="106" t="n"/>
      <c r="G759" s="114" t="n"/>
      <c r="H759" s="114" t="n">
        <v>985453.7</v>
      </c>
      <c r="I759" s="114" t="n"/>
      <c r="J759" s="114" t="n">
        <v>0</v>
      </c>
      <c r="K759" s="114" t="n"/>
      <c r="L759" s="106" t="n"/>
      <c r="M759" s="114" t="n"/>
      <c r="N759" s="114" t="n"/>
      <c r="O759" s="114" t="n">
        <v>0</v>
      </c>
      <c r="P759" s="114" t="n">
        <v>0</v>
      </c>
      <c r="Q759" s="114" t="n">
        <v>0</v>
      </c>
      <c r="R759" s="114" t="n"/>
      <c r="S759" s="114" t="n"/>
      <c r="T759" s="303" t="n"/>
    </row>
    <row customFormat="true" hidden="false" ht="15" outlineLevel="0" r="760" s="1">
      <c r="A760" s="116" t="n">
        <f aca="false" ca="false" dt2D="false" dtr="false" t="normal">+A759+1</f>
        <v>738</v>
      </c>
      <c r="B760" s="117" t="n">
        <f aca="false" ca="false" dt2D="false" dtr="false" t="normal">+B759+1</f>
        <v>278</v>
      </c>
      <c r="C760" s="104" t="s">
        <v>227</v>
      </c>
      <c r="D760" s="104" t="s">
        <v>706</v>
      </c>
      <c r="E760" s="186" t="n">
        <f aca="false" ca="true" dt2D="false" dtr="false" t="normal">SUBTOTAL(9, F760:T760)</f>
        <v>9276766.72</v>
      </c>
      <c r="F760" s="106" t="n">
        <v>4337466.13</v>
      </c>
      <c r="G760" s="114" t="n"/>
      <c r="H760" s="114" t="n">
        <v>1321148.53</v>
      </c>
      <c r="I760" s="114" t="n"/>
      <c r="J760" s="114" t="n">
        <v>0</v>
      </c>
      <c r="K760" s="114" t="n"/>
      <c r="L760" s="106" t="n"/>
      <c r="M760" s="114" t="n">
        <v>0</v>
      </c>
      <c r="N760" s="114" t="n">
        <v>3618152.06</v>
      </c>
      <c r="O760" s="114" t="n">
        <v>0</v>
      </c>
      <c r="P760" s="114" t="n">
        <v>0</v>
      </c>
      <c r="Q760" s="114" t="n">
        <v>0</v>
      </c>
      <c r="R760" s="114" t="n"/>
      <c r="S760" s="114" t="n"/>
      <c r="T760" s="303" t="n"/>
    </row>
    <row customFormat="true" hidden="false" ht="15" outlineLevel="0" r="761" s="1">
      <c r="A761" s="116" t="n">
        <f aca="false" ca="false" dt2D="false" dtr="false" t="normal">+A760+1</f>
        <v>739</v>
      </c>
      <c r="B761" s="117" t="n">
        <f aca="false" ca="false" dt2D="false" dtr="false" t="normal">+B760+1</f>
        <v>279</v>
      </c>
      <c r="C761" s="104" t="s">
        <v>227</v>
      </c>
      <c r="D761" s="104" t="s">
        <v>707</v>
      </c>
      <c r="E761" s="186" t="n">
        <f aca="false" ca="true" dt2D="false" dtr="false" t="normal">SUBTOTAL(9, F761:T761)</f>
        <v>5965831.21</v>
      </c>
      <c r="F761" s="106" t="n">
        <v>4587451.87</v>
      </c>
      <c r="G761" s="114" t="n">
        <v>0</v>
      </c>
      <c r="H761" s="114" t="n">
        <v>1378379.34</v>
      </c>
      <c r="I761" s="114" t="n">
        <v>0</v>
      </c>
      <c r="J761" s="114" t="n">
        <v>0</v>
      </c>
      <c r="K761" s="114" t="n"/>
      <c r="L761" s="106" t="n"/>
      <c r="M761" s="114" t="n">
        <v>0</v>
      </c>
      <c r="N761" s="114" t="n"/>
      <c r="O761" s="114" t="n">
        <v>0</v>
      </c>
      <c r="P761" s="114" t="n">
        <v>0</v>
      </c>
      <c r="Q761" s="114" t="n">
        <v>0</v>
      </c>
      <c r="R761" s="114" t="n"/>
      <c r="S761" s="114" t="n"/>
      <c r="T761" s="303" t="n"/>
    </row>
    <row customFormat="true" hidden="false" ht="15" outlineLevel="0" r="762" s="1">
      <c r="A762" s="116" t="n">
        <f aca="false" ca="false" dt2D="false" dtr="false" t="normal">+A761+1</f>
        <v>740</v>
      </c>
      <c r="B762" s="117" t="n">
        <f aca="false" ca="false" dt2D="false" dtr="false" t="normal">+B761+1</f>
        <v>280</v>
      </c>
      <c r="C762" s="104" t="s">
        <v>227</v>
      </c>
      <c r="D762" s="104" t="s">
        <v>708</v>
      </c>
      <c r="E762" s="186" t="n">
        <f aca="false" ca="true" dt2D="false" dtr="false" t="normal">SUBTOTAL(9, F762:T762)</f>
        <v>12234286.129999999</v>
      </c>
      <c r="F762" s="106" t="n">
        <v>7150709.46</v>
      </c>
      <c r="G762" s="114" t="n">
        <v>3391430.65</v>
      </c>
      <c r="H762" s="114" t="n">
        <v>1692146.02</v>
      </c>
      <c r="I762" s="114" t="n"/>
      <c r="J762" s="114" t="n">
        <v>0</v>
      </c>
      <c r="K762" s="114" t="n"/>
      <c r="L762" s="106" t="n"/>
      <c r="M762" s="114" t="n">
        <v>0</v>
      </c>
      <c r="N762" s="114" t="n"/>
      <c r="O762" s="114" t="n">
        <v>0</v>
      </c>
      <c r="P762" s="114" t="n">
        <v>0</v>
      </c>
      <c r="Q762" s="114" t="n">
        <v>0</v>
      </c>
      <c r="R762" s="114" t="n"/>
      <c r="S762" s="114" t="n"/>
      <c r="T762" s="303" t="n"/>
    </row>
    <row customFormat="true" hidden="false" ht="15" outlineLevel="0" r="763" s="1">
      <c r="A763" s="116" t="n">
        <f aca="false" ca="false" dt2D="false" dtr="false" t="normal">+A762+1</f>
        <v>741</v>
      </c>
      <c r="B763" s="117" t="n">
        <f aca="false" ca="false" dt2D="false" dtr="false" t="normal">+B762+1</f>
        <v>281</v>
      </c>
      <c r="C763" s="104" t="s">
        <v>227</v>
      </c>
      <c r="D763" s="104" t="s">
        <v>709</v>
      </c>
      <c r="E763" s="186" t="n">
        <f aca="false" ca="true" dt2D="false" dtr="false" t="normal">SUBTOTAL(9, F763:T763)</f>
        <v>5653555.0600000005</v>
      </c>
      <c r="F763" s="106" t="n">
        <v>4463916.36</v>
      </c>
      <c r="G763" s="114" t="n"/>
      <c r="H763" s="114" t="n">
        <v>1189638.7</v>
      </c>
      <c r="I763" s="114" t="n"/>
      <c r="J763" s="114" t="n">
        <v>0</v>
      </c>
      <c r="K763" s="114" t="n"/>
      <c r="L763" s="106" t="n"/>
      <c r="M763" s="114" t="n">
        <v>0</v>
      </c>
      <c r="N763" s="114" t="n"/>
      <c r="O763" s="114" t="n">
        <v>0</v>
      </c>
      <c r="P763" s="114" t="n">
        <v>0</v>
      </c>
      <c r="Q763" s="114" t="n">
        <v>0</v>
      </c>
      <c r="R763" s="114" t="n"/>
      <c r="S763" s="114" t="n"/>
      <c r="T763" s="303" t="n"/>
    </row>
    <row customFormat="true" hidden="false" ht="15" outlineLevel="0" r="764" s="1">
      <c r="A764" s="116" t="n">
        <f aca="false" ca="false" dt2D="false" dtr="false" t="normal">+A763+1</f>
        <v>742</v>
      </c>
      <c r="B764" s="117" t="n">
        <f aca="false" ca="false" dt2D="false" dtr="false" t="normal">+B763+1</f>
        <v>282</v>
      </c>
      <c r="C764" s="104" t="s">
        <v>227</v>
      </c>
      <c r="D764" s="104" t="s">
        <v>710</v>
      </c>
      <c r="E764" s="186" t="n">
        <f aca="false" ca="true" dt2D="false" dtr="false" t="normal">SUBTOTAL(9, F764:T764)</f>
        <v>13827121.059999999</v>
      </c>
      <c r="F764" s="106" t="n">
        <v>4481532.64</v>
      </c>
      <c r="G764" s="114" t="n"/>
      <c r="H764" s="114" t="n">
        <v>1387702.38</v>
      </c>
      <c r="I764" s="114" t="n"/>
      <c r="J764" s="114" t="n">
        <v>0</v>
      </c>
      <c r="K764" s="114" t="n"/>
      <c r="L764" s="106" t="n"/>
      <c r="M764" s="114" t="n">
        <v>0</v>
      </c>
      <c r="N764" s="114" t="n">
        <v>7957886.04</v>
      </c>
      <c r="O764" s="114" t="n">
        <v>0</v>
      </c>
      <c r="P764" s="114" t="n">
        <v>0</v>
      </c>
      <c r="Q764" s="114" t="n">
        <v>0</v>
      </c>
      <c r="R764" s="114" t="n"/>
      <c r="S764" s="114" t="n"/>
      <c r="T764" s="303" t="n"/>
    </row>
    <row customFormat="true" hidden="false" ht="15" outlineLevel="0" r="765" s="1">
      <c r="A765" s="116" t="n">
        <f aca="false" ca="false" dt2D="false" dtr="false" t="normal">+A764+1</f>
        <v>743</v>
      </c>
      <c r="B765" s="117" t="n">
        <f aca="false" ca="false" dt2D="false" dtr="false" t="normal">+B764+1</f>
        <v>283</v>
      </c>
      <c r="C765" s="104" t="s">
        <v>227</v>
      </c>
      <c r="D765" s="104" t="s">
        <v>711</v>
      </c>
      <c r="E765" s="186" t="n">
        <f aca="false" ca="true" dt2D="false" dtr="false" t="normal">SUBTOTAL(9, F765:T765)</f>
        <v>13637429.059999999</v>
      </c>
      <c r="F765" s="106" t="n">
        <v>4350258.68</v>
      </c>
      <c r="G765" s="114" t="n"/>
      <c r="H765" s="114" t="n">
        <v>1330897.49</v>
      </c>
      <c r="I765" s="114" t="n"/>
      <c r="J765" s="114" t="n">
        <v>0</v>
      </c>
      <c r="K765" s="114" t="n"/>
      <c r="L765" s="106" t="n"/>
      <c r="M765" s="114" t="n">
        <v>0</v>
      </c>
      <c r="N765" s="114" t="n">
        <v>7956272.89</v>
      </c>
      <c r="O765" s="114" t="n">
        <v>0</v>
      </c>
      <c r="P765" s="114" t="n">
        <v>0</v>
      </c>
      <c r="Q765" s="114" t="n">
        <v>0</v>
      </c>
      <c r="R765" s="114" t="n"/>
      <c r="S765" s="114" t="n"/>
      <c r="T765" s="303" t="n"/>
    </row>
    <row customFormat="true" hidden="false" ht="15" outlineLevel="0" r="766" s="1">
      <c r="A766" s="116" t="n">
        <f aca="false" ca="false" dt2D="false" dtr="false" t="normal">+A765+1</f>
        <v>744</v>
      </c>
      <c r="B766" s="117" t="n">
        <f aca="false" ca="false" dt2D="false" dtr="false" t="normal">+B765+1</f>
        <v>284</v>
      </c>
      <c r="C766" s="104" t="s">
        <v>227</v>
      </c>
      <c r="D766" s="104" t="s">
        <v>712</v>
      </c>
      <c r="E766" s="113" t="n">
        <f aca="false" ca="true" dt2D="false" dtr="false" t="normal">SUBTOTAL(9, F766:T766)</f>
        <v>10492870.870000001</v>
      </c>
      <c r="F766" s="106" t="n">
        <v>3698964.38</v>
      </c>
      <c r="G766" s="114" t="n"/>
      <c r="H766" s="114" t="n">
        <v>994832.33</v>
      </c>
      <c r="I766" s="114" t="n"/>
      <c r="J766" s="114" t="n">
        <v>0</v>
      </c>
      <c r="K766" s="114" t="n"/>
      <c r="L766" s="106" t="n"/>
      <c r="M766" s="114" t="n">
        <v>0</v>
      </c>
      <c r="N766" s="114" t="n">
        <v>5799074.16</v>
      </c>
      <c r="O766" s="114" t="n">
        <v>0</v>
      </c>
      <c r="P766" s="114" t="n">
        <v>0</v>
      </c>
      <c r="Q766" s="114" t="n">
        <v>0</v>
      </c>
      <c r="R766" s="114" t="n"/>
      <c r="S766" s="114" t="n"/>
      <c r="T766" s="303" t="n"/>
    </row>
    <row customFormat="true" hidden="false" ht="15" outlineLevel="0" r="767" s="1">
      <c r="A767" s="116" t="n">
        <f aca="false" ca="false" dt2D="false" dtr="false" t="normal">+A766+1</f>
        <v>745</v>
      </c>
      <c r="B767" s="117" t="n">
        <f aca="false" ca="false" dt2D="false" dtr="false" t="normal">+B766+1</f>
        <v>285</v>
      </c>
      <c r="C767" s="104" t="s">
        <v>227</v>
      </c>
      <c r="D767" s="104" t="s">
        <v>503</v>
      </c>
      <c r="E767" s="113" t="n">
        <f aca="false" ca="true" dt2D="false" dtr="false" t="normal">SUBTOTAL(9, F767:T767)</f>
        <v>1808031.76</v>
      </c>
      <c r="F767" s="106" t="n"/>
      <c r="G767" s="114" t="n"/>
      <c r="H767" s="114" t="n">
        <v>1808031.76</v>
      </c>
      <c r="I767" s="114" t="n"/>
      <c r="J767" s="114" t="n">
        <v>0</v>
      </c>
      <c r="K767" s="114" t="n"/>
      <c r="L767" s="106" t="n"/>
      <c r="M767" s="114" t="n"/>
      <c r="N767" s="114" t="n"/>
      <c r="O767" s="114" t="n">
        <v>0</v>
      </c>
      <c r="P767" s="114" t="n">
        <v>0</v>
      </c>
      <c r="Q767" s="114" t="n">
        <v>0</v>
      </c>
      <c r="R767" s="114" t="n"/>
      <c r="S767" s="114" t="n"/>
      <c r="T767" s="303" t="n"/>
    </row>
    <row customFormat="true" hidden="false" ht="15" outlineLevel="0" r="768" s="1">
      <c r="A768" s="116" t="n">
        <f aca="false" ca="false" dt2D="false" dtr="false" t="normal">+A767+1</f>
        <v>746</v>
      </c>
      <c r="B768" s="117" t="n">
        <f aca="false" ca="false" dt2D="false" dtr="false" t="normal">+B767+1</f>
        <v>286</v>
      </c>
      <c r="C768" s="104" t="s">
        <v>227</v>
      </c>
      <c r="D768" s="104" t="s">
        <v>713</v>
      </c>
      <c r="E768" s="186" t="n">
        <f aca="false" ca="true" dt2D="false" dtr="false" t="normal">SUBTOTAL(9, F768:T768)</f>
        <v>5806323.52</v>
      </c>
      <c r="F768" s="106" t="n">
        <v>4514672.54</v>
      </c>
      <c r="G768" s="114" t="n"/>
      <c r="H768" s="114" t="n">
        <v>1291650.98</v>
      </c>
      <c r="I768" s="114" t="n"/>
      <c r="J768" s="114" t="n">
        <v>0</v>
      </c>
      <c r="K768" s="114" t="n"/>
      <c r="L768" s="106" t="n"/>
      <c r="M768" s="114" t="n">
        <v>0</v>
      </c>
      <c r="N768" s="114" t="n"/>
      <c r="O768" s="114" t="n">
        <v>0</v>
      </c>
      <c r="P768" s="114" t="n">
        <v>0</v>
      </c>
      <c r="Q768" s="114" t="n">
        <v>0</v>
      </c>
      <c r="R768" s="114" t="n"/>
      <c r="S768" s="114" t="n"/>
      <c r="T768" s="303" t="n"/>
    </row>
    <row customFormat="true" hidden="false" ht="15" outlineLevel="0" r="769" s="1">
      <c r="A769" s="116" t="n">
        <f aca="false" ca="false" dt2D="false" dtr="false" t="normal">+A768+1</f>
        <v>747</v>
      </c>
      <c r="B769" s="117" t="n">
        <f aca="false" ca="false" dt2D="false" dtr="false" t="normal">+B768+1</f>
        <v>287</v>
      </c>
      <c r="C769" s="104" t="s">
        <v>227</v>
      </c>
      <c r="D769" s="104" t="s">
        <v>714</v>
      </c>
      <c r="E769" s="186" t="n">
        <f aca="false" ca="true" dt2D="false" dtr="false" t="normal">SUBTOTAL(9, F769:T769)</f>
        <v>11173587.76</v>
      </c>
      <c r="F769" s="106" t="n">
        <v>4350161.84</v>
      </c>
      <c r="G769" s="114" t="n"/>
      <c r="H769" s="114" t="n">
        <v>1513519.58</v>
      </c>
      <c r="I769" s="114" t="n"/>
      <c r="J769" s="114" t="n">
        <v>0</v>
      </c>
      <c r="K769" s="114" t="n"/>
      <c r="L769" s="106" t="n"/>
      <c r="M769" s="114" t="n">
        <v>0</v>
      </c>
      <c r="N769" s="114" t="n">
        <v>5309906.34</v>
      </c>
      <c r="O769" s="114" t="n">
        <v>0</v>
      </c>
      <c r="P769" s="114" t="n">
        <v>0</v>
      </c>
      <c r="Q769" s="114" t="n">
        <v>0</v>
      </c>
      <c r="R769" s="114" t="n"/>
      <c r="S769" s="114" t="n"/>
      <c r="T769" s="303" t="n"/>
    </row>
    <row customFormat="true" hidden="false" ht="15" outlineLevel="0" r="770" s="1">
      <c r="A770" s="116" t="n">
        <f aca="false" ca="false" dt2D="false" dtr="false" t="normal">+A769+1</f>
        <v>748</v>
      </c>
      <c r="B770" s="117" t="n">
        <f aca="false" ca="false" dt2D="false" dtr="false" t="normal">+B769+1</f>
        <v>288</v>
      </c>
      <c r="C770" s="104" t="s">
        <v>227</v>
      </c>
      <c r="D770" s="117" t="s">
        <v>715</v>
      </c>
      <c r="E770" s="113" t="n">
        <f aca="false" ca="true" dt2D="false" dtr="false" t="normal">SUBTOTAL(9, F770:T770)</f>
        <v>3043629.21</v>
      </c>
      <c r="F770" s="106" t="n">
        <v>0</v>
      </c>
      <c r="G770" s="114" t="n">
        <v>0</v>
      </c>
      <c r="H770" s="114" t="n">
        <v>3043629.21</v>
      </c>
      <c r="I770" s="114" t="n">
        <v>0</v>
      </c>
      <c r="J770" s="114" t="n">
        <v>0</v>
      </c>
      <c r="K770" s="114" t="n"/>
      <c r="L770" s="106" t="n"/>
      <c r="M770" s="114" t="n">
        <v>0</v>
      </c>
      <c r="N770" s="114" t="n">
        <v>0</v>
      </c>
      <c r="O770" s="114" t="n">
        <v>0</v>
      </c>
      <c r="P770" s="114" t="n">
        <v>0</v>
      </c>
      <c r="Q770" s="114" t="n">
        <v>0</v>
      </c>
      <c r="R770" s="114" t="n"/>
      <c r="S770" s="114" t="n"/>
      <c r="T770" s="303" t="n"/>
    </row>
    <row customFormat="true" hidden="false" ht="15" outlineLevel="0" r="771" s="1">
      <c r="A771" s="116" t="n">
        <f aca="false" ca="false" dt2D="false" dtr="false" t="normal">+A770+1</f>
        <v>749</v>
      </c>
      <c r="B771" s="117" t="n">
        <f aca="false" ca="false" dt2D="false" dtr="false" t="normal">+B770+1</f>
        <v>289</v>
      </c>
      <c r="C771" s="104" t="s">
        <v>227</v>
      </c>
      <c r="D771" s="104" t="s">
        <v>716</v>
      </c>
      <c r="E771" s="113" t="n">
        <f aca="false" ca="true" dt2D="false" dtr="false" t="normal">SUBTOTAL(9, F771:T771)</f>
        <v>6390068.59</v>
      </c>
      <c r="F771" s="106" t="n">
        <v>6390068.59</v>
      </c>
      <c r="G771" s="114" t="n">
        <v>0</v>
      </c>
      <c r="H771" s="114" t="n">
        <v>0</v>
      </c>
      <c r="I771" s="114" t="n">
        <v>0</v>
      </c>
      <c r="J771" s="114" t="n">
        <v>0</v>
      </c>
      <c r="K771" s="114" t="n"/>
      <c r="L771" s="106" t="n"/>
      <c r="M771" s="114" t="n">
        <v>0</v>
      </c>
      <c r="N771" s="114" t="n">
        <v>0</v>
      </c>
      <c r="O771" s="114" t="n">
        <v>0</v>
      </c>
      <c r="P771" s="114" t="n">
        <v>0</v>
      </c>
      <c r="Q771" s="114" t="n">
        <v>0</v>
      </c>
      <c r="R771" s="114" t="n"/>
      <c r="S771" s="114" t="n"/>
      <c r="T771" s="303" t="n"/>
    </row>
    <row customFormat="true" hidden="false" ht="15" outlineLevel="0" r="772" s="1">
      <c r="A772" s="116" t="n">
        <f aca="false" ca="false" dt2D="false" dtr="false" t="normal">+A771+1</f>
        <v>750</v>
      </c>
      <c r="B772" s="117" t="n">
        <f aca="false" ca="false" dt2D="false" dtr="false" t="normal">+B771+1</f>
        <v>290</v>
      </c>
      <c r="C772" s="104" t="s">
        <v>227</v>
      </c>
      <c r="D772" s="117" t="s">
        <v>240</v>
      </c>
      <c r="E772" s="113" t="n">
        <f aca="false" ca="true" dt2D="false" dtr="false" t="normal">SUBTOTAL(9, F772:T772)</f>
        <v>14270289.690000001</v>
      </c>
      <c r="F772" s="106" t="n">
        <v>14189389.39</v>
      </c>
      <c r="G772" s="114" t="n">
        <v>0</v>
      </c>
      <c r="H772" s="114" t="n">
        <v>0</v>
      </c>
      <c r="I772" s="114" t="n">
        <v>0</v>
      </c>
      <c r="J772" s="114" t="n">
        <v>0</v>
      </c>
      <c r="K772" s="114" t="n"/>
      <c r="L772" s="106" t="n"/>
      <c r="M772" s="114" t="n">
        <v>0</v>
      </c>
      <c r="N772" s="114" t="n">
        <v>0</v>
      </c>
      <c r="O772" s="114" t="n">
        <v>0</v>
      </c>
      <c r="P772" s="114" t="n">
        <v>0</v>
      </c>
      <c r="Q772" s="114" t="n">
        <v>0</v>
      </c>
      <c r="R772" s="114" t="n"/>
      <c r="S772" s="114" t="n"/>
      <c r="T772" s="115" t="n">
        <v>80900.3</v>
      </c>
    </row>
    <row customFormat="true" hidden="false" ht="15" outlineLevel="0" r="773" s="1">
      <c r="A773" s="116" t="n">
        <f aca="false" ca="false" dt2D="false" dtr="false" t="normal">+A772+1</f>
        <v>751</v>
      </c>
      <c r="B773" s="117" t="n">
        <f aca="false" ca="false" dt2D="false" dtr="false" t="normal">+B772+1</f>
        <v>291</v>
      </c>
      <c r="C773" s="104" t="s">
        <v>227</v>
      </c>
      <c r="D773" s="104" t="s">
        <v>717</v>
      </c>
      <c r="E773" s="186" t="n">
        <f aca="false" ca="true" dt2D="false" dtr="false" t="normal">SUBTOTAL(9, F773:T773)</f>
        <v>10843494.149999999</v>
      </c>
      <c r="F773" s="106" t="n">
        <v>4424020.72</v>
      </c>
      <c r="G773" s="114" t="n"/>
      <c r="H773" s="114" t="n">
        <v>1374170.93</v>
      </c>
      <c r="I773" s="114" t="n"/>
      <c r="J773" s="114" t="n">
        <v>0</v>
      </c>
      <c r="K773" s="114" t="n"/>
      <c r="L773" s="106" t="n"/>
      <c r="M773" s="114" t="n">
        <v>0</v>
      </c>
      <c r="N773" s="114" t="n">
        <v>5045302.5</v>
      </c>
      <c r="O773" s="114" t="n">
        <v>0</v>
      </c>
      <c r="P773" s="114" t="n">
        <v>0</v>
      </c>
      <c r="Q773" s="114" t="n">
        <v>0</v>
      </c>
      <c r="R773" s="114" t="n"/>
      <c r="S773" s="114" t="n"/>
      <c r="T773" s="303" t="n"/>
    </row>
    <row customFormat="true" hidden="false" ht="15" outlineLevel="0" r="774" s="1">
      <c r="A774" s="116" t="n">
        <f aca="false" ca="false" dt2D="false" dtr="false" t="normal">+A773+1</f>
        <v>752</v>
      </c>
      <c r="B774" s="117" t="n">
        <f aca="false" ca="false" dt2D="false" dtr="false" t="normal">+B773+1</f>
        <v>292</v>
      </c>
      <c r="C774" s="104" t="s">
        <v>227</v>
      </c>
      <c r="D774" s="104" t="s">
        <v>718</v>
      </c>
      <c r="E774" s="113" t="n">
        <f aca="false" ca="true" dt2D="false" dtr="false" t="normal">SUBTOTAL(9, F774:T774)</f>
        <v>6312427.59</v>
      </c>
      <c r="F774" s="106" t="n"/>
      <c r="G774" s="114" t="n"/>
      <c r="H774" s="114" t="n"/>
      <c r="I774" s="114" t="n"/>
      <c r="J774" s="114" t="n"/>
      <c r="K774" s="114" t="n"/>
      <c r="L774" s="106" t="n"/>
      <c r="M774" s="114" t="n"/>
      <c r="N774" s="114" t="n"/>
      <c r="O774" s="114" t="n"/>
      <c r="P774" s="114" t="n"/>
      <c r="Q774" s="114" t="n">
        <v>6308293.31</v>
      </c>
      <c r="R774" s="114" t="n"/>
      <c r="S774" s="114" t="n"/>
      <c r="T774" s="115" t="n">
        <v>4134.28</v>
      </c>
    </row>
    <row customFormat="true" hidden="false" ht="15" outlineLevel="0" r="775" s="1">
      <c r="A775" s="116" t="n">
        <f aca="false" ca="false" dt2D="false" dtr="false" t="normal">+A774+1</f>
        <v>753</v>
      </c>
      <c r="B775" s="117" t="n">
        <f aca="false" ca="false" dt2D="false" dtr="false" t="normal">+B774+1</f>
        <v>293</v>
      </c>
      <c r="C775" s="104" t="s">
        <v>227</v>
      </c>
      <c r="D775" s="117" t="s">
        <v>425</v>
      </c>
      <c r="E775" s="113" t="n">
        <f aca="false" ca="true" dt2D="false" dtr="false" t="normal">SUBTOTAL(9, F775:T775)</f>
        <v>11733371.59</v>
      </c>
      <c r="F775" s="106" t="n">
        <v>4698966.26</v>
      </c>
      <c r="G775" s="114" t="n">
        <v>3271249.55</v>
      </c>
      <c r="H775" s="114" t="n">
        <v>1989640.02</v>
      </c>
      <c r="I775" s="114" t="n">
        <v>1773515.76</v>
      </c>
      <c r="J775" s="114" t="n">
        <v>0</v>
      </c>
      <c r="K775" s="114" t="n"/>
      <c r="L775" s="106" t="n"/>
      <c r="M775" s="114" t="n">
        <v>0</v>
      </c>
      <c r="N775" s="114" t="n"/>
      <c r="O775" s="114" t="n">
        <v>0</v>
      </c>
      <c r="P775" s="114" t="n">
        <v>0</v>
      </c>
      <c r="Q775" s="114" t="n"/>
      <c r="R775" s="114" t="n"/>
      <c r="S775" s="114" t="n"/>
      <c r="T775" s="303" t="n"/>
    </row>
    <row customFormat="true" hidden="false" ht="15" outlineLevel="0" r="776" s="1">
      <c r="A776" s="116" t="n">
        <f aca="false" ca="false" dt2D="false" dtr="false" t="normal">+A775+1</f>
        <v>754</v>
      </c>
      <c r="B776" s="117" t="n">
        <f aca="false" ca="false" dt2D="false" dtr="false" t="normal">+B775+1</f>
        <v>294</v>
      </c>
      <c r="C776" s="104" t="s">
        <v>227</v>
      </c>
      <c r="D776" s="104" t="s">
        <v>719</v>
      </c>
      <c r="E776" s="186" t="n">
        <f aca="false" ca="true" dt2D="false" dtr="false" t="normal">SUBTOTAL(9, F776:T776)</f>
        <v>10856047.29</v>
      </c>
      <c r="F776" s="106" t="n">
        <v>4395229.91</v>
      </c>
      <c r="G776" s="114" t="n"/>
      <c r="H776" s="114" t="n">
        <v>1367727.47</v>
      </c>
      <c r="I776" s="114" t="n"/>
      <c r="J776" s="114" t="n">
        <v>0</v>
      </c>
      <c r="K776" s="114" t="n"/>
      <c r="L776" s="106" t="n"/>
      <c r="M776" s="114" t="n">
        <v>0</v>
      </c>
      <c r="N776" s="114" t="n">
        <v>5093089.91</v>
      </c>
      <c r="O776" s="114" t="n">
        <v>0</v>
      </c>
      <c r="P776" s="114" t="n">
        <v>0</v>
      </c>
      <c r="Q776" s="114" t="n">
        <v>0</v>
      </c>
      <c r="R776" s="114" t="n"/>
      <c r="S776" s="114" t="n"/>
      <c r="T776" s="303" t="n"/>
    </row>
    <row customFormat="true" hidden="false" ht="15" outlineLevel="0" r="777" s="1">
      <c r="A777" s="116" t="n">
        <f aca="false" ca="false" dt2D="false" dtr="false" t="normal">+A776+1</f>
        <v>755</v>
      </c>
      <c r="B777" s="117" t="n">
        <f aca="false" ca="false" dt2D="false" dtr="false" t="normal">+B776+1</f>
        <v>295</v>
      </c>
      <c r="C777" s="104" t="s">
        <v>227</v>
      </c>
      <c r="D777" s="104" t="s">
        <v>720</v>
      </c>
      <c r="E777" s="113" t="n">
        <f aca="false" ca="true" dt2D="false" dtr="false" t="normal">SUBTOTAL(9, F777:T777)</f>
        <v>17030124.549999997</v>
      </c>
      <c r="F777" s="106" t="n">
        <v>5255348.26</v>
      </c>
      <c r="G777" s="114" t="n">
        <v>2576885.76</v>
      </c>
      <c r="H777" s="114" t="n">
        <v>1123654.06</v>
      </c>
      <c r="I777" s="114" t="n">
        <v>2148802.02</v>
      </c>
      <c r="J777" s="114" t="n">
        <v>0</v>
      </c>
      <c r="K777" s="114" t="n"/>
      <c r="L777" s="106" t="n"/>
      <c r="M777" s="114" t="n">
        <v>0</v>
      </c>
      <c r="N777" s="114" t="n">
        <v>2915091.37</v>
      </c>
      <c r="O777" s="114" t="n">
        <v>0</v>
      </c>
      <c r="P777" s="114" t="n">
        <v>0</v>
      </c>
      <c r="Q777" s="114" t="n">
        <v>3010343.08</v>
      </c>
      <c r="R777" s="114" t="n"/>
      <c r="S777" s="114" t="n"/>
      <c r="T777" s="303" t="n"/>
    </row>
    <row customFormat="true" hidden="false" ht="15" outlineLevel="0" r="778" s="1">
      <c r="A778" s="116" t="n">
        <f aca="false" ca="false" dt2D="false" dtr="false" t="normal">+A777+1</f>
        <v>756</v>
      </c>
      <c r="B778" s="117" t="n">
        <f aca="false" ca="false" dt2D="false" dtr="false" t="normal">+B777+1</f>
        <v>296</v>
      </c>
      <c r="C778" s="104" t="s">
        <v>227</v>
      </c>
      <c r="D778" s="104" t="s">
        <v>721</v>
      </c>
      <c r="E778" s="113" t="n">
        <f aca="false" ca="true" dt2D="false" dtr="false" t="normal">SUBTOTAL(9, F778:T778)</f>
        <v>11400135.709999999</v>
      </c>
      <c r="F778" s="106" t="n">
        <v>11351495.93</v>
      </c>
      <c r="G778" s="114" t="n">
        <v>0</v>
      </c>
      <c r="H778" s="114" t="n">
        <v>0</v>
      </c>
      <c r="I778" s="114" t="n"/>
      <c r="J778" s="114" t="n">
        <v>0</v>
      </c>
      <c r="K778" s="114" t="n"/>
      <c r="L778" s="106" t="n"/>
      <c r="M778" s="114" t="n">
        <v>0</v>
      </c>
      <c r="N778" s="114" t="n">
        <v>0</v>
      </c>
      <c r="O778" s="114" t="n">
        <v>0</v>
      </c>
      <c r="P778" s="114" t="n"/>
      <c r="Q778" s="114" t="n"/>
      <c r="R778" s="114" t="n"/>
      <c r="S778" s="114" t="n"/>
      <c r="T778" s="115" t="n">
        <v>48639.78</v>
      </c>
    </row>
    <row customFormat="true" hidden="false" ht="15" outlineLevel="0" r="779" s="1">
      <c r="A779" s="116" t="n">
        <f aca="false" ca="false" dt2D="false" dtr="false" t="normal">+A778+1</f>
        <v>757</v>
      </c>
      <c r="B779" s="117" t="n">
        <f aca="false" ca="false" dt2D="false" dtr="false" t="normal">+B778+1</f>
        <v>297</v>
      </c>
      <c r="C779" s="104" t="s">
        <v>227</v>
      </c>
      <c r="D779" s="104" t="s">
        <v>722</v>
      </c>
      <c r="E779" s="186" t="n">
        <f aca="false" ca="true" dt2D="false" dtr="false" t="normal">SUBTOTAL(9, F779:T779)</f>
        <v>41271781.55</v>
      </c>
      <c r="F779" s="106" t="n">
        <v>12794678.89</v>
      </c>
      <c r="G779" s="114" t="n">
        <v>12632890.62</v>
      </c>
      <c r="H779" s="114" t="n">
        <v>6088266.41</v>
      </c>
      <c r="I779" s="114" t="n">
        <v>7075220.45</v>
      </c>
      <c r="J779" s="114" t="n">
        <v>0</v>
      </c>
      <c r="K779" s="114" t="n"/>
      <c r="L779" s="106" t="n"/>
      <c r="M779" s="114" t="n">
        <v>0</v>
      </c>
      <c r="N779" s="114" t="n">
        <v>0</v>
      </c>
      <c r="O779" s="114" t="n">
        <v>0</v>
      </c>
      <c r="P779" s="114" t="n">
        <v>0</v>
      </c>
      <c r="Q779" s="114" t="n">
        <v>2680725.18</v>
      </c>
      <c r="R779" s="114" t="n"/>
      <c r="S779" s="114" t="n"/>
      <c r="T779" s="303" t="n"/>
    </row>
    <row customFormat="true" hidden="false" ht="15" outlineLevel="0" r="780" s="1">
      <c r="A780" s="116" t="n">
        <f aca="false" ca="false" dt2D="false" dtr="false" t="normal">+A779+1</f>
        <v>758</v>
      </c>
      <c r="B780" s="117" t="n">
        <f aca="false" ca="false" dt2D="false" dtr="false" t="normal">+B779+1</f>
        <v>298</v>
      </c>
      <c r="C780" s="104" t="s">
        <v>227</v>
      </c>
      <c r="D780" s="117" t="s">
        <v>723</v>
      </c>
      <c r="E780" s="113" t="n">
        <f aca="false" ca="true" dt2D="false" dtr="false" t="normal">SUBTOTAL(9, F780:T780)</f>
        <v>23883812.779999997</v>
      </c>
      <c r="F780" s="106" t="n">
        <v>18821465.97</v>
      </c>
      <c r="G780" s="114" t="n">
        <v>5062346.81</v>
      </c>
      <c r="H780" s="114" t="n"/>
      <c r="I780" s="114" t="n"/>
      <c r="J780" s="114" t="n"/>
      <c r="K780" s="114" t="n"/>
      <c r="L780" s="106" t="n"/>
      <c r="M780" s="114" t="n">
        <v>0</v>
      </c>
      <c r="N780" s="114" t="n"/>
      <c r="O780" s="114" t="n">
        <v>0</v>
      </c>
      <c r="P780" s="114" t="n">
        <v>0</v>
      </c>
      <c r="Q780" s="114" t="n"/>
      <c r="R780" s="114" t="n"/>
      <c r="S780" s="114" t="n"/>
      <c r="T780" s="303" t="n"/>
    </row>
    <row customFormat="true" hidden="false" ht="15" outlineLevel="0" r="781" s="1">
      <c r="A781" s="116" t="n">
        <f aca="false" ca="false" dt2D="false" dtr="false" t="normal">+A780+1</f>
        <v>759</v>
      </c>
      <c r="B781" s="117" t="n">
        <f aca="false" ca="false" dt2D="false" dtr="false" t="normal">+B780+1</f>
        <v>299</v>
      </c>
      <c r="C781" s="104" t="s">
        <v>227</v>
      </c>
      <c r="D781" s="117" t="s">
        <v>426</v>
      </c>
      <c r="E781" s="113" t="n">
        <f aca="false" ca="true" dt2D="false" dtr="false" t="normal">SUBTOTAL(9, F781:T781)</f>
        <v>5320168.09</v>
      </c>
      <c r="F781" s="106" t="n"/>
      <c r="G781" s="114" t="n"/>
      <c r="H781" s="114" t="n"/>
      <c r="I781" s="114" t="n">
        <v>5320168.09</v>
      </c>
      <c r="J781" s="114" t="n"/>
      <c r="K781" s="114" t="n"/>
      <c r="L781" s="106" t="n"/>
      <c r="M781" s="114" t="n">
        <v>0</v>
      </c>
      <c r="N781" s="114" t="n"/>
      <c r="O781" s="114" t="n">
        <v>0</v>
      </c>
      <c r="P781" s="114" t="n"/>
      <c r="Q781" s="114" t="n"/>
      <c r="R781" s="114" t="n"/>
      <c r="S781" s="114" t="n"/>
      <c r="T781" s="303" t="n"/>
    </row>
    <row customFormat="true" hidden="false" ht="15" outlineLevel="0" r="782" s="1">
      <c r="A782" s="116" t="n">
        <f aca="false" ca="false" dt2D="false" dtr="false" t="normal">+A781+1</f>
        <v>760</v>
      </c>
      <c r="B782" s="117" t="n">
        <f aca="false" ca="false" dt2D="false" dtr="false" t="normal">+B781+1</f>
        <v>300</v>
      </c>
      <c r="C782" s="104" t="s">
        <v>227</v>
      </c>
      <c r="D782" s="104" t="s">
        <v>724</v>
      </c>
      <c r="E782" s="113" t="n">
        <f aca="false" ca="true" dt2D="false" dtr="false" t="normal">SUBTOTAL(9, F782:T782)</f>
        <v>5979919.52</v>
      </c>
      <c r="F782" s="106" t="n">
        <v>5979919.52</v>
      </c>
      <c r="G782" s="114" t="n"/>
      <c r="H782" s="114" t="n"/>
      <c r="I782" s="114" t="n"/>
      <c r="J782" s="114" t="n"/>
      <c r="K782" s="114" t="n"/>
      <c r="L782" s="106" t="n"/>
      <c r="M782" s="114" t="n">
        <v>0</v>
      </c>
      <c r="N782" s="114" t="n">
        <v>0</v>
      </c>
      <c r="O782" s="114" t="n">
        <v>0</v>
      </c>
      <c r="P782" s="114" t="n">
        <v>0</v>
      </c>
      <c r="Q782" s="114" t="n"/>
      <c r="R782" s="114" t="n"/>
      <c r="S782" s="114" t="n"/>
      <c r="T782" s="303" t="n"/>
    </row>
    <row customFormat="true" hidden="false" ht="15" outlineLevel="0" r="783" s="1">
      <c r="A783" s="116" t="n">
        <f aca="false" ca="false" dt2D="false" dtr="false" t="normal">+A782+1</f>
        <v>761</v>
      </c>
      <c r="B783" s="117" t="n">
        <f aca="false" ca="false" dt2D="false" dtr="false" t="normal">+B782+1</f>
        <v>301</v>
      </c>
      <c r="C783" s="104" t="s">
        <v>227</v>
      </c>
      <c r="D783" s="104" t="s">
        <v>725</v>
      </c>
      <c r="E783" s="186" t="n">
        <f aca="false" ca="true" dt2D="false" dtr="false" t="normal">SUBTOTAL(9, F783:T783)</f>
        <v>4688828.09</v>
      </c>
      <c r="F783" s="106" t="n"/>
      <c r="G783" s="114" t="n">
        <v>3193475.51</v>
      </c>
      <c r="H783" s="114" t="n">
        <v>1495352.58</v>
      </c>
      <c r="I783" s="114" t="n">
        <v>0</v>
      </c>
      <c r="J783" s="114" t="n">
        <v>0</v>
      </c>
      <c r="K783" s="114" t="n"/>
      <c r="L783" s="106" t="n"/>
      <c r="M783" s="114" t="n">
        <v>0</v>
      </c>
      <c r="N783" s="114" t="n">
        <v>0</v>
      </c>
      <c r="O783" s="114" t="n">
        <v>0</v>
      </c>
      <c r="P783" s="114" t="n">
        <v>0</v>
      </c>
      <c r="Q783" s="114" t="n">
        <v>0</v>
      </c>
      <c r="R783" s="114" t="n"/>
      <c r="S783" s="114" t="n"/>
      <c r="T783" s="303" t="n"/>
    </row>
    <row customFormat="true" hidden="false" ht="15" outlineLevel="0" r="784" s="1">
      <c r="A784" s="116" t="n">
        <f aca="false" ca="false" dt2D="false" dtr="false" t="normal">+A783+1</f>
        <v>762</v>
      </c>
      <c r="B784" s="117" t="n">
        <f aca="false" ca="false" dt2D="false" dtr="false" t="normal">+B783+1</f>
        <v>302</v>
      </c>
      <c r="C784" s="104" t="s">
        <v>227</v>
      </c>
      <c r="D784" s="104" t="s">
        <v>726</v>
      </c>
      <c r="E784" s="186" t="n">
        <f aca="false" ca="true" dt2D="false" dtr="false" t="normal">SUBTOTAL(9, F784:T784)</f>
        <v>3883900.51</v>
      </c>
      <c r="F784" s="106" t="n">
        <v>0</v>
      </c>
      <c r="G784" s="114" t="n">
        <v>0</v>
      </c>
      <c r="H784" s="114" t="n">
        <v>3883900.51</v>
      </c>
      <c r="I784" s="114" t="n">
        <v>0</v>
      </c>
      <c r="J784" s="114" t="n">
        <v>0</v>
      </c>
      <c r="K784" s="114" t="n"/>
      <c r="L784" s="106" t="n"/>
      <c r="M784" s="114" t="n">
        <v>0</v>
      </c>
      <c r="N784" s="114" t="n">
        <v>0</v>
      </c>
      <c r="O784" s="114" t="n">
        <v>0</v>
      </c>
      <c r="P784" s="114" t="n">
        <v>0</v>
      </c>
      <c r="Q784" s="114" t="n">
        <v>0</v>
      </c>
      <c r="R784" s="114" t="n"/>
      <c r="S784" s="114" t="n"/>
      <c r="T784" s="303" t="n"/>
    </row>
    <row customFormat="true" hidden="false" ht="15" outlineLevel="0" r="785" s="1">
      <c r="A785" s="116" t="n">
        <f aca="false" ca="false" dt2D="false" dtr="false" t="normal">+A784+1</f>
        <v>763</v>
      </c>
      <c r="B785" s="117" t="n">
        <f aca="false" ca="false" dt2D="false" dtr="false" t="normal">+B784+1</f>
        <v>303</v>
      </c>
      <c r="C785" s="104" t="s">
        <v>227</v>
      </c>
      <c r="D785" s="104" t="s">
        <v>727</v>
      </c>
      <c r="E785" s="186" t="n">
        <f aca="false" ca="true" dt2D="false" dtr="false" t="normal">SUBTOTAL(9, F785:T785)</f>
        <v>3572320.01</v>
      </c>
      <c r="F785" s="106" t="n"/>
      <c r="G785" s="114" t="n">
        <v>3572320.01</v>
      </c>
      <c r="H785" s="114" t="n">
        <v>0</v>
      </c>
      <c r="I785" s="114" t="n">
        <v>0</v>
      </c>
      <c r="J785" s="114" t="n">
        <v>0</v>
      </c>
      <c r="K785" s="114" t="n"/>
      <c r="L785" s="106" t="n"/>
      <c r="M785" s="114" t="n">
        <v>0</v>
      </c>
      <c r="N785" s="114" t="n">
        <v>0</v>
      </c>
      <c r="O785" s="114" t="n">
        <v>0</v>
      </c>
      <c r="P785" s="114" t="n">
        <v>0</v>
      </c>
      <c r="Q785" s="114" t="n">
        <v>0</v>
      </c>
      <c r="R785" s="114" t="n"/>
      <c r="S785" s="114" t="n"/>
      <c r="T785" s="303" t="n"/>
    </row>
    <row customFormat="true" hidden="false" ht="15" outlineLevel="0" r="786" s="1">
      <c r="A786" s="116" t="n">
        <f aca="false" ca="false" dt2D="false" dtr="false" t="normal">+A785+1</f>
        <v>764</v>
      </c>
      <c r="B786" s="117" t="n">
        <f aca="false" ca="false" dt2D="false" dtr="false" t="normal">+B785+1</f>
        <v>304</v>
      </c>
      <c r="C786" s="104" t="s">
        <v>227</v>
      </c>
      <c r="D786" s="104" t="s">
        <v>728</v>
      </c>
      <c r="E786" s="113" t="n">
        <f aca="false" ca="true" dt2D="false" dtr="false" t="normal">SUBTOTAL(9, F786:T786)</f>
        <v>8396214.120000001</v>
      </c>
      <c r="F786" s="106" t="n">
        <v>5925260.24</v>
      </c>
      <c r="G786" s="114" t="n">
        <v>2470953.88</v>
      </c>
      <c r="H786" s="114" t="n">
        <v>0</v>
      </c>
      <c r="I786" s="114" t="n">
        <v>0</v>
      </c>
      <c r="J786" s="114" t="n">
        <v>0</v>
      </c>
      <c r="K786" s="114" t="n"/>
      <c r="L786" s="106" t="n"/>
      <c r="M786" s="114" t="n">
        <v>0</v>
      </c>
      <c r="N786" s="114" t="n">
        <v>0</v>
      </c>
      <c r="O786" s="114" t="n">
        <v>0</v>
      </c>
      <c r="P786" s="114" t="n">
        <v>0</v>
      </c>
      <c r="Q786" s="114" t="n">
        <v>0</v>
      </c>
      <c r="R786" s="114" t="n"/>
      <c r="S786" s="114" t="n"/>
      <c r="T786" s="303" t="n"/>
    </row>
    <row customFormat="true" hidden="false" ht="15" outlineLevel="0" r="787" s="1">
      <c r="A787" s="116" t="n">
        <f aca="false" ca="false" dt2D="false" dtr="false" t="normal">+A786+1</f>
        <v>765</v>
      </c>
      <c r="B787" s="117" t="n">
        <f aca="false" ca="false" dt2D="false" dtr="false" t="normal">+B786+1</f>
        <v>305</v>
      </c>
      <c r="C787" s="104" t="s">
        <v>227</v>
      </c>
      <c r="D787" s="104" t="s">
        <v>729</v>
      </c>
      <c r="E787" s="186" t="n">
        <f aca="false" ca="true" dt2D="false" dtr="false" t="normal">SUBTOTAL(9, F787:T787)</f>
        <v>3393377.71</v>
      </c>
      <c r="F787" s="106" t="n"/>
      <c r="G787" s="114" t="n">
        <v>3393377.71</v>
      </c>
      <c r="H787" s="114" t="n">
        <v>0</v>
      </c>
      <c r="I787" s="114" t="n">
        <v>0</v>
      </c>
      <c r="J787" s="114" t="n">
        <v>0</v>
      </c>
      <c r="K787" s="114" t="n"/>
      <c r="L787" s="106" t="n"/>
      <c r="M787" s="114" t="n">
        <v>0</v>
      </c>
      <c r="N787" s="114" t="n">
        <v>0</v>
      </c>
      <c r="O787" s="114" t="n">
        <v>0</v>
      </c>
      <c r="P787" s="114" t="n">
        <v>0</v>
      </c>
      <c r="Q787" s="114" t="n">
        <v>0</v>
      </c>
      <c r="R787" s="114" t="n"/>
      <c r="S787" s="114" t="n"/>
      <c r="T787" s="303" t="n"/>
    </row>
    <row customFormat="true" hidden="false" ht="15" outlineLevel="0" r="788" s="1">
      <c r="A788" s="116" t="n">
        <f aca="false" ca="false" dt2D="false" dtr="false" t="normal">+A787+1</f>
        <v>766</v>
      </c>
      <c r="B788" s="117" t="n">
        <f aca="false" ca="false" dt2D="false" dtr="false" t="normal">+B787+1</f>
        <v>306</v>
      </c>
      <c r="C788" s="104" t="s">
        <v>227</v>
      </c>
      <c r="D788" s="104" t="s">
        <v>730</v>
      </c>
      <c r="E788" s="113" t="n">
        <f aca="false" ca="true" dt2D="false" dtr="false" t="normal">SUBTOTAL(9, F788:T788)</f>
        <v>7286252.95</v>
      </c>
      <c r="F788" s="106" t="n">
        <v>5920320.63</v>
      </c>
      <c r="G788" s="114" t="n"/>
      <c r="H788" s="114" t="n">
        <v>1365932.32</v>
      </c>
      <c r="I788" s="114" t="n">
        <v>0</v>
      </c>
      <c r="J788" s="114" t="n">
        <v>0</v>
      </c>
      <c r="K788" s="114" t="n"/>
      <c r="L788" s="106" t="n"/>
      <c r="M788" s="114" t="n">
        <v>0</v>
      </c>
      <c r="N788" s="114" t="n">
        <v>0</v>
      </c>
      <c r="O788" s="114" t="n">
        <v>0</v>
      </c>
      <c r="P788" s="114" t="n">
        <v>0</v>
      </c>
      <c r="Q788" s="114" t="n">
        <v>0</v>
      </c>
      <c r="R788" s="114" t="n"/>
      <c r="S788" s="114" t="n"/>
      <c r="T788" s="303" t="n"/>
    </row>
    <row customFormat="true" hidden="false" ht="15" outlineLevel="0" r="789" s="1">
      <c r="A789" s="116" t="n">
        <f aca="false" ca="false" dt2D="false" dtr="false" t="normal">+A788+1</f>
        <v>767</v>
      </c>
      <c r="B789" s="117" t="n">
        <f aca="false" ca="false" dt2D="false" dtr="false" t="normal">+B788+1</f>
        <v>307</v>
      </c>
      <c r="C789" s="104" t="s">
        <v>227</v>
      </c>
      <c r="D789" s="117" t="s">
        <v>731</v>
      </c>
      <c r="E789" s="113" t="n">
        <f aca="false" ca="true" dt2D="false" dtr="false" t="normal">SUBTOTAL(9, F789:T789)</f>
        <v>2117368.17</v>
      </c>
      <c r="F789" s="106" t="n">
        <v>2092853.18</v>
      </c>
      <c r="G789" s="114" t="n">
        <v>0</v>
      </c>
      <c r="H789" s="114" t="n">
        <v>0</v>
      </c>
      <c r="I789" s="114" t="n">
        <v>0</v>
      </c>
      <c r="J789" s="114" t="n">
        <v>0</v>
      </c>
      <c r="K789" s="114" t="n"/>
      <c r="L789" s="106" t="n"/>
      <c r="M789" s="114" t="n">
        <v>0</v>
      </c>
      <c r="N789" s="114" t="n">
        <v>0</v>
      </c>
      <c r="O789" s="114" t="n">
        <v>0</v>
      </c>
      <c r="P789" s="114" t="n">
        <v>0</v>
      </c>
      <c r="Q789" s="114" t="n">
        <v>0</v>
      </c>
      <c r="R789" s="114" t="n"/>
      <c r="S789" s="114" t="n"/>
      <c r="T789" s="115" t="n">
        <v>24514.99</v>
      </c>
    </row>
    <row customFormat="true" hidden="false" ht="15" outlineLevel="0" r="790" s="1">
      <c r="A790" s="116" t="n">
        <f aca="false" ca="false" dt2D="false" dtr="false" t="normal">+A789+1</f>
        <v>768</v>
      </c>
      <c r="B790" s="117" t="n">
        <f aca="false" ca="false" dt2D="false" dtr="false" t="normal">+B789+1</f>
        <v>308</v>
      </c>
      <c r="C790" s="104" t="s">
        <v>227</v>
      </c>
      <c r="D790" s="104" t="s">
        <v>732</v>
      </c>
      <c r="E790" s="186" t="n">
        <f aca="false" ca="true" dt2D="false" dtr="false" t="normal">SUBTOTAL(9, F790:T790)</f>
        <v>3000018.44</v>
      </c>
      <c r="F790" s="106" t="n"/>
      <c r="G790" s="114" t="n"/>
      <c r="H790" s="114" t="n"/>
      <c r="I790" s="114" t="n"/>
      <c r="J790" s="114" t="n"/>
      <c r="K790" s="114" t="n"/>
      <c r="L790" s="106" t="n"/>
      <c r="M790" s="114" t="n">
        <v>2829176.44</v>
      </c>
      <c r="N790" s="114" t="n"/>
      <c r="O790" s="114" t="n"/>
      <c r="P790" s="114" t="n"/>
      <c r="Q790" s="114" t="n"/>
      <c r="R790" s="114" t="n">
        <v>128131.5</v>
      </c>
      <c r="S790" s="114" t="n">
        <v>42710.5</v>
      </c>
      <c r="T790" s="303" t="n"/>
    </row>
    <row customFormat="true" hidden="false" ht="15" outlineLevel="0" r="791" s="1">
      <c r="A791" s="116" t="n">
        <f aca="false" ca="false" dt2D="false" dtr="false" t="normal">+A790+1</f>
        <v>769</v>
      </c>
      <c r="B791" s="117" t="n">
        <f aca="false" ca="false" dt2D="false" dtr="false" t="normal">+B790+1</f>
        <v>309</v>
      </c>
      <c r="C791" s="104" t="s">
        <v>227</v>
      </c>
      <c r="D791" s="104" t="s">
        <v>734</v>
      </c>
      <c r="E791" s="113" t="n">
        <f aca="false" ca="true" dt2D="false" dtr="false" t="normal">SUBTOTAL(9, F791:T791)</f>
        <v>2158435.54</v>
      </c>
      <c r="F791" s="106" t="n">
        <v>0</v>
      </c>
      <c r="G791" s="114" t="n">
        <v>0</v>
      </c>
      <c r="H791" s="114" t="n">
        <v>0</v>
      </c>
      <c r="I791" s="114" t="n">
        <v>0</v>
      </c>
      <c r="J791" s="114" t="n">
        <v>0</v>
      </c>
      <c r="K791" s="114" t="n"/>
      <c r="L791" s="106" t="n"/>
      <c r="M791" s="114" t="n">
        <v>0</v>
      </c>
      <c r="N791" s="114" t="n">
        <v>2158435.54</v>
      </c>
      <c r="O791" s="114" t="n">
        <v>0</v>
      </c>
      <c r="P791" s="114" t="n">
        <v>0</v>
      </c>
      <c r="Q791" s="114" t="n">
        <v>0</v>
      </c>
      <c r="R791" s="114" t="n"/>
      <c r="S791" s="114" t="n"/>
      <c r="T791" s="303" t="n"/>
    </row>
    <row customFormat="true" hidden="false" ht="15" outlineLevel="0" r="792" s="1">
      <c r="A792" s="116" t="n">
        <f aca="false" ca="false" dt2D="false" dtr="false" t="normal">+A791+1</f>
        <v>770</v>
      </c>
      <c r="B792" s="117" t="n">
        <f aca="false" ca="false" dt2D="false" dtr="false" t="normal">+B791+1</f>
        <v>310</v>
      </c>
      <c r="C792" s="104" t="s">
        <v>735</v>
      </c>
      <c r="D792" s="104" t="s">
        <v>736</v>
      </c>
      <c r="E792" s="186" t="n">
        <f aca="false" ca="true" dt2D="false" dtr="false" t="normal">SUBTOTAL(9, F792:T792)</f>
        <v>10635851.63</v>
      </c>
      <c r="F792" s="106" t="n">
        <v>6961345.19</v>
      </c>
      <c r="G792" s="114" t="n">
        <v>3674506.44</v>
      </c>
      <c r="H792" s="114" t="n">
        <v>0</v>
      </c>
      <c r="I792" s="114" t="n">
        <v>0</v>
      </c>
      <c r="J792" s="114" t="n">
        <v>0</v>
      </c>
      <c r="K792" s="114" t="n"/>
      <c r="L792" s="106" t="n"/>
      <c r="M792" s="114" t="n">
        <v>0</v>
      </c>
      <c r="N792" s="114" t="n">
        <v>0</v>
      </c>
      <c r="O792" s="114" t="n">
        <v>0</v>
      </c>
      <c r="P792" s="114" t="n">
        <v>0</v>
      </c>
      <c r="Q792" s="114" t="n">
        <v>0</v>
      </c>
      <c r="R792" s="114" t="n"/>
      <c r="S792" s="114" t="n"/>
      <c r="T792" s="303" t="n"/>
    </row>
    <row customFormat="true" hidden="false" ht="15" outlineLevel="0" r="793" s="1">
      <c r="A793" s="116" t="n">
        <f aca="false" ca="false" dt2D="false" dtr="false" t="normal">+A792+1</f>
        <v>771</v>
      </c>
      <c r="B793" s="117" t="n">
        <f aca="false" ca="false" dt2D="false" dtr="false" t="normal">+B792+1</f>
        <v>311</v>
      </c>
      <c r="C793" s="104" t="s">
        <v>247</v>
      </c>
      <c r="D793" s="117" t="s">
        <v>248</v>
      </c>
      <c r="E793" s="113" t="n">
        <f aca="false" ca="true" dt2D="false" dtr="false" t="normal">SUBTOTAL(9, F793:T793)</f>
        <v>18422983.049999997</v>
      </c>
      <c r="F793" s="106" t="n">
        <v>13442149.37</v>
      </c>
      <c r="G793" s="114" t="n">
        <v>4980833.68</v>
      </c>
      <c r="H793" s="114" t="n">
        <v>0</v>
      </c>
      <c r="I793" s="114" t="n">
        <v>0</v>
      </c>
      <c r="J793" s="114" t="n">
        <v>0</v>
      </c>
      <c r="K793" s="114" t="n"/>
      <c r="L793" s="106" t="n"/>
      <c r="M793" s="114" t="n">
        <v>0</v>
      </c>
      <c r="N793" s="114" t="n"/>
      <c r="O793" s="114" t="n">
        <v>0</v>
      </c>
      <c r="P793" s="114" t="n">
        <v>0</v>
      </c>
      <c r="Q793" s="114" t="n">
        <v>0</v>
      </c>
      <c r="R793" s="114" t="n"/>
      <c r="S793" s="114" t="n"/>
      <c r="T793" s="303" t="n"/>
    </row>
    <row customFormat="true" hidden="false" ht="15" outlineLevel="0" r="794" s="1">
      <c r="A794" s="116" t="n">
        <f aca="false" ca="false" dt2D="false" dtr="false" t="normal">+A793+1</f>
        <v>772</v>
      </c>
      <c r="B794" s="117" t="n">
        <f aca="false" ca="false" dt2D="false" dtr="false" t="normal">+B793+1</f>
        <v>312</v>
      </c>
      <c r="C794" s="104" t="s">
        <v>247</v>
      </c>
      <c r="D794" s="117" t="s">
        <v>249</v>
      </c>
      <c r="E794" s="113" t="n">
        <f aca="false" ca="true" dt2D="false" dtr="false" t="normal">SUBTOTAL(9, F794:T794)</f>
        <v>23530760.48</v>
      </c>
      <c r="F794" s="106" t="n">
        <v>13364467.92</v>
      </c>
      <c r="G794" s="114" t="n">
        <v>4951357.81</v>
      </c>
      <c r="H794" s="114" t="n">
        <v>5214934.75</v>
      </c>
      <c r="I794" s="114" t="n">
        <v>0</v>
      </c>
      <c r="J794" s="114" t="n">
        <v>0</v>
      </c>
      <c r="K794" s="114" t="n"/>
      <c r="L794" s="106" t="n"/>
      <c r="M794" s="114" t="n">
        <v>0</v>
      </c>
      <c r="N794" s="114" t="n"/>
      <c r="O794" s="114" t="n">
        <v>0</v>
      </c>
      <c r="P794" s="114" t="n">
        <v>0</v>
      </c>
      <c r="Q794" s="114" t="n">
        <v>0</v>
      </c>
      <c r="R794" s="114" t="n"/>
      <c r="S794" s="114" t="n"/>
      <c r="T794" s="303" t="n"/>
    </row>
    <row customFormat="true" hidden="false" ht="15" outlineLevel="0" r="795" s="1">
      <c r="A795" s="116" t="n">
        <f aca="false" ca="false" dt2D="false" dtr="false" t="normal">+A794+1</f>
        <v>773</v>
      </c>
      <c r="B795" s="117" t="n">
        <f aca="false" ca="false" dt2D="false" dtr="false" t="normal">+B794+1</f>
        <v>313</v>
      </c>
      <c r="C795" s="104" t="s">
        <v>247</v>
      </c>
      <c r="D795" s="104" t="s">
        <v>737</v>
      </c>
      <c r="E795" s="186" t="n">
        <f aca="false" ca="true" dt2D="false" dtr="false" t="normal">SUBTOTAL(9, F795:T795)</f>
        <v>22394656.68</v>
      </c>
      <c r="F795" s="106" t="n">
        <v>8438905.98</v>
      </c>
      <c r="G795" s="114" t="n"/>
      <c r="H795" s="114" t="n">
        <v>0</v>
      </c>
      <c r="I795" s="114" t="n">
        <v>0</v>
      </c>
      <c r="J795" s="114" t="n">
        <v>0</v>
      </c>
      <c r="K795" s="114" t="n"/>
      <c r="L795" s="106" t="n"/>
      <c r="M795" s="114" t="n">
        <v>0</v>
      </c>
      <c r="N795" s="114" t="n">
        <v>13955750.7</v>
      </c>
      <c r="O795" s="114" t="n">
        <v>0</v>
      </c>
      <c r="P795" s="114" t="n">
        <v>0</v>
      </c>
      <c r="Q795" s="114" t="n">
        <v>0</v>
      </c>
      <c r="R795" s="114" t="n"/>
      <c r="S795" s="114" t="n"/>
      <c r="T795" s="303" t="n"/>
    </row>
    <row customFormat="true" hidden="false" ht="15" outlineLevel="0" r="796" s="1">
      <c r="A796" s="116" t="n">
        <f aca="false" ca="false" dt2D="false" dtr="false" t="normal">+A795+1</f>
        <v>774</v>
      </c>
      <c r="B796" s="117" t="n">
        <f aca="false" ca="false" dt2D="false" dtr="false" t="normal">+B795+1</f>
        <v>314</v>
      </c>
      <c r="C796" s="104" t="s">
        <v>247</v>
      </c>
      <c r="D796" s="104" t="s">
        <v>738</v>
      </c>
      <c r="E796" s="186" t="n">
        <f aca="false" ca="true" dt2D="false" dtr="false" t="normal">SUBTOTAL(9, F796:T796)</f>
        <v>8303475.83</v>
      </c>
      <c r="F796" s="106" t="n">
        <v>8303475.83</v>
      </c>
      <c r="G796" s="114" t="n"/>
      <c r="H796" s="114" t="n">
        <v>0</v>
      </c>
      <c r="I796" s="114" t="n">
        <v>0</v>
      </c>
      <c r="J796" s="114" t="n">
        <v>0</v>
      </c>
      <c r="K796" s="114" t="n"/>
      <c r="L796" s="106" t="n"/>
      <c r="M796" s="114" t="n">
        <v>0</v>
      </c>
      <c r="N796" s="114" t="n"/>
      <c r="O796" s="114" t="n">
        <v>0</v>
      </c>
      <c r="P796" s="114" t="n">
        <v>0</v>
      </c>
      <c r="Q796" s="114" t="n">
        <v>0</v>
      </c>
      <c r="R796" s="114" t="n"/>
      <c r="S796" s="114" t="n"/>
      <c r="T796" s="303" t="n"/>
    </row>
    <row customFormat="true" hidden="false" ht="15" outlineLevel="0" r="797" s="1">
      <c r="A797" s="116" t="n">
        <f aca="false" ca="false" dt2D="false" dtr="false" t="normal">+A796+1</f>
        <v>775</v>
      </c>
      <c r="B797" s="117" t="n">
        <f aca="false" ca="false" dt2D="false" dtr="false" t="normal">+B796+1</f>
        <v>315</v>
      </c>
      <c r="C797" s="104" t="s">
        <v>247</v>
      </c>
      <c r="D797" s="117" t="s">
        <v>739</v>
      </c>
      <c r="E797" s="113" t="n">
        <f aca="false" ca="true" dt2D="false" dtr="false" t="normal">SUBTOTAL(9, F797:T797)</f>
        <v>16393545.600000001</v>
      </c>
      <c r="F797" s="106" t="n">
        <v>7387365.74</v>
      </c>
      <c r="G797" s="114" t="n">
        <v>2724118.54</v>
      </c>
      <c r="H797" s="114" t="n"/>
      <c r="I797" s="114" t="n"/>
      <c r="J797" s="114" t="n"/>
      <c r="K797" s="114" t="n"/>
      <c r="L797" s="106" t="n"/>
      <c r="M797" s="114" t="n">
        <v>0</v>
      </c>
      <c r="N797" s="114" t="n">
        <v>6282061.32</v>
      </c>
      <c r="O797" s="114" t="n">
        <v>0</v>
      </c>
      <c r="P797" s="114" t="n">
        <v>0</v>
      </c>
      <c r="Q797" s="114" t="n">
        <v>0</v>
      </c>
      <c r="R797" s="114" t="n"/>
      <c r="S797" s="114" t="n"/>
      <c r="T797" s="303" t="n"/>
    </row>
    <row customFormat="true" hidden="false" ht="15" outlineLevel="0" r="798" s="1">
      <c r="A798" s="116" t="n">
        <f aca="false" ca="false" dt2D="false" dtr="false" t="normal">+A797+1</f>
        <v>776</v>
      </c>
      <c r="B798" s="117" t="n">
        <f aca="false" ca="false" dt2D="false" dtr="false" t="normal">+B797+1</f>
        <v>316</v>
      </c>
      <c r="C798" s="104" t="s">
        <v>740</v>
      </c>
      <c r="D798" s="104" t="s">
        <v>741</v>
      </c>
      <c r="E798" s="113" t="n">
        <f aca="false" ca="true" dt2D="false" dtr="false" t="normal">SUBTOTAL(9, F798:T798)</f>
        <v>15612840.12</v>
      </c>
      <c r="F798" s="106" t="n"/>
      <c r="G798" s="114" t="n"/>
      <c r="H798" s="114" t="n"/>
      <c r="I798" s="114" t="n"/>
      <c r="J798" s="114" t="n"/>
      <c r="K798" s="114" t="n"/>
      <c r="L798" s="106" t="n"/>
      <c r="M798" s="114" t="n"/>
      <c r="N798" s="114" t="n">
        <v>15612840.12</v>
      </c>
      <c r="O798" s="114" t="n"/>
      <c r="P798" s="114" t="n"/>
      <c r="Q798" s="114" t="n"/>
      <c r="R798" s="114" t="n"/>
      <c r="S798" s="114" t="n"/>
      <c r="T798" s="303" t="n"/>
    </row>
    <row customFormat="true" hidden="false" ht="15" outlineLevel="0" r="799" s="1">
      <c r="A799" s="116" t="n">
        <f aca="false" ca="false" dt2D="false" dtr="false" t="normal">+A798+1</f>
        <v>777</v>
      </c>
      <c r="B799" s="117" t="n">
        <f aca="false" ca="false" dt2D="false" dtr="false" t="normal">+B798+1</f>
        <v>317</v>
      </c>
      <c r="C799" s="104" t="s">
        <v>740</v>
      </c>
      <c r="D799" s="104" t="s">
        <v>742</v>
      </c>
      <c r="E799" s="113" t="n">
        <f aca="false" ca="true" dt2D="false" dtr="false" t="normal">SUBTOTAL(9, F799:T799)</f>
        <v>21539455.56</v>
      </c>
      <c r="F799" s="106" t="n">
        <v>0</v>
      </c>
      <c r="G799" s="114" t="n">
        <v>0</v>
      </c>
      <c r="H799" s="114" t="n">
        <v>0</v>
      </c>
      <c r="I799" s="114" t="n">
        <v>0</v>
      </c>
      <c r="J799" s="114" t="n">
        <v>0</v>
      </c>
      <c r="K799" s="114" t="n"/>
      <c r="L799" s="106" t="n"/>
      <c r="M799" s="114" t="n">
        <v>0</v>
      </c>
      <c r="N799" s="114" t="n">
        <v>21539455.56</v>
      </c>
      <c r="O799" s="114" t="n">
        <v>0</v>
      </c>
      <c r="P799" s="114" t="n">
        <v>0</v>
      </c>
      <c r="Q799" s="114" t="n">
        <v>0</v>
      </c>
      <c r="R799" s="114" t="n"/>
      <c r="S799" s="114" t="n"/>
      <c r="T799" s="303" t="n"/>
    </row>
    <row customFormat="true" hidden="false" ht="15" outlineLevel="0" r="800" s="1">
      <c r="A800" s="116" t="n">
        <f aca="false" ca="false" dt2D="false" dtr="false" t="normal">+A799+1</f>
        <v>778</v>
      </c>
      <c r="B800" s="117" t="n">
        <f aca="false" ca="false" dt2D="false" dtr="false" t="normal">+B799+1</f>
        <v>318</v>
      </c>
      <c r="C800" s="104" t="s">
        <v>740</v>
      </c>
      <c r="D800" s="104" t="s">
        <v>743</v>
      </c>
      <c r="E800" s="113" t="n">
        <f aca="false" ca="true" dt2D="false" dtr="false" t="normal">SUBTOTAL(9, F800:T800)</f>
        <v>12234614.59</v>
      </c>
      <c r="F800" s="106" t="n">
        <v>0</v>
      </c>
      <c r="G800" s="114" t="n">
        <v>0</v>
      </c>
      <c r="H800" s="114" t="n">
        <v>0</v>
      </c>
      <c r="I800" s="114" t="n">
        <v>0</v>
      </c>
      <c r="J800" s="114" t="n">
        <v>0</v>
      </c>
      <c r="K800" s="114" t="n"/>
      <c r="L800" s="106" t="n"/>
      <c r="M800" s="114" t="n">
        <v>0</v>
      </c>
      <c r="N800" s="114" t="n">
        <v>12234614.59</v>
      </c>
      <c r="O800" s="114" t="n">
        <v>0</v>
      </c>
      <c r="P800" s="114" t="n">
        <v>0</v>
      </c>
      <c r="Q800" s="114" t="n">
        <v>0</v>
      </c>
      <c r="R800" s="114" t="n"/>
      <c r="S800" s="114" t="n"/>
      <c r="T800" s="303" t="n"/>
    </row>
    <row customFormat="true" hidden="false" ht="15" outlineLevel="0" r="801" s="1">
      <c r="A801" s="116" t="n">
        <f aca="false" ca="false" dt2D="false" dtr="false" t="normal">+A800+1</f>
        <v>779</v>
      </c>
      <c r="B801" s="117" t="n">
        <f aca="false" ca="false" dt2D="false" dtr="false" t="normal">+B800+1</f>
        <v>319</v>
      </c>
      <c r="C801" s="104" t="s">
        <v>253</v>
      </c>
      <c r="D801" s="104" t="s">
        <v>744</v>
      </c>
      <c r="E801" s="113" t="n">
        <f aca="false" ca="true" dt2D="false" dtr="false" t="normal">SUBTOTAL(9, F801:T801)</f>
        <v>5831102.69</v>
      </c>
      <c r="F801" s="106" t="n"/>
      <c r="G801" s="114" t="n"/>
      <c r="H801" s="114" t="n"/>
      <c r="I801" s="114" t="n"/>
      <c r="J801" s="114" t="n"/>
      <c r="K801" s="114" t="n"/>
      <c r="L801" s="106" t="n"/>
      <c r="M801" s="114" t="n"/>
      <c r="N801" s="114" t="n"/>
      <c r="O801" s="114" t="n"/>
      <c r="P801" s="114" t="n"/>
      <c r="Q801" s="114" t="n">
        <v>5831102.69</v>
      </c>
      <c r="R801" s="114" t="n"/>
      <c r="S801" s="114" t="n"/>
      <c r="T801" s="303" t="n"/>
    </row>
    <row customFormat="true" hidden="false" ht="15" outlineLevel="0" r="802" s="1">
      <c r="A802" s="116" t="n">
        <f aca="false" ca="false" dt2D="false" dtr="false" t="normal">+A801+1</f>
        <v>780</v>
      </c>
      <c r="B802" s="117" t="n">
        <f aca="false" ca="false" dt2D="false" dtr="false" t="normal">+B801+1</f>
        <v>320</v>
      </c>
      <c r="C802" s="104" t="s">
        <v>428</v>
      </c>
      <c r="D802" s="104" t="s">
        <v>745</v>
      </c>
      <c r="E802" s="113" t="n">
        <f aca="false" ca="true" dt2D="false" dtr="false" t="normal">SUBTOTAL(9, F802:T802)</f>
        <v>1775821.5</v>
      </c>
      <c r="F802" s="106" t="n"/>
      <c r="G802" s="114" t="n">
        <v>1775821.5</v>
      </c>
      <c r="H802" s="114" t="n">
        <v>0</v>
      </c>
      <c r="I802" s="114" t="n">
        <v>0</v>
      </c>
      <c r="J802" s="114" t="n">
        <v>0</v>
      </c>
      <c r="K802" s="114" t="n"/>
      <c r="L802" s="106" t="n"/>
      <c r="M802" s="114" t="n">
        <v>0</v>
      </c>
      <c r="N802" s="114" t="n">
        <v>0</v>
      </c>
      <c r="O802" s="114" t="n">
        <v>0</v>
      </c>
      <c r="P802" s="114" t="n"/>
      <c r="Q802" s="114" t="n">
        <v>0</v>
      </c>
      <c r="R802" s="114" t="n"/>
      <c r="S802" s="114" t="n"/>
      <c r="T802" s="303" t="n"/>
    </row>
    <row customFormat="true" hidden="false" ht="15" outlineLevel="0" r="803" s="1">
      <c r="A803" s="116" t="n">
        <f aca="false" ca="false" dt2D="false" dtr="false" t="normal">+A802+1</f>
        <v>781</v>
      </c>
      <c r="B803" s="117" t="n">
        <f aca="false" ca="false" dt2D="false" dtr="false" t="normal">+B802+1</f>
        <v>321</v>
      </c>
      <c r="C803" s="104" t="s">
        <v>428</v>
      </c>
      <c r="D803" s="117" t="s">
        <v>509</v>
      </c>
      <c r="E803" s="113" t="n">
        <f aca="false" ca="true" dt2D="false" dtr="false" t="normal">SUBTOTAL(9, F803:T803)</f>
        <v>539640.37</v>
      </c>
      <c r="F803" s="106" t="n"/>
      <c r="G803" s="114" t="n">
        <v>539640.37</v>
      </c>
      <c r="H803" s="114" t="n">
        <v>0</v>
      </c>
      <c r="I803" s="114" t="n">
        <v>0</v>
      </c>
      <c r="J803" s="114" t="n">
        <v>0</v>
      </c>
      <c r="K803" s="114" t="n"/>
      <c r="L803" s="106" t="n"/>
      <c r="M803" s="114" t="n">
        <v>0</v>
      </c>
      <c r="N803" s="114" t="n"/>
      <c r="O803" s="114" t="n">
        <v>0</v>
      </c>
      <c r="P803" s="114" t="n">
        <v>0</v>
      </c>
      <c r="Q803" s="114" t="n">
        <v>0</v>
      </c>
      <c r="R803" s="114" t="n"/>
      <c r="S803" s="114" t="n"/>
      <c r="T803" s="303" t="n"/>
    </row>
    <row customFormat="true" hidden="false" ht="15" outlineLevel="0" r="804" s="1">
      <c r="A804" s="116" t="n">
        <f aca="false" ca="false" dt2D="false" dtr="false" t="normal">+A803+1</f>
        <v>782</v>
      </c>
      <c r="B804" s="117" t="n">
        <f aca="false" ca="false" dt2D="false" dtr="false" t="normal">+B803+1</f>
        <v>322</v>
      </c>
      <c r="C804" s="104" t="s">
        <v>428</v>
      </c>
      <c r="D804" s="104" t="s">
        <v>746</v>
      </c>
      <c r="E804" s="113" t="n">
        <f aca="false" ca="true" dt2D="false" dtr="false" t="normal">SUBTOTAL(9, F804:T804)</f>
        <v>3560293.71</v>
      </c>
      <c r="F804" s="106" t="n">
        <v>1901997.53</v>
      </c>
      <c r="G804" s="114" t="n">
        <v>815853.27</v>
      </c>
      <c r="H804" s="114" t="n">
        <v>842442.91</v>
      </c>
      <c r="I804" s="114" t="n">
        <v>0</v>
      </c>
      <c r="J804" s="114" t="n">
        <v>0</v>
      </c>
      <c r="K804" s="114" t="n"/>
      <c r="L804" s="106" t="n"/>
      <c r="M804" s="114" t="n">
        <v>0</v>
      </c>
      <c r="N804" s="114" t="n">
        <v>0</v>
      </c>
      <c r="O804" s="114" t="n">
        <v>0</v>
      </c>
      <c r="P804" s="114" t="n">
        <v>0</v>
      </c>
      <c r="Q804" s="114" t="n">
        <v>0</v>
      </c>
      <c r="R804" s="114" t="n"/>
      <c r="S804" s="114" t="n"/>
      <c r="T804" s="303" t="n"/>
    </row>
    <row customFormat="true" hidden="false" ht="15" outlineLevel="0" r="805" s="1">
      <c r="A805" s="116" t="n">
        <f aca="false" ca="false" dt2D="false" dtr="false" t="normal">+A804+1</f>
        <v>783</v>
      </c>
      <c r="B805" s="117" t="n">
        <f aca="false" ca="false" dt2D="false" dtr="false" t="normal">+B804+1</f>
        <v>323</v>
      </c>
      <c r="C805" s="104" t="s">
        <v>428</v>
      </c>
      <c r="D805" s="117" t="s">
        <v>429</v>
      </c>
      <c r="E805" s="113" t="n">
        <f aca="false" ca="true" dt2D="false" dtr="false" t="normal">SUBTOTAL(9, F805:T805)</f>
        <v>15671022.44</v>
      </c>
      <c r="F805" s="106" t="n">
        <v>6428842.39</v>
      </c>
      <c r="G805" s="114" t="n">
        <v>1825378.91</v>
      </c>
      <c r="H805" s="114" t="n"/>
      <c r="I805" s="114" t="n"/>
      <c r="J805" s="114" t="n">
        <v>0</v>
      </c>
      <c r="K805" s="114" t="n"/>
      <c r="L805" s="106" t="n"/>
      <c r="M805" s="114" t="n">
        <v>0</v>
      </c>
      <c r="N805" s="114" t="n">
        <v>0</v>
      </c>
      <c r="O805" s="114" t="n">
        <v>0</v>
      </c>
      <c r="P805" s="114" t="n">
        <v>7416801.14</v>
      </c>
      <c r="Q805" s="114" t="n">
        <v>0</v>
      </c>
      <c r="R805" s="114" t="n"/>
      <c r="S805" s="114" t="n"/>
      <c r="T805" s="303" t="n"/>
    </row>
    <row customFormat="true" hidden="false" ht="15" outlineLevel="0" r="806" s="1">
      <c r="A806" s="116" t="n">
        <f aca="false" ca="false" dt2D="false" dtr="false" t="normal">+A805+1</f>
        <v>784</v>
      </c>
      <c r="B806" s="117" t="n">
        <f aca="false" ca="false" dt2D="false" dtr="false" t="normal">+B805+1</f>
        <v>324</v>
      </c>
      <c r="C806" s="104" t="s">
        <v>428</v>
      </c>
      <c r="D806" s="104" t="s">
        <v>747</v>
      </c>
      <c r="E806" s="113" t="n">
        <f aca="false" ca="true" dt2D="false" dtr="false" t="normal">SUBTOTAL(9, F806:T806)</f>
        <v>7602627.3</v>
      </c>
      <c r="F806" s="106" t="n">
        <v>3912372.02</v>
      </c>
      <c r="G806" s="114" t="n">
        <v>1821795.81</v>
      </c>
      <c r="H806" s="114" t="n">
        <v>1868459.47</v>
      </c>
      <c r="I806" s="114" t="n"/>
      <c r="J806" s="114" t="n">
        <v>0</v>
      </c>
      <c r="K806" s="114" t="n"/>
      <c r="L806" s="106" t="n"/>
      <c r="M806" s="114" t="n">
        <v>0</v>
      </c>
      <c r="N806" s="114" t="n">
        <v>0</v>
      </c>
      <c r="O806" s="114" t="n">
        <v>0</v>
      </c>
      <c r="P806" s="114" t="n">
        <v>0</v>
      </c>
      <c r="Q806" s="114" t="n">
        <v>0</v>
      </c>
      <c r="R806" s="114" t="n"/>
      <c r="S806" s="114" t="n"/>
      <c r="T806" s="303" t="n"/>
    </row>
    <row customFormat="true" hidden="false" ht="15" outlineLevel="0" r="807" s="1">
      <c r="A807" s="116" t="n">
        <f aca="false" ca="false" dt2D="false" dtr="false" t="normal">+A806+1</f>
        <v>785</v>
      </c>
      <c r="B807" s="117" t="n">
        <f aca="false" ca="false" dt2D="false" dtr="false" t="normal">+B806+1</f>
        <v>325</v>
      </c>
      <c r="C807" s="104" t="s">
        <v>428</v>
      </c>
      <c r="D807" s="104" t="s">
        <v>748</v>
      </c>
      <c r="E807" s="113" t="n">
        <f aca="false" ca="true" dt2D="false" dtr="false" t="normal">SUBTOTAL(9, F807:T807)</f>
        <v>9946531.61</v>
      </c>
      <c r="F807" s="106" t="n">
        <v>6784576.15</v>
      </c>
      <c r="G807" s="114" t="n">
        <v>3161955.46</v>
      </c>
      <c r="H807" s="114" t="n">
        <v>0</v>
      </c>
      <c r="I807" s="114" t="n"/>
      <c r="J807" s="114" t="n">
        <v>0</v>
      </c>
      <c r="K807" s="114" t="n"/>
      <c r="L807" s="106" t="n"/>
      <c r="M807" s="114" t="n">
        <v>0</v>
      </c>
      <c r="N807" s="114" t="n">
        <v>0</v>
      </c>
      <c r="O807" s="114" t="n">
        <v>0</v>
      </c>
      <c r="P807" s="114" t="n">
        <v>0</v>
      </c>
      <c r="Q807" s="114" t="n">
        <v>0</v>
      </c>
      <c r="R807" s="114" t="n"/>
      <c r="S807" s="114" t="n"/>
      <c r="T807" s="303" t="n"/>
    </row>
    <row customFormat="true" hidden="false" ht="15" outlineLevel="0" r="808" s="1">
      <c r="A808" s="116" t="n">
        <f aca="false" ca="false" dt2D="false" dtr="false" t="normal">+A807+1</f>
        <v>786</v>
      </c>
      <c r="B808" s="117" t="n">
        <f aca="false" ca="false" dt2D="false" dtr="false" t="normal">+B807+1</f>
        <v>326</v>
      </c>
      <c r="C808" s="104" t="s">
        <v>430</v>
      </c>
      <c r="D808" s="104" t="s">
        <v>431</v>
      </c>
      <c r="E808" s="186" t="n">
        <f aca="false" ca="true" dt2D="false" dtr="false" t="normal">SUBTOTAL(9, F808:T808)</f>
        <v>9925193.08</v>
      </c>
      <c r="F808" s="106" t="n">
        <v>6920247.88</v>
      </c>
      <c r="G808" s="114" t="n"/>
      <c r="H808" s="114" t="n"/>
      <c r="I808" s="114" t="n">
        <v>3004945.2</v>
      </c>
      <c r="J808" s="114" t="n">
        <v>0</v>
      </c>
      <c r="K808" s="114" t="n"/>
      <c r="L808" s="106" t="n"/>
      <c r="M808" s="114" t="n"/>
      <c r="N808" s="114" t="n"/>
      <c r="O808" s="114" t="n"/>
      <c r="P808" s="114" t="n"/>
      <c r="Q808" s="114" t="n"/>
      <c r="R808" s="114" t="n"/>
      <c r="S808" s="114" t="n"/>
      <c r="T808" s="303" t="n"/>
    </row>
    <row customFormat="true" hidden="false" ht="15" outlineLevel="0" r="809" s="1">
      <c r="A809" s="116" t="n">
        <f aca="false" ca="false" dt2D="false" dtr="false" t="normal">+A808+1</f>
        <v>787</v>
      </c>
      <c r="B809" s="117" t="n">
        <f aca="false" ca="false" dt2D="false" dtr="false" t="normal">+B808+1</f>
        <v>327</v>
      </c>
      <c r="C809" s="104" t="s">
        <v>430</v>
      </c>
      <c r="D809" s="104" t="s">
        <v>433</v>
      </c>
      <c r="E809" s="186" t="n">
        <f aca="false" ca="true" dt2D="false" dtr="false" t="normal">SUBTOTAL(9, F809:T809)</f>
        <v>3941005</v>
      </c>
      <c r="F809" s="106" t="n"/>
      <c r="G809" s="114" t="n"/>
      <c r="H809" s="114" t="n"/>
      <c r="I809" s="114" t="n">
        <v>3941005</v>
      </c>
      <c r="J809" s="114" t="n"/>
      <c r="K809" s="114" t="n"/>
      <c r="L809" s="106" t="n"/>
      <c r="M809" s="114" t="n"/>
      <c r="N809" s="114" t="n"/>
      <c r="O809" s="114" t="n"/>
      <c r="P809" s="114" t="n"/>
      <c r="Q809" s="114" t="n"/>
      <c r="R809" s="114" t="n"/>
      <c r="S809" s="114" t="n"/>
      <c r="T809" s="303" t="n"/>
    </row>
    <row customFormat="true" hidden="false" ht="15" outlineLevel="0" r="810" s="1">
      <c r="A810" s="116" t="n">
        <f aca="false" ca="false" dt2D="false" dtr="false" t="normal">+A809+1</f>
        <v>788</v>
      </c>
      <c r="B810" s="117" t="n">
        <f aca="false" ca="false" dt2D="false" dtr="false" t="normal">+B809+1</f>
        <v>328</v>
      </c>
      <c r="C810" s="104" t="s">
        <v>430</v>
      </c>
      <c r="D810" s="104" t="s">
        <v>435</v>
      </c>
      <c r="E810" s="186" t="n">
        <f aca="false" ca="true" dt2D="false" dtr="false" t="normal">SUBTOTAL(9, F810:T810)</f>
        <v>4064127.6</v>
      </c>
      <c r="F810" s="106" t="n"/>
      <c r="G810" s="114" t="n"/>
      <c r="H810" s="114" t="n"/>
      <c r="I810" s="114" t="n">
        <v>4064127.6</v>
      </c>
      <c r="J810" s="114" t="n"/>
      <c r="K810" s="114" t="n"/>
      <c r="L810" s="106" t="n"/>
      <c r="M810" s="114" t="n"/>
      <c r="N810" s="114" t="n"/>
      <c r="O810" s="114" t="n"/>
      <c r="P810" s="114" t="n"/>
      <c r="Q810" s="114" t="n"/>
      <c r="R810" s="114" t="n"/>
      <c r="S810" s="114" t="n"/>
      <c r="T810" s="303" t="n"/>
    </row>
    <row customFormat="true" hidden="false" ht="15" outlineLevel="0" r="811" s="1">
      <c r="A811" s="116" t="n">
        <f aca="false" ca="false" dt2D="false" dtr="false" t="normal">+A810+1</f>
        <v>789</v>
      </c>
      <c r="B811" s="117" t="n">
        <f aca="false" ca="false" dt2D="false" dtr="false" t="normal">+B810+1</f>
        <v>329</v>
      </c>
      <c r="C811" s="104" t="s">
        <v>430</v>
      </c>
      <c r="D811" s="104" t="s">
        <v>439</v>
      </c>
      <c r="E811" s="186" t="n">
        <f aca="false" ca="true" dt2D="false" dtr="false" t="normal">SUBTOTAL(9, F811:T811)</f>
        <v>2877862.08</v>
      </c>
      <c r="F811" s="106" t="n"/>
      <c r="G811" s="114" t="n"/>
      <c r="H811" s="114" t="n"/>
      <c r="I811" s="114" t="n">
        <v>2877862.08</v>
      </c>
      <c r="J811" s="114" t="n"/>
      <c r="K811" s="114" t="n"/>
      <c r="L811" s="106" t="n"/>
      <c r="M811" s="114" t="n"/>
      <c r="N811" s="114" t="n"/>
      <c r="O811" s="114" t="n"/>
      <c r="P811" s="114" t="n"/>
      <c r="Q811" s="114" t="n"/>
      <c r="R811" s="114" t="n"/>
      <c r="S811" s="114" t="n"/>
      <c r="T811" s="303" t="n"/>
    </row>
    <row customFormat="true" hidden="false" ht="15" outlineLevel="0" r="812" s="1">
      <c r="A812" s="116" t="n">
        <f aca="false" ca="false" dt2D="false" dtr="false" t="normal">+A811+1</f>
        <v>790</v>
      </c>
      <c r="B812" s="117" t="n">
        <f aca="false" ca="false" dt2D="false" dtr="false" t="normal">+B811+1</f>
        <v>330</v>
      </c>
      <c r="C812" s="104" t="s">
        <v>259</v>
      </c>
      <c r="D812" s="104" t="s">
        <v>444</v>
      </c>
      <c r="E812" s="113" t="n">
        <f aca="false" ca="true" dt2D="false" dtr="false" t="normal">SUBTOTAL(9, F812:T812)</f>
        <v>9084553.68</v>
      </c>
      <c r="F812" s="106" t="n">
        <v>5809436.52</v>
      </c>
      <c r="G812" s="114" t="n">
        <v>827311.2</v>
      </c>
      <c r="H812" s="114" t="n"/>
      <c r="I812" s="114" t="n">
        <v>2447805.96</v>
      </c>
      <c r="J812" s="114" t="n">
        <v>0</v>
      </c>
      <c r="K812" s="114" t="n"/>
      <c r="L812" s="106" t="n"/>
      <c r="M812" s="114" t="n"/>
      <c r="N812" s="114" t="n"/>
      <c r="O812" s="114" t="n">
        <v>0</v>
      </c>
      <c r="P812" s="114" t="n">
        <v>0</v>
      </c>
      <c r="Q812" s="114" t="n">
        <v>0</v>
      </c>
      <c r="R812" s="114" t="n"/>
      <c r="S812" s="114" t="n"/>
      <c r="T812" s="303" t="n"/>
    </row>
    <row customFormat="true" hidden="false" ht="15" outlineLevel="0" r="813" s="1">
      <c r="A813" s="116" t="n">
        <f aca="false" ca="false" dt2D="false" dtr="false" t="normal">+A812+1</f>
        <v>791</v>
      </c>
      <c r="B813" s="117" t="n">
        <f aca="false" ca="false" dt2D="false" dtr="false" t="normal">+B812+1</f>
        <v>331</v>
      </c>
      <c r="C813" s="104" t="s">
        <v>259</v>
      </c>
      <c r="D813" s="117" t="s">
        <v>261</v>
      </c>
      <c r="E813" s="113" t="n">
        <f aca="false" ca="true" dt2D="false" dtr="false" t="normal">SUBTOTAL(9, F813:T813)</f>
        <v>7388743.14</v>
      </c>
      <c r="F813" s="106" t="n">
        <v>0</v>
      </c>
      <c r="G813" s="114" t="n">
        <v>0</v>
      </c>
      <c r="H813" s="114" t="n">
        <v>0</v>
      </c>
      <c r="I813" s="114" t="n">
        <v>0</v>
      </c>
      <c r="J813" s="114" t="n">
        <v>0</v>
      </c>
      <c r="K813" s="114" t="n"/>
      <c r="L813" s="106" t="n"/>
      <c r="M813" s="114" t="n">
        <v>0</v>
      </c>
      <c r="N813" s="114" t="n"/>
      <c r="O813" s="114" t="n">
        <v>0</v>
      </c>
      <c r="P813" s="114" t="n">
        <v>0</v>
      </c>
      <c r="Q813" s="114" t="n">
        <v>7388743.14</v>
      </c>
      <c r="R813" s="114" t="n"/>
      <c r="S813" s="114" t="n"/>
      <c r="T813" s="303" t="n"/>
    </row>
    <row customFormat="true" hidden="false" ht="15" outlineLevel="0" r="814" s="1">
      <c r="A814" s="116" t="n">
        <f aca="false" ca="false" dt2D="false" dtr="false" t="normal">+A813+1</f>
        <v>792</v>
      </c>
      <c r="B814" s="117" t="n">
        <f aca="false" ca="false" dt2D="false" dtr="false" t="normal">+B813+1</f>
        <v>332</v>
      </c>
      <c r="C814" s="104" t="s">
        <v>749</v>
      </c>
      <c r="D814" s="117" t="s">
        <v>750</v>
      </c>
      <c r="E814" s="113" t="n">
        <f aca="false" ca="true" dt2D="false" dtr="false" t="normal">SUBTOTAL(9, F814:T814)</f>
        <v>16004398.74</v>
      </c>
      <c r="F814" s="106" t="n">
        <v>1683565.9</v>
      </c>
      <c r="G814" s="114" t="n">
        <v>1040219.47</v>
      </c>
      <c r="H814" s="114" t="n">
        <v>488517.73</v>
      </c>
      <c r="I814" s="114" t="n">
        <v>423331.31</v>
      </c>
      <c r="J814" s="114" t="n">
        <v>0</v>
      </c>
      <c r="K814" s="114" t="n"/>
      <c r="L814" s="106" t="n"/>
      <c r="M814" s="114" t="n">
        <v>0</v>
      </c>
      <c r="N814" s="114" t="n">
        <v>4805741.35</v>
      </c>
      <c r="O814" s="114" t="n">
        <v>0</v>
      </c>
      <c r="P814" s="114" t="n">
        <v>4013795.97</v>
      </c>
      <c r="Q814" s="106" t="n">
        <v>3549227.01</v>
      </c>
      <c r="R814" s="304" t="n"/>
      <c r="S814" s="304" t="n"/>
      <c r="T814" s="303" t="n"/>
    </row>
    <row customFormat="true" hidden="false" ht="15" outlineLevel="0" r="815" s="1">
      <c r="A815" s="116" t="n">
        <f aca="false" ca="false" dt2D="false" dtr="false" t="normal">+A814+1</f>
        <v>793</v>
      </c>
      <c r="B815" s="117" t="n">
        <f aca="false" ca="false" dt2D="false" dtr="false" t="normal">+B814+1</f>
        <v>333</v>
      </c>
      <c r="C815" s="104" t="s">
        <v>445</v>
      </c>
      <c r="D815" s="104" t="s">
        <v>751</v>
      </c>
      <c r="E815" s="186" t="n">
        <f aca="false" ca="true" dt2D="false" dtr="false" t="normal">SUBTOTAL(9, F815:T815)</f>
        <v>6970430.49</v>
      </c>
      <c r="F815" s="106" t="n">
        <v>0</v>
      </c>
      <c r="G815" s="114" t="n">
        <v>0</v>
      </c>
      <c r="H815" s="114" t="n">
        <v>0</v>
      </c>
      <c r="I815" s="114" t="n">
        <v>0</v>
      </c>
      <c r="J815" s="114" t="n">
        <v>0</v>
      </c>
      <c r="K815" s="114" t="n"/>
      <c r="L815" s="106" t="n"/>
      <c r="M815" s="114" t="n">
        <v>0</v>
      </c>
      <c r="N815" s="114" t="n">
        <v>2736680.74</v>
      </c>
      <c r="O815" s="114" t="n">
        <v>0</v>
      </c>
      <c r="P815" s="114" t="n">
        <v>0</v>
      </c>
      <c r="Q815" s="114" t="n">
        <v>4233749.75</v>
      </c>
      <c r="R815" s="114" t="n"/>
      <c r="S815" s="114" t="n"/>
      <c r="T815" s="303" t="n"/>
    </row>
    <row customFormat="true" hidden="false" ht="15" outlineLevel="0" r="816" s="1">
      <c r="A816" s="116" t="n">
        <f aca="false" ca="false" dt2D="false" dtr="false" t="normal">+A815+1</f>
        <v>794</v>
      </c>
      <c r="B816" s="117" t="n">
        <f aca="false" ca="false" dt2D="false" dtr="false" t="normal">+B815+1</f>
        <v>334</v>
      </c>
      <c r="C816" s="104" t="s">
        <v>445</v>
      </c>
      <c r="D816" s="117" t="s">
        <v>752</v>
      </c>
      <c r="E816" s="113" t="n">
        <f aca="false" ca="true" dt2D="false" dtr="false" t="normal">SUBTOTAL(9, F816:T816)</f>
        <v>6494653.539999999</v>
      </c>
      <c r="F816" s="106" t="n">
        <v>1320658.32</v>
      </c>
      <c r="G816" s="114" t="n">
        <v>0</v>
      </c>
      <c r="H816" s="114" t="n">
        <v>0</v>
      </c>
      <c r="I816" s="114" t="n">
        <v>737257.58</v>
      </c>
      <c r="J816" s="114" t="n">
        <v>0</v>
      </c>
      <c r="K816" s="114" t="n"/>
      <c r="L816" s="106" t="n"/>
      <c r="M816" s="114" t="n">
        <v>0</v>
      </c>
      <c r="N816" s="114" t="n">
        <v>1613252.13</v>
      </c>
      <c r="O816" s="114" t="n">
        <v>0</v>
      </c>
      <c r="P816" s="114" t="n">
        <v>2823485.51</v>
      </c>
      <c r="Q816" s="114" t="n">
        <v>0</v>
      </c>
      <c r="R816" s="114" t="n"/>
      <c r="S816" s="114" t="n"/>
      <c r="T816" s="303" t="n"/>
    </row>
    <row customFormat="true" hidden="false" ht="15" outlineLevel="0" r="817" s="1">
      <c r="A817" s="116" t="n">
        <f aca="false" ca="false" dt2D="false" dtr="false" t="normal">+A816+1</f>
        <v>795</v>
      </c>
      <c r="B817" s="117" t="n">
        <f aca="false" ca="false" dt2D="false" dtr="false" t="normal">+B816+1</f>
        <v>335</v>
      </c>
      <c r="C817" s="104" t="s">
        <v>445</v>
      </c>
      <c r="D817" s="104" t="s">
        <v>753</v>
      </c>
      <c r="E817" s="186" t="n">
        <f aca="false" ca="true" dt2D="false" dtr="false" t="normal">SUBTOTAL(9, F817:T817)</f>
        <v>2055223.54</v>
      </c>
      <c r="F817" s="106" t="n">
        <v>0</v>
      </c>
      <c r="G817" s="114" t="n">
        <v>0</v>
      </c>
      <c r="H817" s="114" t="n">
        <v>135258.77</v>
      </c>
      <c r="I817" s="114" t="n">
        <v>0</v>
      </c>
      <c r="J817" s="114" t="n">
        <v>0</v>
      </c>
      <c r="K817" s="114" t="n"/>
      <c r="L817" s="106" t="n"/>
      <c r="M817" s="114" t="n">
        <v>0</v>
      </c>
      <c r="N817" s="114" t="n">
        <v>0</v>
      </c>
      <c r="O817" s="114" t="n">
        <v>0</v>
      </c>
      <c r="P817" s="114" t="n">
        <v>1919964.77</v>
      </c>
      <c r="Q817" s="114" t="n">
        <v>0</v>
      </c>
      <c r="R817" s="114" t="n"/>
      <c r="S817" s="114" t="n"/>
      <c r="T817" s="303" t="n"/>
    </row>
    <row customFormat="true" hidden="false" ht="15" outlineLevel="0" r="818" s="1">
      <c r="A818" s="116" t="n">
        <f aca="false" ca="false" dt2D="false" dtr="false" t="normal">+A817+1</f>
        <v>796</v>
      </c>
      <c r="B818" s="117" t="n">
        <f aca="false" ca="false" dt2D="false" dtr="false" t="normal">+B817+1</f>
        <v>336</v>
      </c>
      <c r="C818" s="104" t="s">
        <v>445</v>
      </c>
      <c r="D818" s="104" t="s">
        <v>446</v>
      </c>
      <c r="E818" s="186" t="n">
        <f aca="false" ca="true" dt2D="false" dtr="false" t="normal">SUBTOTAL(9, F818:T818)</f>
        <v>17320619.25</v>
      </c>
      <c r="F818" s="106" t="n">
        <v>2788532.68</v>
      </c>
      <c r="G818" s="114" t="n">
        <v>0</v>
      </c>
      <c r="H818" s="114" t="n">
        <v>452723.07</v>
      </c>
      <c r="I818" s="114" t="n">
        <v>1566144.81</v>
      </c>
      <c r="J818" s="114" t="n">
        <v>0</v>
      </c>
      <c r="K818" s="114" t="n"/>
      <c r="L818" s="106" t="n"/>
      <c r="M818" s="114" t="n">
        <v>0</v>
      </c>
      <c r="N818" s="114" t="n"/>
      <c r="O818" s="114" t="n">
        <v>0</v>
      </c>
      <c r="P818" s="114" t="n">
        <v>5952055.64</v>
      </c>
      <c r="Q818" s="114" t="n">
        <v>6561163.05</v>
      </c>
      <c r="R818" s="114" t="n"/>
      <c r="S818" s="114" t="n"/>
      <c r="T818" s="303" t="n"/>
    </row>
    <row customFormat="true" hidden="false" ht="15" outlineLevel="0" r="819" s="1">
      <c r="A819" s="116" t="n">
        <f aca="false" ca="false" dt2D="false" dtr="false" t="normal">+A818+1</f>
        <v>797</v>
      </c>
      <c r="B819" s="117" t="n">
        <f aca="false" ca="false" dt2D="false" dtr="false" t="normal">+B818+1</f>
        <v>337</v>
      </c>
      <c r="C819" s="104" t="s">
        <v>445</v>
      </c>
      <c r="D819" s="104" t="s">
        <v>754</v>
      </c>
      <c r="E819" s="186" t="n">
        <f aca="false" ca="true" dt2D="false" dtr="false" t="normal">SUBTOTAL(9, F819:T819)</f>
        <v>10862976.68</v>
      </c>
      <c r="F819" s="106" t="n">
        <v>1536923.95</v>
      </c>
      <c r="G819" s="114" t="n">
        <v>0</v>
      </c>
      <c r="H819" s="114" t="n">
        <v>0</v>
      </c>
      <c r="I819" s="114" t="n">
        <v>904580.55</v>
      </c>
      <c r="J819" s="114" t="n">
        <v>0</v>
      </c>
      <c r="K819" s="114" t="n"/>
      <c r="L819" s="106" t="n"/>
      <c r="M819" s="114" t="n">
        <v>0</v>
      </c>
      <c r="N819" s="114" t="n">
        <v>1876117.95</v>
      </c>
      <c r="O819" s="114" t="n">
        <v>0</v>
      </c>
      <c r="P819" s="114" t="n">
        <v>3278610.83</v>
      </c>
      <c r="Q819" s="114" t="n">
        <v>3266743.4</v>
      </c>
      <c r="R819" s="114" t="n"/>
      <c r="S819" s="114" t="n"/>
      <c r="T819" s="303" t="n"/>
    </row>
    <row customFormat="true" hidden="false" ht="15" outlineLevel="0" r="820" s="1">
      <c r="A820" s="116" t="n">
        <f aca="false" ca="false" dt2D="false" dtr="false" t="normal">+A819+1</f>
        <v>798</v>
      </c>
      <c r="B820" s="117" t="n">
        <f aca="false" ca="false" dt2D="false" dtr="false" t="normal">+B819+1</f>
        <v>338</v>
      </c>
      <c r="C820" s="104" t="s">
        <v>445</v>
      </c>
      <c r="D820" s="117" t="s">
        <v>755</v>
      </c>
      <c r="E820" s="113" t="n">
        <f aca="false" ca="true" dt2D="false" dtr="false" t="normal">SUBTOTAL(9, F820:T820)</f>
        <v>8761917.379999999</v>
      </c>
      <c r="F820" s="106" t="n">
        <v>1207621.77</v>
      </c>
      <c r="G820" s="114" t="n">
        <v>0</v>
      </c>
      <c r="H820" s="114" t="n">
        <v>0</v>
      </c>
      <c r="I820" s="114" t="n">
        <v>674481.82</v>
      </c>
      <c r="J820" s="114" t="n">
        <v>0</v>
      </c>
      <c r="K820" s="114" t="n"/>
      <c r="L820" s="106" t="n"/>
      <c r="M820" s="114" t="n">
        <v>0</v>
      </c>
      <c r="N820" s="114" t="n">
        <v>1465015.49</v>
      </c>
      <c r="O820" s="114" t="n">
        <v>0</v>
      </c>
      <c r="P820" s="114" t="n">
        <v>2572639.04</v>
      </c>
      <c r="Q820" s="114" t="n">
        <v>2842159.26</v>
      </c>
      <c r="R820" s="114" t="n"/>
      <c r="S820" s="114" t="n"/>
      <c r="T820" s="303" t="n"/>
    </row>
    <row customFormat="true" hidden="false" ht="15" outlineLevel="0" r="821" s="1">
      <c r="A821" s="116" t="n">
        <f aca="false" ca="false" dt2D="false" dtr="false" t="normal">+A820+1</f>
        <v>799</v>
      </c>
      <c r="B821" s="117" t="n">
        <f aca="false" ca="false" dt2D="false" dtr="false" t="normal">+B820+1</f>
        <v>339</v>
      </c>
      <c r="C821" s="104" t="s">
        <v>756</v>
      </c>
      <c r="D821" s="104" t="s">
        <v>757</v>
      </c>
      <c r="E821" s="186" t="n">
        <f aca="false" ca="true" dt2D="false" dtr="false" t="normal">SUBTOTAL(9, F821:T821)</f>
        <v>12721531.690000001</v>
      </c>
      <c r="F821" s="106" t="n">
        <v>2405495.42</v>
      </c>
      <c r="G821" s="114" t="n">
        <v>0</v>
      </c>
      <c r="H821" s="114" t="n">
        <v>361131.79</v>
      </c>
      <c r="I821" s="114" t="n">
        <v>1398154.99</v>
      </c>
      <c r="J821" s="114" t="n">
        <v>0</v>
      </c>
      <c r="K821" s="114" t="n"/>
      <c r="L821" s="106" t="n">
        <v>0</v>
      </c>
      <c r="M821" s="114" t="n"/>
      <c r="N821" s="114" t="n">
        <v>2946332.85</v>
      </c>
      <c r="O821" s="114" t="n">
        <v>0</v>
      </c>
      <c r="P821" s="114" t="n">
        <v>0</v>
      </c>
      <c r="Q821" s="114" t="n">
        <v>5610416.64</v>
      </c>
      <c r="R821" s="304" t="n"/>
      <c r="S821" s="304" t="n"/>
      <c r="T821" s="303" t="n"/>
    </row>
    <row customFormat="true" hidden="false" ht="15" outlineLevel="0" r="822" s="1">
      <c r="A822" s="116" t="n">
        <f aca="false" ca="false" dt2D="false" dtr="false" t="normal">+A821+1</f>
        <v>800</v>
      </c>
      <c r="B822" s="117" t="n">
        <f aca="false" ca="false" dt2D="false" dtr="false" t="normal">+B821+1</f>
        <v>340</v>
      </c>
      <c r="C822" s="104" t="s">
        <v>283</v>
      </c>
      <c r="D822" s="104" t="s">
        <v>758</v>
      </c>
      <c r="E822" s="186" t="n">
        <f aca="false" ca="true" dt2D="false" dtr="false" t="normal">SUBTOTAL(9, F822:T822)</f>
        <v>1493032.7</v>
      </c>
      <c r="F822" s="106" t="n">
        <v>0</v>
      </c>
      <c r="G822" s="114" t="n">
        <v>0</v>
      </c>
      <c r="H822" s="114" t="n">
        <v>0</v>
      </c>
      <c r="I822" s="114" t="n">
        <v>0</v>
      </c>
      <c r="J822" s="114" t="n">
        <v>1493032.7</v>
      </c>
      <c r="K822" s="114" t="n"/>
      <c r="L822" s="106" t="n"/>
      <c r="M822" s="114" t="n">
        <v>0</v>
      </c>
      <c r="N822" s="114" t="n">
        <v>0</v>
      </c>
      <c r="O822" s="114" t="n">
        <v>0</v>
      </c>
      <c r="P822" s="114" t="n">
        <v>0</v>
      </c>
      <c r="Q822" s="114" t="n">
        <v>0</v>
      </c>
      <c r="R822" s="304" t="n"/>
      <c r="S822" s="304" t="n"/>
      <c r="T822" s="303" t="n"/>
    </row>
    <row customFormat="true" hidden="false" ht="15" outlineLevel="0" r="823" s="1">
      <c r="A823" s="116" t="n">
        <f aca="false" ca="false" dt2D="false" dtr="false" t="normal">+A822+1</f>
        <v>801</v>
      </c>
      <c r="B823" s="117" t="n">
        <f aca="false" ca="false" dt2D="false" dtr="false" t="normal">+B822+1</f>
        <v>341</v>
      </c>
      <c r="C823" s="104" t="s">
        <v>283</v>
      </c>
      <c r="D823" s="104" t="s">
        <v>759</v>
      </c>
      <c r="E823" s="186" t="n">
        <f aca="false" ca="true" dt2D="false" dtr="false" t="normal">SUBTOTAL(9, F823:T823)</f>
        <v>532254.96</v>
      </c>
      <c r="F823" s="106" t="n">
        <v>0</v>
      </c>
      <c r="G823" s="114" t="n">
        <v>0</v>
      </c>
      <c r="H823" s="114" t="n">
        <v>0</v>
      </c>
      <c r="I823" s="114" t="n">
        <v>0</v>
      </c>
      <c r="J823" s="114" t="n">
        <v>532254.96</v>
      </c>
      <c r="K823" s="114" t="n"/>
      <c r="L823" s="106" t="n"/>
      <c r="M823" s="114" t="n">
        <v>0</v>
      </c>
      <c r="N823" s="114" t="n">
        <v>0</v>
      </c>
      <c r="O823" s="114" t="n">
        <v>0</v>
      </c>
      <c r="P823" s="114" t="n">
        <v>0</v>
      </c>
      <c r="Q823" s="114" t="n">
        <v>0</v>
      </c>
      <c r="R823" s="304" t="n"/>
      <c r="S823" s="304" t="n"/>
      <c r="T823" s="303" t="n"/>
    </row>
    <row customFormat="true" hidden="false" ht="15" outlineLevel="0" r="824" s="1">
      <c r="A824" s="116" t="n">
        <f aca="false" ca="false" dt2D="false" dtr="false" t="normal">+A823+1</f>
        <v>802</v>
      </c>
      <c r="B824" s="117" t="n">
        <f aca="false" ca="false" dt2D="false" dtr="false" t="normal">+B823+1</f>
        <v>342</v>
      </c>
      <c r="C824" s="104" t="s">
        <v>283</v>
      </c>
      <c r="D824" s="104" t="s">
        <v>760</v>
      </c>
      <c r="E824" s="186" t="n">
        <f aca="false" ca="true" dt2D="false" dtr="false" t="normal">SUBTOTAL(9, F824:T824)</f>
        <v>525246.36</v>
      </c>
      <c r="F824" s="106" t="n">
        <v>0</v>
      </c>
      <c r="G824" s="114" t="n">
        <v>0</v>
      </c>
      <c r="H824" s="114" t="n">
        <v>0</v>
      </c>
      <c r="I824" s="114" t="n">
        <v>0</v>
      </c>
      <c r="J824" s="114" t="n">
        <v>525246.36</v>
      </c>
      <c r="K824" s="114" t="n"/>
      <c r="L824" s="106" t="n"/>
      <c r="M824" s="114" t="n">
        <v>0</v>
      </c>
      <c r="N824" s="114" t="n">
        <v>0</v>
      </c>
      <c r="O824" s="114" t="n">
        <v>0</v>
      </c>
      <c r="P824" s="114" t="n">
        <v>0</v>
      </c>
      <c r="Q824" s="114" t="n">
        <v>0</v>
      </c>
      <c r="R824" s="304" t="n"/>
      <c r="S824" s="304" t="n"/>
      <c r="T824" s="303" t="n"/>
    </row>
    <row customFormat="true" hidden="false" ht="15" outlineLevel="0" r="825" s="1">
      <c r="A825" s="116" t="n">
        <f aca="false" ca="false" dt2D="false" dtr="false" t="normal">+A824+1</f>
        <v>803</v>
      </c>
      <c r="B825" s="117" t="n">
        <f aca="false" ca="false" dt2D="false" dtr="false" t="normal">+B824+1</f>
        <v>343</v>
      </c>
      <c r="C825" s="104" t="s">
        <v>283</v>
      </c>
      <c r="D825" s="104" t="s">
        <v>761</v>
      </c>
      <c r="E825" s="186" t="n">
        <f aca="false" ca="true" dt2D="false" dtr="false" t="normal">SUBTOTAL(9, F825:T825)</f>
        <v>471982.87</v>
      </c>
      <c r="F825" s="106" t="n"/>
      <c r="G825" s="114" t="n">
        <v>0</v>
      </c>
      <c r="H825" s="114" t="n">
        <v>0</v>
      </c>
      <c r="I825" s="114" t="n">
        <v>0</v>
      </c>
      <c r="J825" s="114" t="n">
        <v>471982.87</v>
      </c>
      <c r="K825" s="114" t="n"/>
      <c r="L825" s="106" t="n"/>
      <c r="M825" s="114" t="n">
        <v>0</v>
      </c>
      <c r="N825" s="114" t="n">
        <v>0</v>
      </c>
      <c r="O825" s="114" t="n">
        <v>0</v>
      </c>
      <c r="P825" s="114" t="n">
        <v>0</v>
      </c>
      <c r="Q825" s="114" t="n">
        <v>0</v>
      </c>
      <c r="R825" s="304" t="n"/>
      <c r="S825" s="114" t="n"/>
      <c r="T825" s="303" t="n"/>
    </row>
    <row customFormat="true" hidden="false" ht="15" outlineLevel="0" r="826" s="1">
      <c r="A826" s="116" t="n">
        <f aca="false" ca="false" dt2D="false" dtr="false" t="normal">+A825+1</f>
        <v>804</v>
      </c>
      <c r="B826" s="117" t="n">
        <f aca="false" ca="false" dt2D="false" dtr="false" t="normal">+B825+1</f>
        <v>344</v>
      </c>
      <c r="C826" s="104" t="s">
        <v>283</v>
      </c>
      <c r="D826" s="104" t="s">
        <v>762</v>
      </c>
      <c r="E826" s="186" t="n">
        <f aca="false" ca="true" dt2D="false" dtr="false" t="normal">SUBTOTAL(9, F826:T826)</f>
        <v>1478512.44</v>
      </c>
      <c r="F826" s="106" t="n">
        <v>0</v>
      </c>
      <c r="G826" s="114" t="n">
        <v>0</v>
      </c>
      <c r="H826" s="114" t="n">
        <v>0</v>
      </c>
      <c r="I826" s="114" t="n">
        <v>0</v>
      </c>
      <c r="J826" s="114" t="n">
        <v>1470601.21</v>
      </c>
      <c r="K826" s="114" t="n"/>
      <c r="L826" s="106" t="n"/>
      <c r="M826" s="114" t="n">
        <v>0</v>
      </c>
      <c r="N826" s="114" t="n">
        <v>0</v>
      </c>
      <c r="O826" s="114" t="n">
        <v>0</v>
      </c>
      <c r="P826" s="114" t="n">
        <v>0</v>
      </c>
      <c r="Q826" s="114" t="n">
        <v>0</v>
      </c>
      <c r="R826" s="304" t="n"/>
      <c r="S826" s="114" t="n"/>
      <c r="T826" s="115" t="n">
        <v>7911.23</v>
      </c>
    </row>
    <row customFormat="true" hidden="false" ht="15" outlineLevel="0" r="827" s="1">
      <c r="A827" s="116" t="n">
        <f aca="false" ca="false" dt2D="false" dtr="false" t="normal">+A826+1</f>
        <v>805</v>
      </c>
      <c r="B827" s="117" t="n">
        <f aca="false" ca="false" dt2D="false" dtr="false" t="normal">+B826+1</f>
        <v>345</v>
      </c>
      <c r="C827" s="104" t="s">
        <v>283</v>
      </c>
      <c r="D827" s="117" t="s">
        <v>289</v>
      </c>
      <c r="E827" s="113" t="n">
        <f aca="false" ca="true" dt2D="false" dtr="false" t="normal">SUBTOTAL(9, F827:T827)</f>
        <v>5910943.7</v>
      </c>
      <c r="F827" s="106" t="n"/>
      <c r="G827" s="114" t="n">
        <v>0</v>
      </c>
      <c r="H827" s="114" t="n">
        <v>0</v>
      </c>
      <c r="I827" s="114" t="n">
        <v>0</v>
      </c>
      <c r="J827" s="114" t="n"/>
      <c r="K827" s="114" t="n"/>
      <c r="L827" s="106" t="n"/>
      <c r="M827" s="114" t="n">
        <v>0</v>
      </c>
      <c r="N827" s="114" t="n">
        <v>0</v>
      </c>
      <c r="O827" s="114" t="n">
        <v>0</v>
      </c>
      <c r="P827" s="114" t="n">
        <v>5910943.7</v>
      </c>
      <c r="Q827" s="114" t="n"/>
      <c r="R827" s="114" t="n"/>
      <c r="S827" s="114" t="n"/>
      <c r="T827" s="303" t="n"/>
    </row>
    <row customFormat="true" hidden="false" ht="15" outlineLevel="0" r="828" s="1">
      <c r="A828" s="116" t="n">
        <f aca="false" ca="false" dt2D="false" dtr="false" t="normal">+A827+1</f>
        <v>806</v>
      </c>
      <c r="B828" s="117" t="n">
        <f aca="false" ca="false" dt2D="false" dtr="false" t="normal">+B827+1</f>
        <v>346</v>
      </c>
      <c r="C828" s="104" t="s">
        <v>283</v>
      </c>
      <c r="D828" s="104" t="s">
        <v>763</v>
      </c>
      <c r="E828" s="186" t="n">
        <f aca="false" ca="true" dt2D="false" dtr="false" t="normal">SUBTOTAL(9, F828:T828)</f>
        <v>2097298.46</v>
      </c>
      <c r="F828" s="106" t="n">
        <v>0</v>
      </c>
      <c r="G828" s="114" t="n">
        <v>0</v>
      </c>
      <c r="H828" s="114" t="n">
        <v>0</v>
      </c>
      <c r="I828" s="114" t="n">
        <v>0</v>
      </c>
      <c r="J828" s="114" t="n">
        <v>2097298.46</v>
      </c>
      <c r="K828" s="114" t="n"/>
      <c r="L828" s="106" t="n"/>
      <c r="M828" s="114" t="n">
        <v>0</v>
      </c>
      <c r="N828" s="114" t="n">
        <v>0</v>
      </c>
      <c r="O828" s="114" t="n">
        <v>0</v>
      </c>
      <c r="P828" s="114" t="n">
        <v>0</v>
      </c>
      <c r="Q828" s="114" t="n">
        <v>0</v>
      </c>
      <c r="R828" s="304" t="n"/>
      <c r="S828" s="304" t="n"/>
      <c r="T828" s="303" t="n"/>
    </row>
    <row customFormat="true" hidden="false" ht="15" outlineLevel="0" r="829" s="1">
      <c r="A829" s="116" t="n">
        <f aca="false" ca="false" dt2D="false" dtr="false" t="normal">+A828+1</f>
        <v>807</v>
      </c>
      <c r="B829" s="117" t="n">
        <f aca="false" ca="false" dt2D="false" dtr="false" t="normal">+B828+1</f>
        <v>347</v>
      </c>
      <c r="C829" s="104" t="s">
        <v>283</v>
      </c>
      <c r="D829" s="104" t="s">
        <v>764</v>
      </c>
      <c r="E829" s="186" t="n">
        <f aca="false" ca="true" dt2D="false" dtr="false" t="normal">SUBTOTAL(9, F829:T829)</f>
        <v>1633202.96</v>
      </c>
      <c r="F829" s="106" t="n">
        <v>0</v>
      </c>
      <c r="G829" s="114" t="n">
        <v>0</v>
      </c>
      <c r="H829" s="114" t="n">
        <v>0</v>
      </c>
      <c r="I829" s="114" t="n">
        <v>0</v>
      </c>
      <c r="J829" s="114" t="n">
        <v>1633202.96</v>
      </c>
      <c r="K829" s="114" t="n"/>
      <c r="L829" s="106" t="n"/>
      <c r="M829" s="114" t="n">
        <v>0</v>
      </c>
      <c r="N829" s="114" t="n">
        <v>0</v>
      </c>
      <c r="O829" s="114" t="n">
        <v>0</v>
      </c>
      <c r="P829" s="114" t="n">
        <v>0</v>
      </c>
      <c r="Q829" s="114" t="n">
        <v>0</v>
      </c>
      <c r="R829" s="304" t="n"/>
      <c r="S829" s="304" t="n"/>
      <c r="T829" s="303" t="n"/>
    </row>
    <row customFormat="true" hidden="false" ht="15" outlineLevel="0" r="830" s="1">
      <c r="A830" s="116" t="n">
        <f aca="false" ca="false" dt2D="false" dtr="false" t="normal">+A829+1</f>
        <v>808</v>
      </c>
      <c r="B830" s="117" t="n">
        <f aca="false" ca="false" dt2D="false" dtr="false" t="normal">+B829+1</f>
        <v>348</v>
      </c>
      <c r="C830" s="104" t="s">
        <v>283</v>
      </c>
      <c r="D830" s="104" t="s">
        <v>765</v>
      </c>
      <c r="E830" s="186" t="n">
        <f aca="false" ca="true" dt2D="false" dtr="false" t="normal">SUBTOTAL(9, F830:T830)</f>
        <v>1576652.8</v>
      </c>
      <c r="F830" s="106" t="n">
        <v>0</v>
      </c>
      <c r="G830" s="114" t="n">
        <v>0</v>
      </c>
      <c r="H830" s="114" t="n">
        <v>0</v>
      </c>
      <c r="I830" s="114" t="n">
        <v>0</v>
      </c>
      <c r="J830" s="114" t="n">
        <v>1576652.8</v>
      </c>
      <c r="K830" s="114" t="n"/>
      <c r="L830" s="106" t="n"/>
      <c r="M830" s="114" t="n">
        <v>0</v>
      </c>
      <c r="N830" s="114" t="n">
        <v>0</v>
      </c>
      <c r="O830" s="114" t="n">
        <v>0</v>
      </c>
      <c r="P830" s="114" t="n">
        <v>0</v>
      </c>
      <c r="Q830" s="114" t="n">
        <v>0</v>
      </c>
      <c r="R830" s="304" t="n"/>
      <c r="S830" s="304" t="n"/>
      <c r="T830" s="303" t="n"/>
    </row>
    <row customFormat="true" hidden="false" ht="15" outlineLevel="0" r="831" s="1">
      <c r="A831" s="116" t="n">
        <f aca="false" ca="false" dt2D="false" dtr="false" t="normal">+A830+1</f>
        <v>809</v>
      </c>
      <c r="B831" s="117" t="n">
        <f aca="false" ca="false" dt2D="false" dtr="false" t="normal">+B830+1</f>
        <v>349</v>
      </c>
      <c r="C831" s="104" t="s">
        <v>766</v>
      </c>
      <c r="D831" s="104" t="s">
        <v>767</v>
      </c>
      <c r="E831" s="186" t="n">
        <f aca="false" ca="true" dt2D="false" dtr="false" t="normal">SUBTOTAL(9, F831:T831)</f>
        <v>8714688.23</v>
      </c>
      <c r="F831" s="106" t="n">
        <v>1499120.17</v>
      </c>
      <c r="G831" s="114" t="n"/>
      <c r="H831" s="114" t="n">
        <v>430222.5</v>
      </c>
      <c r="I831" s="114" t="n">
        <v>0</v>
      </c>
      <c r="J831" s="114" t="n">
        <v>0</v>
      </c>
      <c r="K831" s="114" t="n"/>
      <c r="L831" s="106" t="n"/>
      <c r="M831" s="114" t="n">
        <v>0</v>
      </c>
      <c r="N831" s="114" t="n"/>
      <c r="O831" s="114" t="n">
        <v>0</v>
      </c>
      <c r="P831" s="114" t="n">
        <v>3599331.74</v>
      </c>
      <c r="Q831" s="114" t="n">
        <v>3186013.82</v>
      </c>
      <c r="R831" s="241" t="n"/>
      <c r="S831" s="241" t="n"/>
      <c r="T831" s="240" t="n"/>
    </row>
    <row customHeight="true" hidden="false" ht="29.4501953125" outlineLevel="0" r="832">
      <c r="A832" s="265" t="n"/>
      <c r="B832" s="266" t="n"/>
      <c r="C832" s="266" t="n"/>
      <c r="D832" s="267" t="s">
        <v>768</v>
      </c>
      <c r="E832" s="305" t="n">
        <f aca="false" ca="false" dt2D="false" dtr="false" t="normal">SUM(E833:E856)</f>
        <v>90512431.44999999</v>
      </c>
      <c r="F832" s="305" t="n">
        <f aca="false" ca="false" dt2D="false" dtr="false" t="normal">SUM(F847:F856)</f>
        <v>0</v>
      </c>
      <c r="G832" s="305" t="n">
        <f aca="false" ca="false" dt2D="false" dtr="false" t="normal">SUM(G847:G856)</f>
        <v>0</v>
      </c>
      <c r="H832" s="305" t="n">
        <f aca="false" ca="false" dt2D="false" dtr="false" t="normal">SUM(H847:H856)</f>
        <v>0</v>
      </c>
      <c r="I832" s="305" t="n">
        <f aca="false" ca="false" dt2D="false" dtr="false" t="normal">SUM(I847:I856)</f>
        <v>0</v>
      </c>
      <c r="J832" s="305" t="n">
        <f aca="false" ca="false" dt2D="false" dtr="false" t="normal">SUM(J847:J856)</f>
        <v>0</v>
      </c>
      <c r="K832" s="305" t="n">
        <f aca="false" ca="false" dt2D="false" dtr="false" t="normal">SUM(K847:K856)</f>
        <v>0</v>
      </c>
      <c r="L832" s="305" t="n">
        <f aca="false" ca="false" dt2D="false" dtr="false" t="normal">SUM(L847:L856)</f>
        <v>0</v>
      </c>
      <c r="M832" s="305" t="n">
        <f aca="false" ca="false" dt2D="false" dtr="false" t="normal">SUM(M847:M856)</f>
        <v>0</v>
      </c>
      <c r="N832" s="305" t="n">
        <f aca="false" ca="false" dt2D="false" dtr="false" t="normal">SUM(N847:N856)</f>
        <v>0</v>
      </c>
      <c r="O832" s="305" t="n">
        <f aca="false" ca="false" dt2D="false" dtr="false" t="normal">SUM(O847:O856)</f>
        <v>0</v>
      </c>
      <c r="P832" s="305" t="n">
        <f aca="false" ca="false" dt2D="false" dtr="false" t="normal">SUM(P833:P856)</f>
        <v>90512431.44999999</v>
      </c>
      <c r="Q832" s="305" t="n">
        <f aca="false" ca="false" dt2D="false" dtr="false" t="normal">SUM(Q847:Q856)</f>
        <v>0</v>
      </c>
      <c r="R832" s="305" t="n">
        <f aca="false" ca="false" dt2D="false" dtr="false" t="normal">SUM(R847:R856)</f>
        <v>0</v>
      </c>
      <c r="S832" s="305" t="n">
        <f aca="false" ca="false" dt2D="false" dtr="false" t="normal">SUM(S847:S856)</f>
        <v>0</v>
      </c>
      <c r="T832" s="306" t="n">
        <f aca="false" ca="false" dt2D="false" dtr="false" t="normal">SUM(T847:T856)</f>
        <v>0</v>
      </c>
    </row>
    <row hidden="false" ht="15" outlineLevel="0" r="833">
      <c r="A833" s="183" t="n">
        <v>810</v>
      </c>
      <c r="B833" s="117" t="n">
        <v>350</v>
      </c>
      <c r="C833" s="117" t="s">
        <v>111</v>
      </c>
      <c r="D833" s="117" t="s">
        <v>123</v>
      </c>
      <c r="E833" s="186" t="n">
        <f aca="false" ca="true" dt2D="false" dtr="false" t="normal">SUBTOTAL(9, F833:T833)</f>
        <v>1854464.91</v>
      </c>
      <c r="F833" s="106" t="n"/>
      <c r="G833" s="106" t="n"/>
      <c r="H833" s="106" t="n"/>
      <c r="I833" s="106" t="n"/>
      <c r="J833" s="106" t="n"/>
      <c r="K833" s="106" t="n"/>
      <c r="L833" s="106" t="n"/>
      <c r="M833" s="106" t="n"/>
      <c r="N833" s="106" t="n"/>
      <c r="O833" s="106" t="n"/>
      <c r="P833" s="106" t="n">
        <v>1854464.91</v>
      </c>
      <c r="Q833" s="106" t="n"/>
      <c r="R833" s="106" t="n"/>
      <c r="S833" s="106" t="n"/>
      <c r="T833" s="111" t="n"/>
    </row>
    <row hidden="false" ht="15" outlineLevel="0" r="834">
      <c r="A834" s="183" t="n">
        <f aca="false" ca="false" dt2D="false" dtr="false" t="normal">+A833+1</f>
        <v>811</v>
      </c>
      <c r="B834" s="117" t="n">
        <v>351</v>
      </c>
      <c r="C834" s="117" t="s">
        <v>111</v>
      </c>
      <c r="D834" s="117" t="s">
        <v>769</v>
      </c>
      <c r="E834" s="186" t="n">
        <f aca="false" ca="true" dt2D="false" dtr="false" t="normal">SUBTOTAL(9, F834:T834)</f>
        <v>2642960.69</v>
      </c>
      <c r="F834" s="106" t="n"/>
      <c r="G834" s="106" t="n"/>
      <c r="H834" s="106" t="n"/>
      <c r="I834" s="106" t="n"/>
      <c r="J834" s="106" t="n"/>
      <c r="K834" s="106" t="n"/>
      <c r="L834" s="106" t="n"/>
      <c r="M834" s="106" t="n"/>
      <c r="N834" s="106" t="n"/>
      <c r="O834" s="106" t="n"/>
      <c r="P834" s="106" t="n">
        <v>2642960.69</v>
      </c>
      <c r="Q834" s="106" t="n"/>
      <c r="R834" s="106" t="n"/>
      <c r="S834" s="106" t="n"/>
      <c r="T834" s="111" t="n"/>
    </row>
    <row hidden="false" ht="15" outlineLevel="0" r="835">
      <c r="A835" s="183" t="n">
        <f aca="false" ca="false" dt2D="false" dtr="false" t="normal">+A834+1</f>
        <v>812</v>
      </c>
      <c r="B835" s="117" t="n">
        <v>352</v>
      </c>
      <c r="C835" s="117" t="s">
        <v>111</v>
      </c>
      <c r="D835" s="117" t="s">
        <v>333</v>
      </c>
      <c r="E835" s="186" t="n">
        <f aca="false" ca="true" dt2D="false" dtr="false" t="normal">SUBTOTAL(9, F835:T835)</f>
        <v>7345324.94</v>
      </c>
      <c r="F835" s="106" t="n"/>
      <c r="G835" s="106" t="n"/>
      <c r="H835" s="106" t="n"/>
      <c r="I835" s="106" t="n"/>
      <c r="J835" s="106" t="n"/>
      <c r="K835" s="106" t="n"/>
      <c r="L835" s="106" t="n"/>
      <c r="M835" s="106" t="n"/>
      <c r="N835" s="106" t="n"/>
      <c r="O835" s="106" t="n"/>
      <c r="P835" s="106" t="n">
        <v>7345324.94</v>
      </c>
      <c r="Q835" s="106" t="n"/>
      <c r="R835" s="106" t="n"/>
      <c r="S835" s="106" t="n"/>
      <c r="T835" s="111" t="n"/>
    </row>
    <row hidden="false" ht="15" outlineLevel="0" r="836">
      <c r="A836" s="183" t="n">
        <f aca="false" ca="false" dt2D="false" dtr="false" t="normal">+A835+1</f>
        <v>813</v>
      </c>
      <c r="B836" s="117" t="n">
        <v>353</v>
      </c>
      <c r="C836" s="117" t="s">
        <v>111</v>
      </c>
      <c r="D836" s="117" t="s">
        <v>770</v>
      </c>
      <c r="E836" s="186" t="n">
        <f aca="false" ca="true" dt2D="false" dtr="false" t="normal">SUBTOTAL(9, F836:T836)</f>
        <v>2368250.05</v>
      </c>
      <c r="F836" s="106" t="n"/>
      <c r="G836" s="106" t="n"/>
      <c r="H836" s="106" t="n"/>
      <c r="I836" s="106" t="n"/>
      <c r="J836" s="106" t="n"/>
      <c r="K836" s="106" t="n"/>
      <c r="L836" s="106" t="n"/>
      <c r="M836" s="106" t="n"/>
      <c r="N836" s="106" t="n"/>
      <c r="O836" s="106" t="n"/>
      <c r="P836" s="106" t="n">
        <v>2368250.05</v>
      </c>
      <c r="Q836" s="106" t="n"/>
      <c r="R836" s="106" t="n"/>
      <c r="S836" s="106" t="n"/>
      <c r="T836" s="111" t="n"/>
    </row>
    <row hidden="false" ht="15" outlineLevel="0" r="837">
      <c r="A837" s="183" t="n">
        <f aca="false" ca="false" dt2D="false" dtr="false" t="normal">+A836+1</f>
        <v>814</v>
      </c>
      <c r="B837" s="117" t="n">
        <v>354</v>
      </c>
      <c r="C837" s="117" t="s">
        <v>111</v>
      </c>
      <c r="D837" s="117" t="s">
        <v>771</v>
      </c>
      <c r="E837" s="186" t="n">
        <f aca="false" ca="true" dt2D="false" dtr="false" t="normal">SUBTOTAL(9, F837:T837)</f>
        <v>4927647.92</v>
      </c>
      <c r="F837" s="106" t="n"/>
      <c r="G837" s="106" t="n"/>
      <c r="H837" s="106" t="n"/>
      <c r="I837" s="106" t="n"/>
      <c r="J837" s="106" t="n"/>
      <c r="K837" s="106" t="n"/>
      <c r="L837" s="106" t="n"/>
      <c r="M837" s="106" t="n"/>
      <c r="N837" s="106" t="n"/>
      <c r="O837" s="106" t="n"/>
      <c r="P837" s="106" t="n">
        <v>4927647.92</v>
      </c>
      <c r="Q837" s="106" t="n"/>
      <c r="R837" s="106" t="n"/>
      <c r="S837" s="106" t="n"/>
      <c r="T837" s="111" t="n"/>
    </row>
    <row hidden="false" ht="15" outlineLevel="0" r="838">
      <c r="A838" s="183" t="n">
        <f aca="false" ca="false" dt2D="false" dtr="false" t="normal">+A837+1</f>
        <v>815</v>
      </c>
      <c r="B838" s="117" t="n">
        <v>355</v>
      </c>
      <c r="C838" s="117" t="s">
        <v>111</v>
      </c>
      <c r="D838" s="117" t="s">
        <v>772</v>
      </c>
      <c r="E838" s="186" t="n">
        <f aca="false" ca="true" dt2D="false" dtr="false" t="normal">SUBTOTAL(9, F838:T838)</f>
        <v>2818468.21</v>
      </c>
      <c r="F838" s="106" t="n"/>
      <c r="G838" s="106" t="n"/>
      <c r="H838" s="106" t="n"/>
      <c r="I838" s="106" t="n"/>
      <c r="J838" s="106" t="n"/>
      <c r="K838" s="106" t="n"/>
      <c r="L838" s="106" t="n"/>
      <c r="M838" s="106" t="n"/>
      <c r="N838" s="106" t="n"/>
      <c r="O838" s="106" t="n"/>
      <c r="P838" s="106" t="n">
        <v>2818468.21</v>
      </c>
      <c r="Q838" s="106" t="n"/>
      <c r="R838" s="106" t="n"/>
      <c r="S838" s="106" t="n"/>
      <c r="T838" s="111" t="n"/>
    </row>
    <row hidden="false" ht="15" outlineLevel="0" r="839">
      <c r="A839" s="183" t="n">
        <f aca="false" ca="false" dt2D="false" dtr="false" t="normal">+A838+1</f>
        <v>816</v>
      </c>
      <c r="B839" s="117" t="n">
        <v>356</v>
      </c>
      <c r="C839" s="117" t="s">
        <v>111</v>
      </c>
      <c r="D839" s="117" t="s">
        <v>773</v>
      </c>
      <c r="E839" s="186" t="n">
        <f aca="false" ca="true" dt2D="false" dtr="false" t="normal">SUBTOTAL(9, F839:T839)</f>
        <v>6328505.47</v>
      </c>
      <c r="F839" s="106" t="n"/>
      <c r="G839" s="106" t="n"/>
      <c r="H839" s="106" t="n"/>
      <c r="I839" s="106" t="n"/>
      <c r="J839" s="106" t="n"/>
      <c r="K839" s="106" t="n"/>
      <c r="L839" s="106" t="n"/>
      <c r="M839" s="106" t="n"/>
      <c r="N839" s="106" t="n"/>
      <c r="O839" s="106" t="n"/>
      <c r="P839" s="106" t="n">
        <v>6328505.47</v>
      </c>
      <c r="Q839" s="106" t="n"/>
      <c r="R839" s="106" t="n"/>
      <c r="S839" s="106" t="n"/>
      <c r="T839" s="111" t="n"/>
    </row>
    <row hidden="false" ht="15" outlineLevel="0" r="840">
      <c r="A840" s="183" t="n">
        <f aca="false" ca="false" dt2D="false" dtr="false" t="normal">+A839+1</f>
        <v>817</v>
      </c>
      <c r="B840" s="117" t="n">
        <v>357</v>
      </c>
      <c r="C840" s="117" t="s">
        <v>111</v>
      </c>
      <c r="D840" s="117" t="s">
        <v>774</v>
      </c>
      <c r="E840" s="186" t="n">
        <f aca="false" ca="true" dt2D="false" dtr="false" t="normal">SUBTOTAL(9, F840:T840)</f>
        <v>3038111.34</v>
      </c>
      <c r="F840" s="106" t="n"/>
      <c r="G840" s="106" t="n"/>
      <c r="H840" s="106" t="n"/>
      <c r="I840" s="106" t="n"/>
      <c r="J840" s="106" t="n"/>
      <c r="K840" s="106" t="n"/>
      <c r="L840" s="106" t="n"/>
      <c r="M840" s="106" t="n"/>
      <c r="N840" s="106" t="n"/>
      <c r="O840" s="106" t="n"/>
      <c r="P840" s="106" t="n">
        <v>3038111.34</v>
      </c>
      <c r="Q840" s="106" t="n"/>
      <c r="R840" s="106" t="n"/>
      <c r="S840" s="106" t="n"/>
      <c r="T840" s="111" t="n"/>
    </row>
    <row hidden="false" ht="15" outlineLevel="0" r="841">
      <c r="A841" s="183" t="n">
        <f aca="false" ca="false" dt2D="false" dtr="false" t="normal">+A840+1</f>
        <v>818</v>
      </c>
      <c r="B841" s="117" t="n">
        <v>358</v>
      </c>
      <c r="C841" s="117" t="s">
        <v>111</v>
      </c>
      <c r="D841" s="117" t="s">
        <v>775</v>
      </c>
      <c r="E841" s="186" t="n">
        <f aca="false" ca="true" dt2D="false" dtr="false" t="normal">SUBTOTAL(9, F841:T841)</f>
        <v>2779153.08</v>
      </c>
      <c r="F841" s="106" t="n"/>
      <c r="G841" s="106" t="n"/>
      <c r="H841" s="106" t="n"/>
      <c r="I841" s="106" t="n"/>
      <c r="J841" s="106" t="n"/>
      <c r="K841" s="106" t="n"/>
      <c r="L841" s="106" t="n"/>
      <c r="M841" s="106" t="n"/>
      <c r="N841" s="106" t="n"/>
      <c r="O841" s="106" t="n"/>
      <c r="P841" s="106" t="n">
        <v>2779153.08</v>
      </c>
      <c r="Q841" s="106" t="n"/>
      <c r="R841" s="106" t="n"/>
      <c r="S841" s="106" t="n"/>
      <c r="T841" s="111" t="n"/>
    </row>
    <row hidden="false" ht="15" outlineLevel="0" r="842">
      <c r="A842" s="183" t="n">
        <f aca="false" ca="false" dt2D="false" dtr="false" t="normal">+A841+1</f>
        <v>819</v>
      </c>
      <c r="B842" s="117" t="n">
        <v>359</v>
      </c>
      <c r="C842" s="117" t="s">
        <v>111</v>
      </c>
      <c r="D842" s="117" t="s">
        <v>335</v>
      </c>
      <c r="E842" s="186" t="n">
        <f aca="false" ca="true" dt2D="false" dtr="false" t="normal">SUBTOTAL(9, F842:T842)</f>
        <v>2200606</v>
      </c>
      <c r="F842" s="106" t="n"/>
      <c r="G842" s="106" t="n"/>
      <c r="H842" s="106" t="n"/>
      <c r="I842" s="106" t="n"/>
      <c r="J842" s="106" t="n"/>
      <c r="K842" s="106" t="n"/>
      <c r="L842" s="106" t="n"/>
      <c r="M842" s="106" t="n"/>
      <c r="N842" s="106" t="n"/>
      <c r="O842" s="106" t="n"/>
      <c r="P842" s="106" t="n">
        <v>2200606</v>
      </c>
      <c r="Q842" s="106" t="n"/>
      <c r="R842" s="106" t="n"/>
      <c r="S842" s="106" t="n"/>
      <c r="T842" s="111" t="n"/>
    </row>
    <row hidden="false" ht="15" outlineLevel="0" r="843">
      <c r="A843" s="183" t="n">
        <f aca="false" ca="false" dt2D="false" dtr="false" t="normal">+A842+1</f>
        <v>820</v>
      </c>
      <c r="B843" s="117" t="n">
        <v>360</v>
      </c>
      <c r="C843" s="117" t="s">
        <v>111</v>
      </c>
      <c r="D843" s="117" t="s">
        <v>129</v>
      </c>
      <c r="E843" s="186" t="n">
        <f aca="false" ca="true" dt2D="false" dtr="false" t="normal">SUBTOTAL(9, F843:T843)</f>
        <v>3507252.66</v>
      </c>
      <c r="F843" s="106" t="n"/>
      <c r="G843" s="106" t="n"/>
      <c r="H843" s="106" t="n"/>
      <c r="I843" s="106" t="n"/>
      <c r="J843" s="106" t="n"/>
      <c r="K843" s="106" t="n"/>
      <c r="L843" s="106" t="n"/>
      <c r="M843" s="106" t="n"/>
      <c r="N843" s="106" t="n"/>
      <c r="O843" s="106" t="n"/>
      <c r="P843" s="106" t="n">
        <v>3507252.66</v>
      </c>
      <c r="Q843" s="106" t="n"/>
      <c r="R843" s="106" t="n"/>
      <c r="S843" s="106" t="n"/>
      <c r="T843" s="111" t="n"/>
    </row>
    <row hidden="false" ht="15" outlineLevel="0" r="844">
      <c r="A844" s="183" t="n">
        <f aca="false" ca="false" dt2D="false" dtr="false" t="normal">+A843+1</f>
        <v>821</v>
      </c>
      <c r="B844" s="117" t="n">
        <v>361</v>
      </c>
      <c r="C844" s="117" t="s">
        <v>111</v>
      </c>
      <c r="D844" s="117" t="s">
        <v>130</v>
      </c>
      <c r="E844" s="186" t="n">
        <f aca="false" ca="true" dt2D="false" dtr="false" t="normal">SUBTOTAL(9, F844:T844)</f>
        <v>3193243.9</v>
      </c>
      <c r="F844" s="106" t="n"/>
      <c r="G844" s="106" t="n"/>
      <c r="H844" s="106" t="n"/>
      <c r="I844" s="106" t="n"/>
      <c r="J844" s="106" t="n"/>
      <c r="K844" s="106" t="n"/>
      <c r="L844" s="106" t="n"/>
      <c r="M844" s="106" t="n"/>
      <c r="N844" s="106" t="n"/>
      <c r="O844" s="106" t="n"/>
      <c r="P844" s="106" t="n">
        <v>3193243.9</v>
      </c>
      <c r="Q844" s="106" t="n"/>
      <c r="R844" s="106" t="n"/>
      <c r="S844" s="106" t="n"/>
      <c r="T844" s="111" t="n"/>
    </row>
    <row hidden="false" ht="15" outlineLevel="0" r="845">
      <c r="A845" s="183" t="n">
        <f aca="false" ca="false" dt2D="false" dtr="false" t="normal">+A844+1</f>
        <v>822</v>
      </c>
      <c r="B845" s="117" t="n">
        <v>362</v>
      </c>
      <c r="C845" s="117" t="s">
        <v>111</v>
      </c>
      <c r="D845" s="117" t="s">
        <v>131</v>
      </c>
      <c r="E845" s="186" t="n">
        <f aca="false" ca="true" dt2D="false" dtr="false" t="normal">SUBTOTAL(9, F845:T845)</f>
        <v>5250283.93</v>
      </c>
      <c r="F845" s="106" t="n"/>
      <c r="G845" s="106" t="n"/>
      <c r="H845" s="106" t="n"/>
      <c r="I845" s="106" t="n"/>
      <c r="J845" s="106" t="n"/>
      <c r="K845" s="106" t="n"/>
      <c r="L845" s="106" t="n"/>
      <c r="M845" s="106" t="n"/>
      <c r="N845" s="106" t="n"/>
      <c r="O845" s="106" t="n"/>
      <c r="P845" s="106" t="n">
        <v>5250283.93</v>
      </c>
      <c r="Q845" s="106" t="n"/>
      <c r="R845" s="106" t="n"/>
      <c r="S845" s="106" t="n"/>
      <c r="T845" s="111" t="n"/>
    </row>
    <row hidden="false" ht="15" outlineLevel="0" r="846">
      <c r="A846" s="183" t="n">
        <f aca="false" ca="false" dt2D="false" dtr="false" t="normal">+A845+1</f>
        <v>823</v>
      </c>
      <c r="B846" s="117" t="n">
        <v>363</v>
      </c>
      <c r="C846" s="117" t="s">
        <v>111</v>
      </c>
      <c r="D846" s="117" t="s">
        <v>776</v>
      </c>
      <c r="E846" s="186" t="n">
        <f aca="false" ca="true" dt2D="false" dtr="false" t="normal">SUBTOTAL(9, F846:T846)</f>
        <v>5013004.5</v>
      </c>
      <c r="F846" s="106" t="n"/>
      <c r="G846" s="106" t="n"/>
      <c r="H846" s="106" t="n"/>
      <c r="I846" s="106" t="n"/>
      <c r="J846" s="106" t="n"/>
      <c r="K846" s="106" t="n"/>
      <c r="L846" s="106" t="n"/>
      <c r="M846" s="106" t="n"/>
      <c r="N846" s="106" t="n"/>
      <c r="O846" s="106" t="n"/>
      <c r="P846" s="106" t="n">
        <v>5013004.5</v>
      </c>
      <c r="Q846" s="106" t="n"/>
      <c r="R846" s="106" t="n"/>
      <c r="S846" s="106" t="n"/>
      <c r="T846" s="111" t="n"/>
    </row>
    <row hidden="false" ht="15" outlineLevel="0" r="847">
      <c r="A847" s="183" t="n">
        <f aca="false" ca="false" dt2D="false" dtr="false" t="normal">+A846+1</f>
        <v>824</v>
      </c>
      <c r="B847" s="117" t="n">
        <v>364</v>
      </c>
      <c r="C847" s="117" t="s">
        <v>111</v>
      </c>
      <c r="D847" s="117" t="s">
        <v>777</v>
      </c>
      <c r="E847" s="186" t="n">
        <f aca="false" ca="true" dt2D="false" dtr="false" t="normal">SUBTOTAL(9, F847:T847)</f>
        <v>3364207.54</v>
      </c>
      <c r="F847" s="106" t="n"/>
      <c r="G847" s="106" t="n"/>
      <c r="H847" s="106" t="n"/>
      <c r="I847" s="106" t="n"/>
      <c r="J847" s="106" t="n"/>
      <c r="K847" s="106" t="n"/>
      <c r="L847" s="106" t="n"/>
      <c r="M847" s="106" t="n"/>
      <c r="N847" s="106" t="n"/>
      <c r="O847" s="106" t="n"/>
      <c r="P847" s="106" t="n">
        <v>3364207.54</v>
      </c>
      <c r="Q847" s="106" t="n"/>
      <c r="R847" s="106" t="n"/>
      <c r="S847" s="106" t="n"/>
      <c r="T847" s="111" t="n"/>
    </row>
    <row hidden="false" ht="15" outlineLevel="0" r="848">
      <c r="A848" s="183" t="n">
        <f aca="false" ca="false" dt2D="false" dtr="false" t="normal">+A847+1</f>
        <v>825</v>
      </c>
      <c r="B848" s="117" t="n">
        <v>365</v>
      </c>
      <c r="C848" s="117" t="s">
        <v>111</v>
      </c>
      <c r="D848" s="117" t="s">
        <v>778</v>
      </c>
      <c r="E848" s="186" t="n">
        <f aca="false" ca="true" dt2D="false" dtr="false" t="normal">SUBTOTAL(9, F848:T848)</f>
        <v>4361787.46</v>
      </c>
      <c r="F848" s="106" t="n"/>
      <c r="G848" s="106" t="n"/>
      <c r="H848" s="106" t="n"/>
      <c r="I848" s="106" t="n"/>
      <c r="J848" s="106" t="n"/>
      <c r="K848" s="106" t="n"/>
      <c r="L848" s="106" t="n"/>
      <c r="M848" s="106" t="n"/>
      <c r="N848" s="106" t="n"/>
      <c r="O848" s="106" t="n"/>
      <c r="P848" s="106" t="n">
        <v>4361787.46</v>
      </c>
      <c r="Q848" s="106" t="n"/>
      <c r="R848" s="106" t="n"/>
      <c r="S848" s="106" t="n"/>
      <c r="T848" s="111" t="n"/>
    </row>
    <row hidden="false" ht="15" outlineLevel="0" r="849">
      <c r="A849" s="183" t="n">
        <f aca="false" ca="false" dt2D="false" dtr="false" t="normal">+A848+1</f>
        <v>826</v>
      </c>
      <c r="B849" s="117" t="n">
        <v>366</v>
      </c>
      <c r="C849" s="117" t="s">
        <v>111</v>
      </c>
      <c r="D849" s="117" t="s">
        <v>779</v>
      </c>
      <c r="E849" s="186" t="n">
        <f aca="false" ca="true" dt2D="false" dtr="false" t="normal">SUBTOTAL(9, F849:T849)</f>
        <v>3942951.58</v>
      </c>
      <c r="F849" s="106" t="n"/>
      <c r="G849" s="106" t="n"/>
      <c r="H849" s="106" t="n"/>
      <c r="I849" s="106" t="n"/>
      <c r="J849" s="106" t="n"/>
      <c r="K849" s="106" t="n"/>
      <c r="L849" s="106" t="n"/>
      <c r="M849" s="106" t="n"/>
      <c r="N849" s="106" t="n"/>
      <c r="O849" s="106" t="n"/>
      <c r="P849" s="106" t="n">
        <v>3942951.58</v>
      </c>
      <c r="Q849" s="106" t="n"/>
      <c r="R849" s="106" t="n"/>
      <c r="S849" s="106" t="n"/>
      <c r="T849" s="111" t="n"/>
    </row>
    <row hidden="false" ht="15" outlineLevel="0" r="850">
      <c r="A850" s="183" t="n">
        <f aca="false" ca="false" dt2D="false" dtr="false" t="normal">+A849+1</f>
        <v>827</v>
      </c>
      <c r="B850" s="117" t="n">
        <v>367</v>
      </c>
      <c r="C850" s="117" t="s">
        <v>111</v>
      </c>
      <c r="D850" s="117" t="s">
        <v>780</v>
      </c>
      <c r="E850" s="186" t="n">
        <f aca="false" ca="true" dt2D="false" dtr="false" t="normal">SUBTOTAL(9, F850:T850)</f>
        <v>4395710.49</v>
      </c>
      <c r="F850" s="106" t="n"/>
      <c r="G850" s="106" t="n"/>
      <c r="H850" s="106" t="n"/>
      <c r="I850" s="106" t="n"/>
      <c r="J850" s="106" t="n"/>
      <c r="K850" s="106" t="n"/>
      <c r="L850" s="106" t="n"/>
      <c r="M850" s="106" t="n"/>
      <c r="N850" s="106" t="n"/>
      <c r="O850" s="106" t="n"/>
      <c r="P850" s="106" t="n">
        <v>4395710.49</v>
      </c>
      <c r="Q850" s="106" t="n"/>
      <c r="R850" s="106" t="n"/>
      <c r="S850" s="106" t="n"/>
      <c r="T850" s="111" t="n"/>
    </row>
    <row hidden="false" ht="15" outlineLevel="0" r="851">
      <c r="A851" s="183" t="n">
        <f aca="false" ca="false" dt2D="false" dtr="false" t="normal">+A850+1</f>
        <v>828</v>
      </c>
      <c r="B851" s="117" t="n">
        <v>368</v>
      </c>
      <c r="C851" s="117" t="s">
        <v>111</v>
      </c>
      <c r="D851" s="117" t="s">
        <v>781</v>
      </c>
      <c r="E851" s="186" t="n">
        <f aca="false" ca="true" dt2D="false" dtr="false" t="normal">SUBTOTAL(9, F851:T851)</f>
        <v>3341819.9</v>
      </c>
      <c r="F851" s="106" t="n"/>
      <c r="G851" s="106" t="n"/>
      <c r="H851" s="106" t="n"/>
      <c r="I851" s="106" t="n"/>
      <c r="J851" s="106" t="n"/>
      <c r="K851" s="106" t="n"/>
      <c r="L851" s="106" t="n"/>
      <c r="M851" s="106" t="n"/>
      <c r="N851" s="106" t="n"/>
      <c r="O851" s="106" t="n"/>
      <c r="P851" s="106" t="n">
        <v>3341819.9</v>
      </c>
      <c r="Q851" s="106" t="n"/>
      <c r="R851" s="106" t="n"/>
      <c r="S851" s="106" t="n"/>
      <c r="T851" s="111" t="n"/>
    </row>
    <row hidden="false" ht="15" outlineLevel="0" r="852">
      <c r="A852" s="183" t="n">
        <f aca="false" ca="false" dt2D="false" dtr="false" t="normal">+A851+1</f>
        <v>829</v>
      </c>
      <c r="B852" s="117" t="n">
        <v>369</v>
      </c>
      <c r="C852" s="117" t="s">
        <v>111</v>
      </c>
      <c r="D852" s="117" t="s">
        <v>167</v>
      </c>
      <c r="E852" s="186" t="n">
        <f aca="false" ca="true" dt2D="false" dtr="false" t="normal">SUBTOTAL(9, F852:T852)</f>
        <v>2651830.86</v>
      </c>
      <c r="F852" s="106" t="n"/>
      <c r="G852" s="106" t="n"/>
      <c r="H852" s="106" t="n"/>
      <c r="I852" s="106" t="n"/>
      <c r="J852" s="106" t="n"/>
      <c r="K852" s="106" t="n"/>
      <c r="L852" s="106" t="n"/>
      <c r="M852" s="106" t="n"/>
      <c r="N852" s="106" t="n"/>
      <c r="O852" s="106" t="n"/>
      <c r="P852" s="106" t="n">
        <v>2651830.86</v>
      </c>
      <c r="Q852" s="106" t="n"/>
      <c r="R852" s="106" t="n"/>
      <c r="S852" s="106" t="n"/>
      <c r="T852" s="111" t="n"/>
    </row>
    <row hidden="false" ht="15" outlineLevel="0" r="853">
      <c r="A853" s="183" t="n">
        <f aca="false" ca="false" dt2D="false" dtr="false" t="normal">+A852+1</f>
        <v>830</v>
      </c>
      <c r="B853" s="117" t="n">
        <v>370</v>
      </c>
      <c r="C853" s="117" t="s">
        <v>111</v>
      </c>
      <c r="D853" s="117" t="s">
        <v>782</v>
      </c>
      <c r="E853" s="186" t="n">
        <f aca="false" ca="true" dt2D="false" dtr="false" t="normal">SUBTOTAL(9, F853:T853)</f>
        <v>4041615.02</v>
      </c>
      <c r="F853" s="106" t="n"/>
      <c r="G853" s="106" t="n"/>
      <c r="H853" s="106" t="n"/>
      <c r="I853" s="106" t="n"/>
      <c r="J853" s="106" t="n"/>
      <c r="K853" s="106" t="n"/>
      <c r="L853" s="106" t="n"/>
      <c r="M853" s="106" t="n"/>
      <c r="N853" s="106" t="n"/>
      <c r="O853" s="106" t="n"/>
      <c r="P853" s="106" t="n">
        <v>4041615.02</v>
      </c>
      <c r="Q853" s="106" t="n"/>
      <c r="R853" s="106" t="n"/>
      <c r="S853" s="106" t="n"/>
      <c r="T853" s="111" t="n"/>
    </row>
    <row hidden="false" ht="15" outlineLevel="0" r="854">
      <c r="A854" s="183" t="n">
        <f aca="false" ca="false" dt2D="false" dtr="false" t="normal">+A853+1</f>
        <v>831</v>
      </c>
      <c r="B854" s="117" t="n">
        <v>371</v>
      </c>
      <c r="C854" s="117" t="s">
        <v>111</v>
      </c>
      <c r="D854" s="117" t="s">
        <v>783</v>
      </c>
      <c r="E854" s="186" t="n">
        <f aca="false" ca="true" dt2D="false" dtr="false" t="normal">SUBTOTAL(9, F854:T854)</f>
        <v>6181547.1</v>
      </c>
      <c r="F854" s="106" t="n"/>
      <c r="G854" s="106" t="n"/>
      <c r="H854" s="106" t="n"/>
      <c r="I854" s="106" t="n"/>
      <c r="J854" s="106" t="n"/>
      <c r="K854" s="106" t="n"/>
      <c r="L854" s="106" t="n"/>
      <c r="M854" s="106" t="n"/>
      <c r="N854" s="106" t="n"/>
      <c r="O854" s="106" t="n"/>
      <c r="P854" s="106" t="n">
        <v>6181547.1</v>
      </c>
      <c r="Q854" s="106" t="n"/>
      <c r="R854" s="106" t="n"/>
      <c r="S854" s="106" t="n"/>
      <c r="T854" s="111" t="n"/>
    </row>
    <row hidden="false" ht="15" outlineLevel="0" r="855">
      <c r="A855" s="183" t="n">
        <f aca="false" ca="false" dt2D="false" dtr="false" t="normal">+A854+1</f>
        <v>832</v>
      </c>
      <c r="B855" s="117" t="n">
        <v>372</v>
      </c>
      <c r="C855" s="117" t="s">
        <v>111</v>
      </c>
      <c r="D855" s="117" t="s">
        <v>784</v>
      </c>
      <c r="E855" s="186" t="n">
        <f aca="false" ca="true" dt2D="false" dtr="false" t="normal">SUBTOTAL(9, F855:T855)</f>
        <v>2446535.59</v>
      </c>
      <c r="F855" s="106" t="n"/>
      <c r="G855" s="106" t="n"/>
      <c r="H855" s="106" t="n"/>
      <c r="I855" s="106" t="n"/>
      <c r="J855" s="106" t="n"/>
      <c r="K855" s="106" t="n"/>
      <c r="L855" s="106" t="n"/>
      <c r="M855" s="106" t="n"/>
      <c r="N855" s="106" t="n"/>
      <c r="O855" s="106" t="n"/>
      <c r="P855" s="106" t="n">
        <v>2446535.59</v>
      </c>
      <c r="Q855" s="106" t="n"/>
      <c r="R855" s="106" t="n"/>
      <c r="S855" s="106" t="n"/>
      <c r="T855" s="111" t="n"/>
    </row>
    <row hidden="false" ht="15" outlineLevel="0" r="856">
      <c r="A856" s="275" t="n">
        <f aca="false" ca="false" dt2D="false" dtr="false" t="normal">+A855+1</f>
        <v>833</v>
      </c>
      <c r="B856" s="276" t="n">
        <v>373</v>
      </c>
      <c r="C856" s="276" t="s">
        <v>111</v>
      </c>
      <c r="D856" s="276" t="s">
        <v>785</v>
      </c>
      <c r="E856" s="282" t="n">
        <f aca="false" ca="true" dt2D="false" dtr="false" t="normal">SUBTOTAL(9, F856:T856)</f>
        <v>2517148.31</v>
      </c>
      <c r="F856" s="278" t="n"/>
      <c r="G856" s="278" t="n"/>
      <c r="H856" s="278" t="n"/>
      <c r="I856" s="278" t="n"/>
      <c r="J856" s="278" t="n"/>
      <c r="K856" s="278" t="n"/>
      <c r="L856" s="278" t="n"/>
      <c r="M856" s="278" t="n"/>
      <c r="N856" s="278" t="n"/>
      <c r="O856" s="278" t="n"/>
      <c r="P856" s="278" t="n">
        <v>2517148.31</v>
      </c>
      <c r="Q856" s="278" t="n"/>
      <c r="R856" s="278" t="n"/>
      <c r="S856" s="278" t="n"/>
      <c r="T856" s="307" t="n"/>
    </row>
    <row hidden="false" ht="15" outlineLevel="0" r="857">
      <c r="A857" s="191" t="n"/>
      <c r="B857" s="191" t="n"/>
      <c r="C857" s="1" t="n"/>
      <c r="D857" s="1" t="n"/>
      <c r="E857" s="136" t="n"/>
      <c r="F857" s="9" t="n"/>
      <c r="G857" s="137" t="n"/>
      <c r="H857" s="137" t="n"/>
      <c r="I857" s="137" t="n"/>
      <c r="J857" s="137" t="n"/>
      <c r="K857" s="137" t="n"/>
      <c r="L857" s="9" t="n"/>
      <c r="M857" s="137" t="n"/>
      <c r="N857" s="137" t="n"/>
      <c r="O857" s="137" t="n"/>
      <c r="P857" s="137" t="n"/>
      <c r="Q857" s="137" t="n"/>
      <c r="R857" s="308" t="n"/>
      <c r="S857" s="308" t="n"/>
      <c r="T857" s="308" t="n"/>
    </row>
    <row hidden="false" ht="15" outlineLevel="0" r="858">
      <c r="A858" s="191" t="n"/>
      <c r="B858" s="191" t="n"/>
      <c r="C858" s="1" t="n"/>
      <c r="D858" s="1" t="n"/>
      <c r="E858" s="136" t="n"/>
      <c r="F858" s="9" t="n"/>
      <c r="G858" s="137" t="n"/>
      <c r="H858" s="137" t="n"/>
      <c r="I858" s="137" t="n"/>
      <c r="J858" s="137" t="n"/>
      <c r="K858" s="137" t="n"/>
      <c r="L858" s="9" t="n"/>
      <c r="M858" s="137" t="n"/>
      <c r="N858" s="137" t="n"/>
      <c r="O858" s="137" t="n"/>
      <c r="P858" s="309" t="n"/>
      <c r="Q858" s="137" t="n"/>
      <c r="R858" s="308" t="n"/>
      <c r="S858" s="308" t="n"/>
      <c r="T858" s="308" t="n"/>
    </row>
    <row hidden="false" ht="15" outlineLevel="0" r="859">
      <c r="A859" s="191" t="n"/>
      <c r="B859" s="191" t="n"/>
      <c r="C859" s="1" t="n"/>
      <c r="D859" s="1" t="n"/>
      <c r="E859" s="136" t="n"/>
      <c r="F859" s="9" t="n"/>
      <c r="G859" s="137" t="n"/>
      <c r="H859" s="137" t="n"/>
      <c r="I859" s="137" t="n"/>
      <c r="J859" s="137" t="n"/>
      <c r="K859" s="137" t="n"/>
      <c r="L859" s="9" t="n"/>
      <c r="M859" s="137" t="n"/>
      <c r="N859" s="137" t="n"/>
      <c r="O859" s="137" t="n"/>
      <c r="P859" s="137" t="n"/>
      <c r="Q859" s="137" t="n"/>
      <c r="R859" s="308" t="n"/>
      <c r="S859" s="308" t="n"/>
      <c r="T859" s="308" t="n"/>
    </row>
    <row hidden="false" ht="15" outlineLevel="0" r="860">
      <c r="A860" s="191" t="n"/>
      <c r="B860" s="191" t="n"/>
      <c r="C860" s="1" t="n"/>
      <c r="D860" s="1" t="n"/>
      <c r="E860" s="136" t="n"/>
      <c r="F860" s="9" t="n"/>
      <c r="G860" s="137" t="n"/>
      <c r="H860" s="137" t="n"/>
      <c r="I860" s="137" t="n"/>
      <c r="J860" s="137" t="n"/>
      <c r="K860" s="137" t="n"/>
      <c r="L860" s="9" t="n"/>
      <c r="M860" s="137" t="n"/>
      <c r="N860" s="137" t="n"/>
      <c r="O860" s="137" t="n"/>
      <c r="P860" s="137" t="n"/>
      <c r="Q860" s="137" t="n"/>
      <c r="R860" s="308" t="n"/>
      <c r="S860" s="308" t="n"/>
      <c r="T860" s="308" t="n"/>
    </row>
    <row hidden="false" ht="15" outlineLevel="0" r="861"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310" t="n"/>
      <c r="T861" s="1" t="n"/>
    </row>
    <row hidden="false" ht="15" outlineLevel="0" r="862"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9" t="n"/>
      <c r="Q862" s="1" t="n"/>
      <c r="R862" s="1" t="n"/>
      <c r="S862" s="1" t="n"/>
      <c r="T862" s="1" t="n"/>
    </row>
    <row outlineLevel="0" r="863">
      <c r="D863" s="309" t="n"/>
      <c r="E863" s="309" t="n"/>
      <c r="F863" s="309" t="n"/>
      <c r="G863" s="309" t="n"/>
      <c r="H863" s="309" t="n"/>
      <c r="I863" s="309" t="n"/>
      <c r="J863" s="309" t="n"/>
      <c r="K863" s="309" t="n"/>
      <c r="L863" s="309" t="n"/>
      <c r="M863" s="309" t="n"/>
      <c r="N863" s="309" t="n"/>
      <c r="O863" s="309" t="n"/>
      <c r="P863" s="309" t="n"/>
      <c r="Q863" s="309" t="n"/>
      <c r="R863" s="309" t="n"/>
      <c r="S863" s="310" t="n"/>
      <c r="T863" s="1" t="n"/>
    </row>
    <row outlineLevel="0" r="864"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9" t="n"/>
      <c r="S864" s="1" t="n"/>
      <c r="T864" s="1" t="n"/>
    </row>
    <row outlineLevel="0" r="865">
      <c r="D865" s="135" t="n"/>
      <c r="E865" s="135" t="n"/>
      <c r="F865" s="135" t="n"/>
      <c r="G865" s="135" t="n"/>
      <c r="H865" s="135" t="n"/>
      <c r="I865" s="135" t="n"/>
      <c r="J865" s="135" t="n"/>
      <c r="K865" s="135" t="n"/>
      <c r="L865" s="135" t="n"/>
      <c r="M865" s="135" t="n"/>
      <c r="N865" s="135" t="n"/>
      <c r="O865" s="135" t="n"/>
      <c r="P865" s="3" t="n"/>
      <c r="Q865" s="1" t="n"/>
      <c r="R865" s="1" t="n"/>
      <c r="S865" s="310" t="n"/>
      <c r="T865" s="1" t="n"/>
    </row>
    <row outlineLevel="0" r="866">
      <c r="D866" s="311" t="n"/>
      <c r="E866" s="311" t="n"/>
      <c r="F866" s="311" t="n"/>
      <c r="G866" s="311" t="n"/>
      <c r="H866" s="311" t="n"/>
      <c r="I866" s="311" t="n"/>
      <c r="J866" s="311" t="n"/>
      <c r="K866" s="311" t="n"/>
      <c r="L866" s="311" t="n"/>
      <c r="M866" s="311" t="n"/>
      <c r="N866" s="311" t="n"/>
      <c r="O866" s="311" t="n"/>
      <c r="P866" s="1" t="n"/>
      <c r="Q866" s="1" t="n"/>
      <c r="R866" s="1" t="n"/>
      <c r="S866" s="1" t="n"/>
      <c r="T866" s="1" t="n"/>
      <c r="U866" s="1" t="n"/>
    </row>
    <row outlineLevel="0" r="867">
      <c r="D867" s="135" t="n"/>
      <c r="E867" s="135" t="n"/>
      <c r="F867" s="135" t="n"/>
      <c r="G867" s="135" t="n"/>
      <c r="H867" s="135" t="n"/>
      <c r="I867" s="135" t="n"/>
      <c r="J867" s="135" t="n"/>
      <c r="K867" s="135" t="n"/>
      <c r="L867" s="135" t="n"/>
      <c r="M867" s="135" t="n"/>
      <c r="N867" s="135" t="n"/>
      <c r="O867" s="135" t="n"/>
      <c r="P867" s="1" t="n"/>
      <c r="Q867" s="1" t="n"/>
      <c r="R867" s="1" t="n"/>
      <c r="S867" s="1" t="n"/>
      <c r="T867" s="1" t="n"/>
      <c r="U867" s="1" t="n"/>
    </row>
    <row outlineLevel="0" r="868"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</row>
    <row outlineLevel="0" r="869">
      <c r="D869" s="1" t="n"/>
      <c r="E869" s="1" t="n"/>
      <c r="F869" s="1" t="n"/>
      <c r="G869" s="1" t="n"/>
      <c r="H869" s="1" t="n"/>
      <c r="I869" s="1" t="n"/>
      <c r="J869" s="312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</row>
    <row outlineLevel="0" r="870"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</row>
    <row outlineLevel="0" r="871"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91" t="n"/>
      <c r="S871" s="1" t="n"/>
      <c r="T871" s="1" t="n"/>
      <c r="U871" s="1" t="n"/>
    </row>
    <row outlineLevel="0" r="872"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</row>
    <row outlineLevel="0" r="873"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</row>
    <row outlineLevel="0" r="874"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</row>
    <row outlineLevel="0" r="875">
      <c r="D875" s="288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</row>
    <row outlineLevel="0" r="876"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</row>
    <row outlineLevel="0" r="877"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</row>
  </sheetData>
  <autoFilter ref="A12:BN862"/>
  <mergeCells count="16">
    <mergeCell ref="A6:R6"/>
    <mergeCell ref="C9:C12"/>
    <mergeCell ref="B9:B12"/>
    <mergeCell ref="A9:A12"/>
    <mergeCell ref="E9:E11"/>
    <mergeCell ref="F10:L10"/>
    <mergeCell ref="P10:P11"/>
    <mergeCell ref="S10:S11"/>
    <mergeCell ref="D9:D12"/>
    <mergeCell ref="M10:M11"/>
    <mergeCell ref="R10:R11"/>
    <mergeCell ref="T10:T11"/>
    <mergeCell ref="Q10:Q11"/>
    <mergeCell ref="O10:O11"/>
    <mergeCell ref="N10:N11"/>
    <mergeCell ref="F9:T9"/>
  </mergeCells>
  <conditionalFormatting pivot="false" sqref="D373">
    <cfRule aboveAverage="true" bottom="false" dxfId="0" equalAverage="false" percent="false" priority="82" stopIfTrue="false" type="duplicateValues"/>
  </conditionalFormatting>
  <conditionalFormatting pivot="false" sqref="D375 D480">
    <cfRule aboveAverage="true" bottom="false" dxfId="0" equalAverage="false" percent="false" priority="81" stopIfTrue="false" type="duplicateValues"/>
  </conditionalFormatting>
  <conditionalFormatting pivot="false" sqref="D217 D336 D339 D368:D369 D376 D733:D735 D750 D785 D787">
    <cfRule aboveAverage="true" bottom="false" dxfId="0" equalAverage="false" percent="false" priority="80" stopIfTrue="false" type="duplicateValues"/>
  </conditionalFormatting>
  <conditionalFormatting pivot="false" sqref="D345 D348">
    <cfRule aboveAverage="true" bottom="false" dxfId="0" equalAverage="false" percent="false" priority="79" stopIfTrue="false" type="duplicateValues"/>
  </conditionalFormatting>
  <conditionalFormatting pivot="false" sqref="D762:D765 D768:D769 D776">
    <cfRule aboveAverage="true" bottom="false" dxfId="0" equalAverage="false" percent="false" priority="78" stopIfTrue="false" type="duplicateValues"/>
  </conditionalFormatting>
  <conditionalFormatting pivot="false" sqref="D344">
    <cfRule aboveAverage="true" bottom="false" dxfId="0" equalAverage="false" percent="false" priority="77" stopIfTrue="false" type="duplicateValues"/>
  </conditionalFormatting>
  <conditionalFormatting pivot="false" sqref="D722 D724">
    <cfRule aboveAverage="true" bottom="false" dxfId="0" equalAverage="false" percent="false" priority="76" stopIfTrue="false" type="duplicateValues"/>
  </conditionalFormatting>
  <conditionalFormatting pivot="false" sqref="D18:D25 D28:D48 D50:D51 D53 D56:D57 D59 D61:D65 D67:D68 D70:D74 D77 D80:D94 D96 D98:D105 D107:D108 D110 D113:D114 D117:D121 D123:D126 D128:D129 D132:D135 D137 D139 D145:D153 D155:D162 D164:D167 D170 D172 D176 D180:D191 D193:D202 D219 D225 D456">
    <cfRule aboveAverage="true" bottom="false" dxfId="0" equalAverage="false" percent="false" priority="75" stopIfTrue="false" type="duplicateValues"/>
  </conditionalFormatting>
  <conditionalFormatting pivot="false" sqref="D783 D790">
    <cfRule aboveAverage="true" bottom="false" dxfId="0" equalAverage="false" percent="false" priority="74" stopIfTrue="false" type="duplicateValues"/>
  </conditionalFormatting>
  <conditionalFormatting pivot="false" sqref="D831 D857 D859:D860">
    <cfRule aboveAverage="true" bottom="false" dxfId="0" equalAverage="false" percent="false" priority="73" stopIfTrue="false" type="duplicateValues"/>
  </conditionalFormatting>
  <conditionalFormatting pivot="false" sqref="D461 D753 D755:D758 D760:D761">
    <cfRule aboveAverage="true" bottom="false" dxfId="0" equalAverage="false" percent="false" priority="72" stopIfTrue="false" type="duplicateValues"/>
  </conditionalFormatting>
  <conditionalFormatting pivot="false" sqref="D244">
    <cfRule aboveAverage="true" bottom="false" dxfId="0" equalAverage="false" percent="false" priority="71" stopIfTrue="false" type="duplicateValues"/>
  </conditionalFormatting>
  <conditionalFormatting pivot="false" sqref="D773">
    <cfRule aboveAverage="true" bottom="false" dxfId="0" equalAverage="false" percent="false" priority="70" stopIfTrue="false" type="duplicateValues"/>
  </conditionalFormatting>
  <conditionalFormatting pivot="false" sqref="D54">
    <cfRule aboveAverage="true" bottom="false" dxfId="0" equalAverage="false" percent="false" priority="69" stopIfTrue="false" type="duplicateValues"/>
  </conditionalFormatting>
  <conditionalFormatting pivot="false" sqref="D818">
    <cfRule aboveAverage="true" bottom="false" dxfId="0" equalAverage="false" percent="false" priority="68" stopIfTrue="false" type="duplicateValues"/>
  </conditionalFormatting>
  <conditionalFormatting pivot="false" sqref="D819">
    <cfRule aboveAverage="true" bottom="false" dxfId="0" equalAverage="false" percent="false" priority="67" stopIfTrue="false" type="duplicateValues"/>
  </conditionalFormatting>
  <conditionalFormatting pivot="false" sqref="D815">
    <cfRule aboveAverage="true" bottom="false" dxfId="0" equalAverage="false" percent="false" priority="66" stopIfTrue="false" type="duplicateValues"/>
  </conditionalFormatting>
  <conditionalFormatting pivot="false" sqref="D214">
    <cfRule aboveAverage="true" bottom="false" dxfId="0" equalAverage="false" percent="false" priority="65" stopIfTrue="false" type="duplicateValues"/>
  </conditionalFormatting>
  <conditionalFormatting pivot="false" sqref="D232">
    <cfRule aboveAverage="true" bottom="false" dxfId="0" equalAverage="false" percent="false" priority="64" stopIfTrue="false" type="duplicateValues"/>
  </conditionalFormatting>
  <conditionalFormatting pivot="false" sqref="D242">
    <cfRule aboveAverage="true" bottom="false" dxfId="0" equalAverage="false" percent="false" priority="63" stopIfTrue="false" type="duplicateValues"/>
  </conditionalFormatting>
  <conditionalFormatting pivot="false" sqref="D66">
    <cfRule aboveAverage="true" bottom="false" dxfId="0" equalAverage="false" percent="false" priority="62" stopIfTrue="false" type="duplicateValues"/>
  </conditionalFormatting>
  <conditionalFormatting pivot="false" sqref="D106">
    <cfRule aboveAverage="true" bottom="false" dxfId="0" equalAverage="false" percent="false" priority="61" stopIfTrue="false" type="duplicateValues"/>
  </conditionalFormatting>
  <conditionalFormatting pivot="false" sqref="D303">
    <cfRule aboveAverage="true" bottom="false" dxfId="0" equalAverage="false" percent="false" priority="60" stopIfTrue="false" type="duplicateValues"/>
  </conditionalFormatting>
  <conditionalFormatting pivot="false" sqref="D136">
    <cfRule aboveAverage="true" bottom="false" dxfId="0" equalAverage="false" percent="false" priority="59" stopIfTrue="false" type="duplicateValues"/>
  </conditionalFormatting>
  <conditionalFormatting pivot="false" sqref="D138">
    <cfRule aboveAverage="true" bottom="false" dxfId="0" equalAverage="false" percent="false" priority="58" stopIfTrue="false" type="duplicateValues"/>
  </conditionalFormatting>
  <conditionalFormatting pivot="false" sqref="D800">
    <cfRule aboveAverage="true" bottom="false" dxfId="0" equalAverage="false" percent="false" priority="57" stopIfTrue="false" type="duplicateValues"/>
  </conditionalFormatting>
  <conditionalFormatting pivot="false" sqref="D479">
    <cfRule aboveAverage="true" bottom="false" dxfId="0" equalAverage="false" percent="false" priority="56" stopIfTrue="false" type="duplicateValues"/>
  </conditionalFormatting>
  <conditionalFormatting pivot="false" sqref="D370:D372">
    <cfRule aboveAverage="true" bottom="false" dxfId="0" equalAverage="false" percent="false" priority="55" stopIfTrue="false" type="duplicateValues"/>
  </conditionalFormatting>
  <conditionalFormatting pivot="false" sqref="D210">
    <cfRule aboveAverage="true" bottom="false" dxfId="0" equalAverage="false" percent="false" priority="54" stopIfTrue="false" type="duplicateValues"/>
  </conditionalFormatting>
  <conditionalFormatting pivot="false" sqref="D218">
    <cfRule aboveAverage="true" bottom="false" dxfId="0" equalAverage="false" percent="false" priority="53" stopIfTrue="false" type="duplicateValues"/>
  </conditionalFormatting>
  <conditionalFormatting pivot="false" sqref="D248">
    <cfRule aboveAverage="true" bottom="false" dxfId="0" equalAverage="false" percent="false" priority="52" stopIfTrue="false" type="duplicateValues"/>
  </conditionalFormatting>
  <conditionalFormatting pivot="false" sqref="D267">
    <cfRule aboveAverage="true" bottom="false" dxfId="0" equalAverage="false" percent="false" priority="51" stopIfTrue="false" type="duplicateValues"/>
  </conditionalFormatting>
  <conditionalFormatting pivot="false" sqref="D309">
    <cfRule aboveAverage="true" bottom="false" dxfId="0" equalAverage="false" percent="false" priority="50" stopIfTrue="false" type="duplicateValues"/>
  </conditionalFormatting>
  <conditionalFormatting pivot="false" sqref="D436">
    <cfRule aboveAverage="true" bottom="false" dxfId="0" equalAverage="false" percent="false" priority="49" stopIfTrue="false" type="duplicateValues"/>
  </conditionalFormatting>
  <conditionalFormatting pivot="false" sqref="D333:D334">
    <cfRule aboveAverage="true" bottom="false" dxfId="0" equalAverage="false" percent="false" priority="48" stopIfTrue="false" type="duplicateValues"/>
  </conditionalFormatting>
  <conditionalFormatting pivot="false" sqref="D355">
    <cfRule aboveAverage="true" bottom="false" dxfId="0" equalAverage="false" percent="false" priority="47" stopIfTrue="false" type="duplicateValues"/>
  </conditionalFormatting>
  <conditionalFormatting pivot="false" sqref="D827">
    <cfRule aboveAverage="true" bottom="false" dxfId="0" equalAverage="false" percent="false" priority="46" stopIfTrue="false" type="duplicateValues"/>
  </conditionalFormatting>
  <conditionalFormatting pivot="false" sqref="D246">
    <cfRule aboveAverage="true" bottom="false" dxfId="0" equalAverage="false" percent="false" priority="45" stopIfTrue="false" type="duplicateValues"/>
  </conditionalFormatting>
  <conditionalFormatting pivot="false" sqref="D270">
    <cfRule aboveAverage="true" bottom="false" dxfId="0" equalAverage="false" percent="false" priority="44" stopIfTrue="false" type="duplicateValues"/>
  </conditionalFormatting>
  <conditionalFormatting pivot="false" sqref="D283">
    <cfRule aboveAverage="true" bottom="false" dxfId="0" equalAverage="false" percent="false" priority="43" stopIfTrue="false" type="duplicateValues"/>
  </conditionalFormatting>
  <conditionalFormatting pivot="false" sqref="D295">
    <cfRule aboveAverage="true" bottom="false" dxfId="0" equalAverage="false" percent="false" priority="42" stopIfTrue="false" type="duplicateValues"/>
  </conditionalFormatting>
  <conditionalFormatting pivot="false" sqref="D315">
    <cfRule aboveAverage="true" bottom="false" dxfId="0" equalAverage="false" percent="false" priority="41" stopIfTrue="false" type="duplicateValues"/>
  </conditionalFormatting>
  <conditionalFormatting pivot="false" sqref="D455">
    <cfRule aboveAverage="true" bottom="false" dxfId="0" equalAverage="false" percent="false" priority="40" stopIfTrue="false" type="duplicateValues"/>
  </conditionalFormatting>
  <conditionalFormatting pivot="false" sqref="D175">
    <cfRule aboveAverage="true" bottom="false" dxfId="0" equalAverage="false" percent="false" priority="39" stopIfTrue="false" type="duplicateValues"/>
  </conditionalFormatting>
  <conditionalFormatting pivot="false" sqref="D49">
    <cfRule aboveAverage="true" bottom="false" dxfId="0" equalAverage="false" percent="false" priority="38" stopIfTrue="false" type="duplicateValues"/>
  </conditionalFormatting>
  <conditionalFormatting pivot="false" sqref="D243">
    <cfRule aboveAverage="true" bottom="false" dxfId="0" equalAverage="false" percent="false" priority="37" stopIfTrue="false" type="duplicateValues"/>
  </conditionalFormatting>
  <conditionalFormatting pivot="false" sqref="D337">
    <cfRule aboveAverage="true" bottom="false" dxfId="0" equalAverage="false" percent="false" priority="36" stopIfTrue="false" type="duplicateValues"/>
  </conditionalFormatting>
  <conditionalFormatting pivot="false" sqref="D388">
    <cfRule aboveAverage="true" bottom="false" dxfId="0" equalAverage="false" percent="false" priority="35" stopIfTrue="false" type="duplicateValues"/>
  </conditionalFormatting>
  <conditionalFormatting pivot="false" sqref="D221">
    <cfRule aboveAverage="true" bottom="false" dxfId="0" equalAverage="false" percent="false" priority="34" stopIfTrue="false" type="duplicateValues"/>
  </conditionalFormatting>
  <conditionalFormatting pivot="false" sqref="D222">
    <cfRule aboveAverage="true" bottom="false" dxfId="0" equalAverage="false" percent="false" priority="33" stopIfTrue="false" type="duplicateValues"/>
  </conditionalFormatting>
  <conditionalFormatting pivot="false" sqref="D245">
    <cfRule aboveAverage="true" bottom="false" dxfId="0" equalAverage="false" percent="false" priority="32" stopIfTrue="false" type="duplicateValues"/>
  </conditionalFormatting>
  <conditionalFormatting pivot="false" sqref="D249">
    <cfRule aboveAverage="true" bottom="false" dxfId="0" equalAverage="false" percent="false" priority="31" stopIfTrue="false" type="duplicateValues"/>
  </conditionalFormatting>
  <conditionalFormatting pivot="false" sqref="D280">
    <cfRule aboveAverage="true" bottom="false" dxfId="0" equalAverage="false" percent="false" priority="30" stopIfTrue="false" type="duplicateValues"/>
  </conditionalFormatting>
  <conditionalFormatting pivot="false" sqref="D319:D320">
    <cfRule aboveAverage="true" bottom="false" dxfId="0" equalAverage="false" percent="false" priority="29" stopIfTrue="false" type="duplicateValues"/>
  </conditionalFormatting>
  <conditionalFormatting pivot="false" sqref="D374">
    <cfRule aboveAverage="true" bottom="false" dxfId="0" equalAverage="false" percent="false" priority="28" stopIfTrue="false" type="duplicateValues"/>
  </conditionalFormatting>
  <conditionalFormatting pivot="false" sqref="D220">
    <cfRule aboveAverage="true" bottom="false" dxfId="0" equalAverage="false" percent="false" priority="27" stopIfTrue="false" type="duplicateValues"/>
  </conditionalFormatting>
  <conditionalFormatting pivot="false" sqref="D384">
    <cfRule aboveAverage="true" bottom="false" dxfId="0" equalAverage="false" percent="false" priority="26" stopIfTrue="false" type="duplicateValues"/>
  </conditionalFormatting>
  <conditionalFormatting pivot="false" sqref="D241">
    <cfRule aboveAverage="true" bottom="false" dxfId="0" equalAverage="false" percent="false" priority="25" stopIfTrue="false" type="duplicateValues"/>
  </conditionalFormatting>
  <conditionalFormatting pivot="false" sqref="D421">
    <cfRule aboveAverage="true" bottom="false" dxfId="0" equalAverage="false" percent="false" priority="24" stopIfTrue="false" type="duplicateValues"/>
  </conditionalFormatting>
  <conditionalFormatting pivot="false" sqref="D307">
    <cfRule aboveAverage="true" bottom="false" dxfId="0" equalAverage="false" percent="false" priority="23" stopIfTrue="false" type="duplicateValues"/>
  </conditionalFormatting>
  <conditionalFormatting pivot="false" sqref="D347">
    <cfRule aboveAverage="true" bottom="false" dxfId="0" equalAverage="false" percent="false" priority="22" stopIfTrue="false" type="duplicateValues"/>
  </conditionalFormatting>
  <conditionalFormatting pivot="false" sqref="D680">
    <cfRule aboveAverage="true" bottom="false" dxfId="0" equalAverage="false" percent="false" priority="21" stopIfTrue="false" type="duplicateValues"/>
  </conditionalFormatting>
  <conditionalFormatting pivot="false" sqref="D736">
    <cfRule aboveAverage="true" bottom="false" dxfId="0" equalAverage="false" percent="false" priority="20" stopIfTrue="false" type="duplicateValues"/>
  </conditionalFormatting>
  <conditionalFormatting pivot="false" sqref="D471">
    <cfRule aboveAverage="true" bottom="false" dxfId="0" equalAverage="false" percent="false" priority="19" stopIfTrue="false" type="duplicateValues"/>
  </conditionalFormatting>
  <conditionalFormatting pivot="false" sqref="D472">
    <cfRule aboveAverage="true" bottom="false" dxfId="0" equalAverage="false" percent="false" priority="18" stopIfTrue="false" type="duplicateValues"/>
  </conditionalFormatting>
  <conditionalFormatting pivot="false" sqref="D367">
    <cfRule aboveAverage="true" bottom="false" dxfId="0" equalAverage="false" percent="false" priority="17" stopIfTrue="false" type="duplicateValues"/>
  </conditionalFormatting>
  <conditionalFormatting pivot="false" sqref="D739">
    <cfRule aboveAverage="true" bottom="false" dxfId="0" equalAverage="false" percent="false" priority="16" stopIfTrue="false" type="duplicateValues"/>
  </conditionalFormatting>
  <conditionalFormatting pivot="false" sqref="D752">
    <cfRule aboveAverage="true" bottom="false" dxfId="0" equalAverage="false" percent="false" priority="15" stopIfTrue="false" type="duplicateValues"/>
  </conditionalFormatting>
  <conditionalFormatting pivot="false" sqref="D380">
    <cfRule aboveAverage="true" bottom="false" dxfId="0" equalAverage="false" percent="false" priority="14" stopIfTrue="false" type="duplicateValues"/>
  </conditionalFormatting>
  <conditionalFormatting pivot="false" sqref="D405">
    <cfRule aboveAverage="true" bottom="false" dxfId="0" equalAverage="false" percent="false" priority="13" stopIfTrue="false" type="duplicateValues"/>
  </conditionalFormatting>
  <conditionalFormatting pivot="false" sqref="D423">
    <cfRule aboveAverage="true" bottom="false" dxfId="0" equalAverage="false" percent="false" priority="12" stopIfTrue="false" type="duplicateValues"/>
  </conditionalFormatting>
  <conditionalFormatting pivot="false" sqref="D728">
    <cfRule aboveAverage="true" bottom="false" dxfId="0" equalAverage="false" percent="false" priority="11" stopIfTrue="false" type="duplicateValues"/>
  </conditionalFormatting>
  <conditionalFormatting pivot="false" sqref="D382">
    <cfRule aboveAverage="true" bottom="false" dxfId="0" equalAverage="false" percent="false" priority="10" stopIfTrue="false" type="duplicateValues"/>
  </conditionalFormatting>
  <conditionalFormatting pivot="false" sqref="D250">
    <cfRule aboveAverage="true" bottom="false" dxfId="0" equalAverage="false" percent="false" priority="9" stopIfTrue="false" type="duplicateValues"/>
  </conditionalFormatting>
  <conditionalFormatting pivot="false" sqref="D567">
    <cfRule aboveAverage="true" bottom="false" dxfId="0" equalAverage="false" percent="false" priority="8" stopIfTrue="false" type="duplicateValues"/>
  </conditionalFormatting>
  <conditionalFormatting pivot="false" sqref="D414">
    <cfRule aboveAverage="true" bottom="false" dxfId="0" equalAverage="false" percent="false" priority="7" stopIfTrue="false" type="duplicateValues"/>
  </conditionalFormatting>
  <conditionalFormatting pivot="false" sqref="D458">
    <cfRule aboveAverage="true" bottom="false" dxfId="0" equalAverage="false" percent="false" priority="6" stopIfTrue="false" type="duplicateValues"/>
  </conditionalFormatting>
  <conditionalFormatting pivot="false" sqref="D467">
    <cfRule aboveAverage="true" bottom="false" dxfId="0" equalAverage="false" percent="false" priority="5" stopIfTrue="false" type="duplicateValues"/>
  </conditionalFormatting>
  <conditionalFormatting pivot="false" sqref="D378">
    <cfRule aboveAverage="true" bottom="false" dxfId="0" equalAverage="false" percent="false" priority="4" stopIfTrue="false" type="duplicateValues"/>
  </conditionalFormatting>
  <conditionalFormatting pivot="false" sqref="D377">
    <cfRule aboveAverage="true" bottom="false" dxfId="0" equalAverage="false" percent="false" priority="3" stopIfTrue="false" type="duplicateValues"/>
  </conditionalFormatting>
  <conditionalFormatting pivot="false" sqref="D433">
    <cfRule aboveAverage="true" bottom="false" dxfId="0" equalAverage="false" percent="false" priority="2" stopIfTrue="false" type="duplicateValues"/>
  </conditionalFormatting>
  <conditionalFormatting pivot="false" sqref="D858">
    <cfRule aboveAverage="true" bottom="false" dxfId="0" equalAverage="false" percent="false" priority="1" stopIfTrue="false" type="duplicateValues"/>
  </conditionalFormatting>
  <pageMargins bottom="0.748031497001648" footer="0.31496062874794" header="0.31496062874794" left="0.236220464110374" right="0.236220464110374" top="0.748031497001648"/>
  <pageSetup fitToHeight="0" fitToWidth="1" orientation="landscape" paperHeight="297mm" paperSize="9" paperWidth="210mm" scale="100"/>
</worksheet>
</file>

<file path=xl/worksheets/sheet3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2ac="http://schemas.microsoft.com/office/spreadsheetml/2011/1/ac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C41"/>
  <sheetViews>
    <sheetView showZeros="true" workbookViewId="0"/>
  </sheetViews>
  <sheetFormatPr baseColWidth="8" customHeight="false" defaultColWidth="9.14062530925693" defaultRowHeight="15" zeroHeight="false"/>
  <cols>
    <col customWidth="true" max="3" min="3" outlineLevel="0" width="110.855470335272"/>
  </cols>
  <sheetData>
    <row outlineLevel="0" r="3">
      <c r="C3" s="313" t="s">
        <v>305</v>
      </c>
    </row>
    <row outlineLevel="0" r="4">
      <c r="C4" s="313" t="s">
        <v>66</v>
      </c>
    </row>
    <row outlineLevel="0" r="5">
      <c r="C5" s="313" t="s">
        <v>71</v>
      </c>
    </row>
    <row outlineLevel="0" r="6">
      <c r="C6" s="313" t="s">
        <v>75</v>
      </c>
    </row>
    <row outlineLevel="0" r="7">
      <c r="C7" s="313" t="s">
        <v>78</v>
      </c>
    </row>
    <row outlineLevel="0" r="8">
      <c r="C8" s="313" t="s">
        <v>81</v>
      </c>
    </row>
    <row outlineLevel="0" r="9">
      <c r="C9" s="313" t="s">
        <v>111</v>
      </c>
    </row>
    <row outlineLevel="0" r="10">
      <c r="C10" s="313" t="s">
        <v>200</v>
      </c>
    </row>
    <row outlineLevel="0" r="11">
      <c r="C11" s="313" t="s">
        <v>207</v>
      </c>
    </row>
    <row outlineLevel="0" r="12">
      <c r="C12" s="313" t="s">
        <v>209</v>
      </c>
    </row>
    <row outlineLevel="0" r="13">
      <c r="C13" s="313" t="s">
        <v>404</v>
      </c>
    </row>
    <row outlineLevel="0" r="14">
      <c r="C14" s="313" t="s">
        <v>215</v>
      </c>
    </row>
    <row outlineLevel="0" r="15">
      <c r="C15" s="313" t="s">
        <v>217</v>
      </c>
    </row>
    <row outlineLevel="0" r="16">
      <c r="C16" s="313" t="s">
        <v>221</v>
      </c>
    </row>
    <row outlineLevel="0" r="17">
      <c r="C17" s="313" t="s">
        <v>227</v>
      </c>
    </row>
    <row outlineLevel="0" r="18">
      <c r="C18" s="313" t="s">
        <v>247</v>
      </c>
    </row>
    <row outlineLevel="0" r="19">
      <c r="C19" s="313" t="s">
        <v>251</v>
      </c>
    </row>
    <row outlineLevel="0" r="20">
      <c r="C20" s="313" t="s">
        <v>253</v>
      </c>
    </row>
    <row outlineLevel="0" r="21">
      <c r="C21" s="313" t="s">
        <v>257</v>
      </c>
    </row>
    <row outlineLevel="0" r="22">
      <c r="C22" s="313" t="s">
        <v>259</v>
      </c>
    </row>
    <row outlineLevel="0" r="23">
      <c r="C23" s="313" t="s">
        <v>265</v>
      </c>
    </row>
    <row outlineLevel="0" r="24">
      <c r="C24" s="313" t="s">
        <v>280</v>
      </c>
    </row>
    <row outlineLevel="0" r="25">
      <c r="C25" s="313" t="s">
        <v>283</v>
      </c>
    </row>
    <row outlineLevel="0" r="26">
      <c r="C26" s="313" t="s">
        <v>298</v>
      </c>
    </row>
    <row outlineLevel="0" r="27">
      <c r="C27" s="313" t="s">
        <v>794</v>
      </c>
    </row>
    <row outlineLevel="0" r="28">
      <c r="C28" s="313" t="s">
        <v>740</v>
      </c>
    </row>
    <row outlineLevel="0" r="29">
      <c r="C29" s="313" t="s">
        <v>428</v>
      </c>
    </row>
    <row outlineLevel="0" r="30">
      <c r="C30" s="313" t="s">
        <v>445</v>
      </c>
    </row>
    <row outlineLevel="0" r="31">
      <c r="C31" s="313" t="s">
        <v>749</v>
      </c>
    </row>
    <row outlineLevel="0" r="32">
      <c r="C32" s="313" t="s">
        <v>756</v>
      </c>
    </row>
    <row outlineLevel="0" r="33">
      <c r="C33" s="313" t="s">
        <v>590</v>
      </c>
    </row>
    <row outlineLevel="0" r="34">
      <c r="C34" s="313" t="s">
        <v>643</v>
      </c>
    </row>
    <row outlineLevel="0" r="35">
      <c r="C35" s="313" t="s">
        <v>396</v>
      </c>
    </row>
    <row outlineLevel="0" r="36">
      <c r="C36" s="313" t="s">
        <v>653</v>
      </c>
    </row>
    <row outlineLevel="0" r="37">
      <c r="C37" s="313" t="s">
        <v>735</v>
      </c>
    </row>
    <row outlineLevel="0" r="38">
      <c r="C38" s="313" t="s">
        <v>430</v>
      </c>
    </row>
    <row outlineLevel="0" r="39">
      <c r="C39" s="313" t="s">
        <v>449</v>
      </c>
    </row>
    <row outlineLevel="0" r="40">
      <c r="C40" s="313" t="s">
        <v>455</v>
      </c>
    </row>
    <row outlineLevel="0" r="41">
      <c r="C41" s="313" t="s">
        <v>766</v>
      </c>
    </row>
  </sheetData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MyOffice-CoreFramework-Linux/33-1224.848.9400.852.1@a485da99dcc738e8c7d147737040082c6b3f9fe8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2024-10-11T01:37:20Z</dcterms:modified>
</cp:coreProperties>
</file>